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T:\Health Behavior and Policy\Faculty\Kimmel\Common\Personnel work\Rose\Projects\Structural validation\4.PLoS ONE\Revise and Resubmit 3\Final submission\"/>
    </mc:Choice>
  </mc:AlternateContent>
  <bookViews>
    <workbookView xWindow="10755" yWindow="225" windowWidth="10560" windowHeight="8370" tabRatio="904" firstSheet="3" activeTab="3"/>
  </bookViews>
  <sheets>
    <sheet name="Directory" sheetId="15" state="veryHidden" r:id="rId1"/>
    <sheet name="Schematic" sheetId="4" state="veryHidden" r:id="rId2"/>
    <sheet name="User" sheetId="11" state="veryHidden" r:id="rId3"/>
    <sheet name="Notes" sheetId="30" r:id="rId4"/>
    <sheet name="Params" sheetId="6" r:id="rId5"/>
    <sheet name="Error Report" sheetId="22" state="veryHidden" r:id="rId6"/>
    <sheet name="Model (SN)" sheetId="13" r:id="rId7"/>
    <sheet name="Model (SC)" sheetId="10" r:id="rId8"/>
    <sheet name="Model (Matrix)" sheetId="20" r:id="rId9"/>
    <sheet name="Model (Matrix calcs)" sheetId="16" r:id="rId10"/>
    <sheet name="Diff (SN-SC)" sheetId="31" r:id="rId11"/>
    <sheet name="Diff (SN-Matrix)" sheetId="32" r:id="rId12"/>
    <sheet name="Diff (SC-Matrix)" sheetId="33" r:id="rId13"/>
    <sheet name="Errors" sheetId="34" r:id="rId14"/>
    <sheet name="SCF Output (diff)" sheetId="18" state="veryHidden" r:id="rId15"/>
    <sheet name="Output1 (diff)" sheetId="21" state="veryHidden" r:id="rId16"/>
    <sheet name="Output2 (diff)" sheetId="23" state="veryHidden" r:id="rId17"/>
    <sheet name="TPM Summary Measures" sheetId="17" state="veryHidden" r:id="rId18"/>
    <sheet name="SCF (name) Summary Measures" sheetId="25" state="veryHidden" r:id="rId19"/>
    <sheet name="SCF (cell) Summary Measures" sheetId="26" state="veryHidden" r:id="rId20"/>
    <sheet name="SCF Summary Measures (diff)" sheetId="27" state="veryHidden" r:id="rId21"/>
    <sheet name="Summary Measures (diff1)" sheetId="28" state="veryHidden" r:id="rId22"/>
    <sheet name="Summary Measures (diff2)" sheetId="29" state="veryHidden" r:id="rId23"/>
    <sheet name="Log" sheetId="5" state="veryHidden" r:id="rId24"/>
  </sheets>
  <definedNames>
    <definedName name="Inc_2004">Params!$C$18</definedName>
    <definedName name="Inc_2005">Params!$C$19</definedName>
    <definedName name="Inc_2006">Params!$C$20</definedName>
    <definedName name="Inc_2007">Params!$C$21</definedName>
    <definedName name="Inc_2008">Params!$C$22</definedName>
    <definedName name="Inc_2009">Params!$C$23</definedName>
    <definedName name="Inc_2010">Params!$C$24</definedName>
    <definedName name="Inc_2011">Params!$C$25</definedName>
    <definedName name="Inc_2012">Params!$C$26</definedName>
    <definedName name="Inc_2013">Params!$C$27</definedName>
    <definedName name="Inc_2014">Params!$C$28</definedName>
    <definedName name="Inc_2015">Params!$C$29</definedName>
    <definedName name="Inc_2016">Params!$C$30</definedName>
    <definedName name="Inc_2017">Params!$C$31</definedName>
    <definedName name="Inc_2018">Params!$C$32</definedName>
    <definedName name="Inc_2019">Params!$C$33</definedName>
    <definedName name="Inc_2020">Params!$C$34</definedName>
    <definedName name="Inc_2021">Params!$C$35</definedName>
    <definedName name="Inc_2022">Params!$C$36</definedName>
    <definedName name="Inc_2023">Params!$C$37</definedName>
    <definedName name="init_prop_AIDS_ART1ear">Params!$C$13</definedName>
    <definedName name="init_prop_AIDS_ART1late">Params!$C$14</definedName>
    <definedName name="init_prop_AIDS_ART2">Params!$C$15</definedName>
    <definedName name="init_prop_AIDS_DEAD">Params!$C$17</definedName>
    <definedName name="init_prop_AIDS_InCare">Params!$C$12</definedName>
    <definedName name="init_prop_AIDS_LTFU">Params!$C$16</definedName>
    <definedName name="init_prop_AIDS_NoCare">Params!$C$11</definedName>
    <definedName name="init_prop_Asympt_Dead">Params!$C$4</definedName>
    <definedName name="init_prop_Asympt_InCare">Params!$C$2</definedName>
    <definedName name="init_prop_Asympt_LTFU">Params!$C$3</definedName>
    <definedName name="init_prop_Asympt_NoCare">Params!$C$1</definedName>
    <definedName name="init_prop_Int_ART1">Params!$C$7</definedName>
    <definedName name="init_prop_Int_ART2">Params!$C$8</definedName>
    <definedName name="init_prop_Int_Dead">Params!$C$10</definedName>
    <definedName name="init_prop_Int_InCare">Params!$C$6</definedName>
    <definedName name="init_prop_Int_LTFU">Params!$C$9</definedName>
    <definedName name="init_prop_Int_NoCare">Params!$C$5</definedName>
    <definedName name="m_preARTLTFU_Asympt">Params!$C$39</definedName>
    <definedName name="m_preARTLTFU_Int">Params!$C$38</definedName>
    <definedName name="pAIDS_ART1ear_2004_2012">Params!$C$203</definedName>
    <definedName name="pAIDS_ART1ear_2013plus">Params!$C$207</definedName>
    <definedName name="pAIDS_ART1ear_2013plus_u">Params!$C$273</definedName>
    <definedName name="pAIDS_ART1ear_AIDS_ART1late_2004_2012">Params!$C$200</definedName>
    <definedName name="pAIDS_ART1ear_AIDS_ART1late_2013plus">Params!$C$204</definedName>
    <definedName name="pAIDS_ART1ear_AIDS_ART1late_2013plus_u">Params!$C$277</definedName>
    <definedName name="pAIDS_ART1ear_AIDS_Dead_2004_2012">Params!$C$202</definedName>
    <definedName name="pAIDS_ART1ear_AIDS_Dead_2013plus">Params!$C$206</definedName>
    <definedName name="pAIDS_ART1ear_AIDS_Dead_2013plus_u">Params!$C$255</definedName>
    <definedName name="pAIDS_ART1ear_AIDS_LTFU_2004_2012">Params!$C$201</definedName>
    <definedName name="pAIDS_ART1ear_AIDS_LTFU_2013plus">Params!$C$205</definedName>
    <definedName name="pAIDS_ART1ear_AIDS_LTFU_2013plus_u">Params!$C$254</definedName>
    <definedName name="pAIDS_ART1late_2004_2012">Params!$C$211</definedName>
    <definedName name="pAIDS_ART1late_2013plus">Params!$C$215</definedName>
    <definedName name="pAIDS_ART1late_2013plus_u">Params!$C$274</definedName>
    <definedName name="pAIDS_ART1late_AIDS_ART2_2004_2012">Params!$C$208</definedName>
    <definedName name="pAIDS_ART1late_AIDS_ART2_2013plus">Params!$C$212</definedName>
    <definedName name="pAIDS_ART1late_AIDS_ART2_2013plus_u">Params!$C$256</definedName>
    <definedName name="pAIDS_ART1late_AIDS_Dead_2004_2012">Params!$C$210</definedName>
    <definedName name="pAIDS_ART1late_AIDS_Dead_2013plus">Params!$C$214</definedName>
    <definedName name="pAIDS_ART1late_AIDS_Dead_2013plus_u">Params!$C$258</definedName>
    <definedName name="pAIDS_ART1late_AIDS_LTFU_2004_2012">Params!$C$209</definedName>
    <definedName name="pAIDS_ART1late_AIDS_LTFU_2013plus">Params!$C$213</definedName>
    <definedName name="pAIDS_ART1late_AIDS_LTFU_2013plus_u">Params!$C$257</definedName>
    <definedName name="pAIDS_ART2_2004_2012">Params!$C$218</definedName>
    <definedName name="pAIDS_ART2_2013plus">Params!$C$221</definedName>
    <definedName name="pAIDS_ART2_2013plus_u">Params!$C$275</definedName>
    <definedName name="pAIDS_ART2_AIDS_Dead_2004_2012">Params!$C$217</definedName>
    <definedName name="pAIDS_ART2_AIDS_Dead_2013plus">Params!$C$220</definedName>
    <definedName name="pAIDS_ART2_AIDS_Dead_2013plus_u">Params!$C$260</definedName>
    <definedName name="pAIDS_ART2_AIDS_LTFU_2004_2012">Params!$C$216</definedName>
    <definedName name="pAIDS_ART2_AIDS_LTFU_2013plus">Params!$C$219</definedName>
    <definedName name="pAIDS_ART2_AIDS_LTFU_2013plus_u">Params!$C$259</definedName>
    <definedName name="pAIDS_InCare_2005">Params!$C$167</definedName>
    <definedName name="pAIDS_InCare_2006">Params!$C$171</definedName>
    <definedName name="pAIDS_InCare_2007">Params!$C$175</definedName>
    <definedName name="pAIDS_InCare_2008">Params!$C$179</definedName>
    <definedName name="pAIDS_InCare_2009">Params!$C$183</definedName>
    <definedName name="pAIDS_InCare_2010">Params!$C$187</definedName>
    <definedName name="pAIDS_InCare_2011">Params!$C$191</definedName>
    <definedName name="pAIDS_InCare_2012">Params!$C$195</definedName>
    <definedName name="pAIDS_InCare_2013plus">Params!$C$199</definedName>
    <definedName name="pAIDS_InCare_2013plus_u">Params!$C$272</definedName>
    <definedName name="pAIDS_InCare_AIDS_ART1ear_2005">Params!$C$164</definedName>
    <definedName name="pAIDS_InCare_AIDS_ART1ear_2006">Params!$C$168</definedName>
    <definedName name="pAIDS_InCare_AIDS_ART1ear_2007">Params!$C$172</definedName>
    <definedName name="pAIDS_InCare_AIDS_ART1ear_2008">Params!$C$176</definedName>
    <definedName name="pAIDS_InCare_AIDS_ART1ear_2009">Params!$C$180</definedName>
    <definedName name="pAIDS_InCare_AIDS_ART1ear_2010">Params!$C$184</definedName>
    <definedName name="pAIDS_InCare_AIDS_ART1ear_2011">Params!$C$188</definedName>
    <definedName name="pAIDS_InCare_AIDS_ART1ear_2012">Params!$C$192</definedName>
    <definedName name="pAIDS_InCare_AIDS_ART1ear_2013plus">Params!$C$196</definedName>
    <definedName name="pAIDS_InCare_AIDS_ART1ear_2013plus_u">Params!$C$252</definedName>
    <definedName name="pAIDS_InCare_AIDS_Dead_2004_2012">Params!$C$166</definedName>
    <definedName name="pAIDS_InCare_AIDS_Dead_2013plus">Params!$C$198</definedName>
    <definedName name="pAIDS_InCare_AIDS_Dead_2013plus_u">Params!$C$291</definedName>
    <definedName name="pAIDS_InCare_AIDS_LTFU_2004_2012">Params!$C$165</definedName>
    <definedName name="pAIDS_InCare_AIDS_LTFU_2013plus">Params!$C$197</definedName>
    <definedName name="pAIDS_InCare_AIDS_LTFU_2013plus_u">Params!$C$253</definedName>
    <definedName name="pAIDS_LTFU_2004_2012">Params!$C$225</definedName>
    <definedName name="pAIDS_LTFU_2013plus">Params!$C$229</definedName>
    <definedName name="pAIDS_LTFU_2013plus_u">Params!$C$276</definedName>
    <definedName name="pAIDS_LTFU_AIDS_ART1ear_2004_2012">Params!$C$223</definedName>
    <definedName name="pAIDS_LTFU_AIDS_ART1ear_2013plus">Params!$C$227</definedName>
    <definedName name="pAIDS_LTFU_AIDS_ART1ear_2013plus_u">Params!$C$261</definedName>
    <definedName name="pAIDS_LTFU_AIDS_ART2_2004_2012">Params!$C$224</definedName>
    <definedName name="pAIDS_LTFU_AIDS_ART2_2013plus">Params!$C$228</definedName>
    <definedName name="pAIDS_LTFU_AIDS_ART2_2013plus_u">Params!$C$262</definedName>
    <definedName name="pAIDS_LTFU_AIDS_Dead_2004_2012">Params!$C$222</definedName>
    <definedName name="pAIDS_LTFU_AIDS_Dead_2013plus">Params!$C$226</definedName>
    <definedName name="pAIDS_LTFU_AIDS_Dead_2013plus_u">Params!$C$292</definedName>
    <definedName name="pAIDS_NoCare_2004_2006">Params!$C$151</definedName>
    <definedName name="pAIDS_NoCare_2007_2009">Params!$C$155</definedName>
    <definedName name="pAIDS_NoCare_2010_2012">Params!$C$159</definedName>
    <definedName name="pAIDS_NoCare_2013plus">Params!$C$163</definedName>
    <definedName name="pAIDS_NoCare_2013plus_u">Params!$C$271</definedName>
    <definedName name="pAIDS_NoCare_AIDS_ART1ear_2004_2006">Params!$C$149</definedName>
    <definedName name="pAIDS_NoCare_AIDS_ART1ear_2007_2009">Params!$C$153</definedName>
    <definedName name="pAIDS_NoCare_AIDS_ART1ear_2010_2012">Params!$C$157</definedName>
    <definedName name="pAIDS_NoCare_AIDS_ART1ear_2013plus">Params!$C$161</definedName>
    <definedName name="pAIDS_NoCare_AIDS_ART1ear_2013plus_u">Params!$C$251</definedName>
    <definedName name="pAIDS_NoCare_AIDS_Dead_2004_2006">Params!$C$150</definedName>
    <definedName name="pAIDS_NoCare_AIDS_Dead_2007_2009">Params!$C$154</definedName>
    <definedName name="pAIDS_NoCare_AIDS_Dead_2010_2012">Params!$C$158</definedName>
    <definedName name="pAIDS_NoCare_AIDS_Dead_2013plus">Params!$C$162</definedName>
    <definedName name="pAIDS_NoCare_AIDS_Dead_2013plus_u">Params!$C$290</definedName>
    <definedName name="pAIDS_NoCare_AIDS_InCare_2004_2006">Params!$C$148</definedName>
    <definedName name="pAIDS_NoCare_AIDS_InCare_2007_2009">Params!$C$152</definedName>
    <definedName name="pAIDS_NoCare_AIDS_InCare_2010_2012">Params!$C$156</definedName>
    <definedName name="pAIDS_NoCare_AIDS_InCare_2013plus">Params!$C$160</definedName>
    <definedName name="pAIDS_NoCare_AIDS_InCare_2013plus_u">Params!$C$250</definedName>
    <definedName name="pAsympt_InCare_2004_2012">Params!$C$69</definedName>
    <definedName name="pAsympt_InCare_2013plus">Params!$C$74</definedName>
    <definedName name="pAsympt_InCare_2013plus_u">Params!$C$264</definedName>
    <definedName name="pAsympt_InCare_Asympt_Dead_2004_2012">Params!$C$66</definedName>
    <definedName name="pAsympt_InCare_Asympt_Dead_2013plus">Params!$C$71</definedName>
    <definedName name="pAsympt_InCare_Asympt_Dead_2013plus_u">Params!$C$279</definedName>
    <definedName name="pAsympt_InCare_Asympt_LTFU_2004_2012">Params!$C$65</definedName>
    <definedName name="pAsympt_InCare_Asympt_LTFU_2013plus">Params!$C$70</definedName>
    <definedName name="pAsympt_InCare_Asympt_LTFU_2013plus_u">Params!$C$231</definedName>
    <definedName name="pAsympt_InCare_Int_ART1_2004_2012">Params!$C$68</definedName>
    <definedName name="pAsympt_InCare_Int_ART1_2013plus">Params!$C$73</definedName>
    <definedName name="pAsympt_InCare_Int_ART1_2013plus_u">Params!$C$234</definedName>
    <definedName name="pAsympt_InCare_Int_InCare_2004_2012">Params!$C$67</definedName>
    <definedName name="pAsympt_InCare_Int_InCare_2013plus">Params!$C$72</definedName>
    <definedName name="pAsympt_InCare_Int_InCare_2013plus_u">Params!$C$282</definedName>
    <definedName name="pAsympt_LTFU_2004_2012">Params!$C$79</definedName>
    <definedName name="pAsympt_LTFU_2013plus">Params!$C$83</definedName>
    <definedName name="pAsympt_LTFU_2013plus_u">Params!$C$265</definedName>
    <definedName name="pAsympt_LTFU_Asympt_Dead_2004_2012">Params!$C$76</definedName>
    <definedName name="pAsympt_LTFU_Asympt_Dead_2013plus">Params!$C$80</definedName>
    <definedName name="pAsympt_LTFU_Asympt_Dead_2013plus_u">Params!$C$280</definedName>
    <definedName name="pAsympt_LTFU_Int_ART1_2004_2012">Params!$C$78</definedName>
    <definedName name="pAsympt_LTFU_Int_ART1_2013plus">Params!$C$82</definedName>
    <definedName name="pAsympt_LTFU_Int_ART1_2013plus_u">Params!$C$235</definedName>
    <definedName name="pAsympt_LTFU_Int_LTFU_2004_2012">Params!$C$77</definedName>
    <definedName name="pAsympt_LTFU_Int_LTFU_2013plus">Params!$C$81</definedName>
    <definedName name="pAsympt_LTFU_Int_LTFU_2013plus_u">Params!$C$283</definedName>
    <definedName name="pAsympt_NoCare_2004_2006">Params!$C$46</definedName>
    <definedName name="pAsympt_NoCare_2007_2009">Params!$C$52</definedName>
    <definedName name="pAsympt_NoCare_2010_2012">Params!$C$58</definedName>
    <definedName name="pAsympt_NoCare_2013plus">Params!$C$64</definedName>
    <definedName name="pAsympt_NoCare_2013plus_u">Params!$C$263</definedName>
    <definedName name="pAsympt_NoCare_Asympt_Dead_2004_2006">Params!$C$42</definedName>
    <definedName name="pAsympt_NoCare_Asympt_Dead_2007_2009">Params!$C$48</definedName>
    <definedName name="pAsympt_NoCare_Asympt_Dead_2010_2012">Params!$C$54</definedName>
    <definedName name="pAsympt_NoCare_Asympt_Dead_2013plus">Params!$C$60</definedName>
    <definedName name="pAsympt_NoCare_Asympt_Dead_2013plus_u">Params!$C$278</definedName>
    <definedName name="pAsympt_NoCare_Asympt_InCare_2004_2006">Params!$C$41</definedName>
    <definedName name="pAsympt_NoCare_Asympt_InCare_2007_2009">Params!$C$47</definedName>
    <definedName name="pAsympt_NoCare_Asympt_InCare_2010_2012">Params!$C$53</definedName>
    <definedName name="pAsympt_NoCare_Asympt_InCare_2013plus">Params!$C$59</definedName>
    <definedName name="pAsympt_NoCare_Asympt_InCare_2013plus_u">Params!$C$230</definedName>
    <definedName name="pAsympt_NoCare_Int_ART1_2004_2006">Params!$C$45</definedName>
    <definedName name="pAsympt_NoCare_Int_ART1_2007_2009">Params!$C$51</definedName>
    <definedName name="pAsympt_NoCare_Int_ART1_2010_2012">Params!$C$57</definedName>
    <definedName name="pAsympt_NoCare_Int_ART1_2013plus">Params!$C$63</definedName>
    <definedName name="pAsympt_NoCare_Int_ART1_2013plus_u">Params!$C$233</definedName>
    <definedName name="pAsympt_NoCare_Int_InCare_2004_2006">Params!$C$44</definedName>
    <definedName name="pAsympt_NoCare_Int_InCare_2007_2009">Params!$C$50</definedName>
    <definedName name="pAsympt_NoCare_Int_InCare_2010_2012">Params!$C$56</definedName>
    <definedName name="pAsympt_NoCare_Int_InCare_2013plus">Params!$C$62</definedName>
    <definedName name="pAsympt_NoCare_Int_InCare_2013plus_u">Params!$C$232</definedName>
    <definedName name="pAsympt_NoCare_Int_NoCare_2004_2006">Params!$C$43</definedName>
    <definedName name="pAsympt_NoCare_Int_NoCare_2007_2009">Params!$C$49</definedName>
    <definedName name="pAsympt_NoCare_Int_NoCare_2010_2012">Params!$C$55</definedName>
    <definedName name="pAsympt_NoCare_Int_NoCare_2013plus">Params!$C$61</definedName>
    <definedName name="pAsympt_NoCare_Int_NoCare_2013plus_u">Params!$C$281</definedName>
    <definedName name="pInt_ART1_2004_2012">Params!$C$127</definedName>
    <definedName name="pInt_ART1_2013plus">Params!$C$131</definedName>
    <definedName name="pInt_ART1_2013plus_u">Params!$C$268</definedName>
    <definedName name="pInt_ART1_Int_ART2_2004_2012">Params!$C$124</definedName>
    <definedName name="pInt_ART1_Int_ART2_2013plus">Params!$C$128</definedName>
    <definedName name="pInt_ART1_Int_ART2_2013plus_u">Params!$C$240</definedName>
    <definedName name="pInt_ART1_Int_Dead_2004_2012">Params!$C$126</definedName>
    <definedName name="pInt_ART1_Int_Dead_2013plus">Params!$C$130</definedName>
    <definedName name="pInt_ART1_Int_Dead_2013plus_u">Params!$C$242</definedName>
    <definedName name="pInt_ART1_Int_LTFU_2004_2012">Params!$C$125</definedName>
    <definedName name="pInt_ART1_Int_LTFU_2013plus">Params!$C$129</definedName>
    <definedName name="pInt_ART1_Int_LTFU_2013plus_u">Params!$C$241</definedName>
    <definedName name="pInt_ART2_2004_2012">Params!$C$134</definedName>
    <definedName name="pInt_ART2_2013plus">Params!$C$137</definedName>
    <definedName name="pInt_ART2_2013plus_u">Params!$C$269</definedName>
    <definedName name="pInt_ART2_Int_Dead_2004_2012">Params!$C$133</definedName>
    <definedName name="pInt_ART2_Int_Dead_2013plus">Params!$C$136</definedName>
    <definedName name="pInt_ART2_Int_Dead_2013plus_u">Params!$C$244</definedName>
    <definedName name="pInt_ART2_Int_LTFU_2004_2012">Params!$C$132</definedName>
    <definedName name="pInt_ART2_Int_LTFU_2013plus">Params!$C$135</definedName>
    <definedName name="pInt_ART2_Int_LTFU_2013plus_u">Params!$C$243</definedName>
    <definedName name="pInt_InCare_2004_2012">Params!$C$117</definedName>
    <definedName name="pInt_InCare_2013plus">Params!$C$123</definedName>
    <definedName name="pInt_InCare_2013plus_u">Params!$C$267</definedName>
    <definedName name="pInt_InCare_AIDS_ART1ear_2004_2012">Params!$C$116</definedName>
    <definedName name="pInt_InCare_AIDS_ART1ear_2013plus">Params!$C$122</definedName>
    <definedName name="pInt_InCare_AIDS_ART1ear_2013plus_u">Params!$C$249</definedName>
    <definedName name="pInt_InCare_AIDS_InCare_2004_2012">Params!$C$115</definedName>
    <definedName name="pInt_InCare_AIDS_InCare_2013plus">Params!$C$121</definedName>
    <definedName name="pInt_InCare_AIDS_InCare_2013plus_u">Params!$C$288</definedName>
    <definedName name="pInt_InCare_Int_ART1_2004_2012">Params!$C$112</definedName>
    <definedName name="pInt_InCare_Int_ART1_2013plus">Params!$C$118</definedName>
    <definedName name="pInt_InCare_Int_ART1_2013plus_u">Params!$C$238</definedName>
    <definedName name="pInt_InCare_Int_Dead_2004_2012">Params!$C$114</definedName>
    <definedName name="pInt_InCare_Int_Dead_2013plus">Params!$C$120</definedName>
    <definedName name="pInt_InCare_Int_Dead_2013plus_u">Params!$C$285</definedName>
    <definedName name="pInt_InCare_Int_LTFU_2004_2012">Params!$C$113</definedName>
    <definedName name="pInt_InCare_Int_LTFU_2013plus">Params!$C$119</definedName>
    <definedName name="pInt_InCare_Int_LTFU_2013plus_u">Params!$C$239</definedName>
    <definedName name="pInt_LTFU_2004_2012">Params!$C$142</definedName>
    <definedName name="pInt_LTFU_2013plus">Params!$C$147</definedName>
    <definedName name="pInt_LTFU_2013plus_u">Params!$C$270</definedName>
    <definedName name="pInt_LTFU_AIDS_LTFU_2004_2012">Params!$C$141</definedName>
    <definedName name="pInt_LTFU_AIDS_LTFU_2013plus">Params!$C$146</definedName>
    <definedName name="pInt_LTFU_AIDS_LTFU_2013plus_u">Params!$C$289</definedName>
    <definedName name="pInt_LTFU_Int_ART1_2004_2012">Params!$C$139</definedName>
    <definedName name="pInt_LTFU_Int_ART1_2013plus">Params!$C$144</definedName>
    <definedName name="pInt_LTFU_Int_ART1_2013plus_u">Params!$C$245</definedName>
    <definedName name="pInt_LTFU_Int_ART2_2004_2012">Params!$C$140</definedName>
    <definedName name="pInt_LTFU_Int_ART2_2013plus">Params!$C$145</definedName>
    <definedName name="pInt_LTFU_Int_ART2_2013plus_u">Params!$C$246</definedName>
    <definedName name="pInt_LTFU_Int_Dead_2004_2012">Params!$C$138</definedName>
    <definedName name="pInt_LTFU_Int_Dead_2013plus">Params!$C$143</definedName>
    <definedName name="pInt_LTFU_Int_Dead_2013plus_u">Params!$C$286</definedName>
    <definedName name="pInt_NoCare_2004_2006">Params!$C$90</definedName>
    <definedName name="pInt_NoCare_2007_2009">Params!$C$97</definedName>
    <definedName name="pInt_NoCare_2010_2012">Params!$C$104</definedName>
    <definedName name="pInt_NoCare_2013plus">Params!$C$111</definedName>
    <definedName name="pInt_NoCare_2013plus_u">Params!$C$266</definedName>
    <definedName name="pInt_NoCare_AIDS_ART1ear_2004_2006">Params!$C$89</definedName>
    <definedName name="pInt_NoCare_AIDS_ART1ear_2007_2009">Params!$C$96</definedName>
    <definedName name="pInt_NoCare_AIDS_ART1ear_2010_2012">Params!$C$103</definedName>
    <definedName name="pInt_NoCare_AIDS_ART1ear_2013plus">Params!$C$110</definedName>
    <definedName name="pInt_NoCare_AIDS_ART1ear_2013plus_u">Params!$C$248</definedName>
    <definedName name="pInt_NoCare_AIDS_InCare_2004_2006">Params!$C$88</definedName>
    <definedName name="pInt_NoCare_AIDS_InCare_2007_2009">Params!$C$95</definedName>
    <definedName name="pInt_NoCare_AIDS_InCare_2010_2012">Params!$C$102</definedName>
    <definedName name="pInt_NoCare_AIDS_InCare_2013plus">Params!$C$109</definedName>
    <definedName name="pInt_NoCare_AIDS_InCare_2013plus_u">Params!$C$247</definedName>
    <definedName name="pInt_NoCare_AIDS_NoCare_2004_2006">Params!$C$87</definedName>
    <definedName name="pInt_NoCare_AIDS_NoCare_2007_2009">Params!$C$94</definedName>
    <definedName name="pInt_NoCare_AIDS_NoCare_2010_2012">Params!$C$101</definedName>
    <definedName name="pInt_NoCare_AIDS_NoCare_2013plus">Params!$C$108</definedName>
    <definedName name="pInt_NoCare_AIDS_NoCare_2013plus_u">Params!$C$287</definedName>
    <definedName name="pInt_NoCare_Int_ART1_2004_2006">Params!$C$85</definedName>
    <definedName name="pInt_NoCare_Int_ART1_2007_2009">Params!$C$92</definedName>
    <definedName name="pInt_NoCare_Int_ART1_2010_2012">Params!$C$99</definedName>
    <definedName name="pInt_NoCare_Int_ART1_2013plus">Params!$C$106</definedName>
    <definedName name="pInt_NoCare_Int_ART1_2013plus_u">Params!$C$237</definedName>
    <definedName name="pInt_NoCare_Int_Dead_2004_2006">Params!$C$86</definedName>
    <definedName name="pInt_NoCare_Int_Dead_2007_2009">Params!$C$93</definedName>
    <definedName name="pInt_NoCare_Int_Dead_2010_2012">Params!$C$100</definedName>
    <definedName name="pInt_NoCare_Int_Dead_2013plus">Params!$C$107</definedName>
    <definedName name="pInt_NoCare_Int_Dead_2013plus_u">Params!$C$284</definedName>
    <definedName name="pInt_NoCare_Int_InCare_2004_2006">Params!$C$84</definedName>
    <definedName name="pInt_NoCare_Int_InCare_2007_2009">Params!$C$91</definedName>
    <definedName name="pInt_NoCare_Int_InCare_2010_2012">Params!$C$98</definedName>
    <definedName name="pInt_NoCare_Int_InCare_2013plus">Params!$C$105</definedName>
    <definedName name="pInt_NoCare_Int_InCare_2013plus_u">Params!$C$236</definedName>
  </definedNames>
  <calcPr calcId="152511"/>
</workbook>
</file>

<file path=xl/calcChain.xml><?xml version="1.0" encoding="utf-8"?>
<calcChain xmlns="http://schemas.openxmlformats.org/spreadsheetml/2006/main">
  <c r="D4" i="34" l="1"/>
  <c r="L39" i="13"/>
  <c r="C70" i="33" l="1"/>
  <c r="C69" i="33"/>
  <c r="C68" i="33"/>
  <c r="C67" i="33"/>
  <c r="C66" i="33"/>
  <c r="C65" i="33"/>
  <c r="C64" i="33"/>
  <c r="C63" i="33"/>
  <c r="C62" i="33"/>
  <c r="C61" i="33"/>
  <c r="V60" i="33"/>
  <c r="U60" i="33"/>
  <c r="T60" i="33"/>
  <c r="S60" i="33"/>
  <c r="R60" i="33"/>
  <c r="Q60" i="33"/>
  <c r="P60" i="33"/>
  <c r="O60" i="33"/>
  <c r="N60" i="33"/>
  <c r="M60" i="33"/>
  <c r="L60" i="33"/>
  <c r="K60" i="33"/>
  <c r="J60" i="33"/>
  <c r="I60" i="33"/>
  <c r="H60" i="33"/>
  <c r="G60" i="33"/>
  <c r="F60" i="33"/>
  <c r="E60" i="33"/>
  <c r="D60" i="33"/>
  <c r="C60" i="33"/>
  <c r="C59" i="33"/>
  <c r="C58" i="33"/>
  <c r="C57" i="33"/>
  <c r="C56" i="33"/>
  <c r="C55" i="33"/>
  <c r="V54" i="33"/>
  <c r="U54" i="33"/>
  <c r="T54" i="33"/>
  <c r="S54" i="33"/>
  <c r="R54" i="33"/>
  <c r="Q54" i="33"/>
  <c r="P54" i="33"/>
  <c r="O54" i="33"/>
  <c r="N54" i="33"/>
  <c r="M54" i="33"/>
  <c r="L54" i="33"/>
  <c r="K54" i="33"/>
  <c r="J54" i="33"/>
  <c r="I54" i="33"/>
  <c r="H54" i="33"/>
  <c r="G54" i="33"/>
  <c r="F54" i="33"/>
  <c r="E54" i="33"/>
  <c r="D54" i="33"/>
  <c r="C54" i="33"/>
  <c r="C52" i="33"/>
  <c r="C50" i="33"/>
  <c r="C49" i="33"/>
  <c r="C48" i="33"/>
  <c r="C47" i="33"/>
  <c r="C46" i="33"/>
  <c r="C45" i="33"/>
  <c r="C44" i="33"/>
  <c r="V42" i="33"/>
  <c r="U42" i="33"/>
  <c r="T42" i="33"/>
  <c r="S42" i="33"/>
  <c r="R42" i="33"/>
  <c r="Q42" i="33"/>
  <c r="P42" i="33"/>
  <c r="O42" i="33"/>
  <c r="N42" i="33"/>
  <c r="M42" i="33"/>
  <c r="L42" i="33"/>
  <c r="K42" i="33"/>
  <c r="J42" i="33"/>
  <c r="I42" i="33"/>
  <c r="H42" i="33"/>
  <c r="G42" i="33"/>
  <c r="F42" i="33"/>
  <c r="E42" i="33"/>
  <c r="D42" i="33"/>
  <c r="C42" i="33"/>
  <c r="V36" i="33"/>
  <c r="U36" i="33"/>
  <c r="T36" i="33"/>
  <c r="S36" i="33"/>
  <c r="R36" i="33"/>
  <c r="Q36" i="33"/>
  <c r="P36" i="33"/>
  <c r="O36" i="33"/>
  <c r="N36" i="33"/>
  <c r="M36" i="33"/>
  <c r="L36" i="33"/>
  <c r="K36" i="33"/>
  <c r="J36" i="33"/>
  <c r="I36" i="33"/>
  <c r="H36" i="33"/>
  <c r="G36" i="33"/>
  <c r="F36" i="33"/>
  <c r="E36" i="33"/>
  <c r="D36" i="33"/>
  <c r="C36" i="33"/>
  <c r="C35" i="33"/>
  <c r="C34" i="33"/>
  <c r="C33" i="33"/>
  <c r="C32" i="33"/>
  <c r="C31" i="33"/>
  <c r="C30" i="33"/>
  <c r="V29" i="33"/>
  <c r="U29" i="33"/>
  <c r="T29" i="33"/>
  <c r="S29" i="33"/>
  <c r="R29" i="33"/>
  <c r="Q29" i="33"/>
  <c r="P29" i="33"/>
  <c r="O29" i="33"/>
  <c r="N29" i="33"/>
  <c r="M29" i="33"/>
  <c r="L29" i="33"/>
  <c r="K29" i="33"/>
  <c r="J29" i="33"/>
  <c r="I29" i="33"/>
  <c r="H29" i="33"/>
  <c r="G29" i="33"/>
  <c r="F29" i="33"/>
  <c r="E29" i="33"/>
  <c r="D29" i="33"/>
  <c r="C29" i="33"/>
  <c r="C28" i="33"/>
  <c r="C27" i="33"/>
  <c r="C26" i="33"/>
  <c r="C25" i="33"/>
  <c r="V24" i="33"/>
  <c r="U24" i="33"/>
  <c r="T24" i="33"/>
  <c r="S24" i="33"/>
  <c r="R24" i="33"/>
  <c r="Q24" i="33"/>
  <c r="P24" i="33"/>
  <c r="O24" i="33"/>
  <c r="N24" i="33"/>
  <c r="M24" i="33"/>
  <c r="L24" i="33"/>
  <c r="K24" i="33"/>
  <c r="J24" i="33"/>
  <c r="I24" i="33"/>
  <c r="H24" i="33"/>
  <c r="G24" i="33"/>
  <c r="F24" i="33"/>
  <c r="E24" i="33"/>
  <c r="D24" i="33"/>
  <c r="C24" i="33"/>
  <c r="C22" i="33"/>
  <c r="C20" i="33"/>
  <c r="C19" i="33"/>
  <c r="C18" i="33"/>
  <c r="V16" i="33"/>
  <c r="U16" i="33"/>
  <c r="T16" i="33"/>
  <c r="S16" i="33"/>
  <c r="R16" i="33"/>
  <c r="Q16" i="33"/>
  <c r="P16" i="33"/>
  <c r="O16" i="33"/>
  <c r="N16" i="33"/>
  <c r="M16" i="33"/>
  <c r="L16" i="33"/>
  <c r="K16" i="33"/>
  <c r="J16" i="33"/>
  <c r="I16" i="33"/>
  <c r="H16" i="33"/>
  <c r="G16" i="33"/>
  <c r="F16" i="33"/>
  <c r="E16" i="33"/>
  <c r="D16" i="33"/>
  <c r="C16" i="33"/>
  <c r="C15" i="33"/>
  <c r="V11" i="33"/>
  <c r="U11" i="33"/>
  <c r="T11" i="33"/>
  <c r="S11" i="33"/>
  <c r="R11" i="33"/>
  <c r="Q11" i="33"/>
  <c r="P11" i="33"/>
  <c r="O11" i="33"/>
  <c r="N11" i="33"/>
  <c r="M11" i="33"/>
  <c r="L11" i="33"/>
  <c r="K11" i="33"/>
  <c r="J11" i="33"/>
  <c r="I11" i="33"/>
  <c r="H11" i="33"/>
  <c r="G11" i="33"/>
  <c r="F11" i="33"/>
  <c r="E11" i="33"/>
  <c r="D11" i="33"/>
  <c r="C11" i="33"/>
  <c r="C10" i="33"/>
  <c r="C9" i="33"/>
  <c r="C8" i="33"/>
  <c r="C7" i="33"/>
  <c r="V6" i="33"/>
  <c r="U6" i="33"/>
  <c r="T6" i="33"/>
  <c r="S6" i="33"/>
  <c r="R6" i="33"/>
  <c r="Q6" i="33"/>
  <c r="P6" i="33"/>
  <c r="O6" i="33"/>
  <c r="N6" i="33"/>
  <c r="M6" i="33"/>
  <c r="L6" i="33"/>
  <c r="K6" i="33"/>
  <c r="J6" i="33"/>
  <c r="I6" i="33"/>
  <c r="H6" i="33"/>
  <c r="G6" i="33"/>
  <c r="F6" i="33"/>
  <c r="E6" i="33"/>
  <c r="D6" i="33"/>
  <c r="C6" i="33"/>
  <c r="C70" i="32"/>
  <c r="C69" i="32"/>
  <c r="C68" i="32"/>
  <c r="C67" i="32"/>
  <c r="C66" i="32"/>
  <c r="C65" i="32"/>
  <c r="C64" i="32"/>
  <c r="C63" i="32"/>
  <c r="C62" i="32"/>
  <c r="C61" i="32"/>
  <c r="V60" i="32"/>
  <c r="U60" i="32"/>
  <c r="T60" i="32"/>
  <c r="S60" i="32"/>
  <c r="R60" i="32"/>
  <c r="Q60" i="32"/>
  <c r="P60" i="32"/>
  <c r="O60" i="32"/>
  <c r="N60" i="32"/>
  <c r="M60" i="32"/>
  <c r="L60" i="32"/>
  <c r="K60" i="32"/>
  <c r="J60" i="32"/>
  <c r="I60" i="32"/>
  <c r="H60" i="32"/>
  <c r="G60" i="32"/>
  <c r="F60" i="32"/>
  <c r="E60" i="32"/>
  <c r="D60" i="32"/>
  <c r="C60" i="32"/>
  <c r="C59" i="32"/>
  <c r="C58" i="32"/>
  <c r="C57" i="32"/>
  <c r="C56" i="32"/>
  <c r="C55" i="32"/>
  <c r="V54" i="32"/>
  <c r="U54" i="32"/>
  <c r="T54" i="32"/>
  <c r="S54" i="32"/>
  <c r="R54" i="32"/>
  <c r="Q54" i="32"/>
  <c r="P54" i="32"/>
  <c r="O54" i="32"/>
  <c r="N54" i="32"/>
  <c r="M54" i="32"/>
  <c r="L54" i="32"/>
  <c r="K54" i="32"/>
  <c r="J54" i="32"/>
  <c r="I54" i="32"/>
  <c r="H54" i="32"/>
  <c r="G54" i="32"/>
  <c r="F54" i="32"/>
  <c r="E54" i="32"/>
  <c r="D54" i="32"/>
  <c r="C54" i="32"/>
  <c r="C52" i="32"/>
  <c r="C50" i="32"/>
  <c r="C49" i="32"/>
  <c r="C48" i="32"/>
  <c r="C47" i="32"/>
  <c r="C46" i="32"/>
  <c r="C45" i="32"/>
  <c r="C44" i="32"/>
  <c r="V42" i="32"/>
  <c r="U42" i="32"/>
  <c r="T42" i="32"/>
  <c r="S42" i="32"/>
  <c r="R42" i="32"/>
  <c r="Q42" i="32"/>
  <c r="P42" i="32"/>
  <c r="O42" i="32"/>
  <c r="N42" i="32"/>
  <c r="M42" i="32"/>
  <c r="L42" i="32"/>
  <c r="K42" i="32"/>
  <c r="J42" i="32"/>
  <c r="I42" i="32"/>
  <c r="H42" i="32"/>
  <c r="G42" i="32"/>
  <c r="F42" i="32"/>
  <c r="E42" i="32"/>
  <c r="D42" i="32"/>
  <c r="C42" i="32"/>
  <c r="V36" i="32"/>
  <c r="U36" i="32"/>
  <c r="T36" i="32"/>
  <c r="S36" i="32"/>
  <c r="R36" i="32"/>
  <c r="Q36" i="32"/>
  <c r="P36" i="32"/>
  <c r="O36" i="32"/>
  <c r="N36" i="32"/>
  <c r="M36" i="32"/>
  <c r="L36" i="32"/>
  <c r="K36" i="32"/>
  <c r="J36" i="32"/>
  <c r="I36" i="32"/>
  <c r="H36" i="32"/>
  <c r="G36" i="32"/>
  <c r="F36" i="32"/>
  <c r="E36" i="32"/>
  <c r="D36" i="32"/>
  <c r="C36" i="32"/>
  <c r="C35" i="32"/>
  <c r="C34" i="32"/>
  <c r="C33" i="32"/>
  <c r="C32" i="32"/>
  <c r="C31" i="32"/>
  <c r="C30" i="32"/>
  <c r="V29" i="32"/>
  <c r="U29" i="32"/>
  <c r="T29" i="32"/>
  <c r="S29" i="32"/>
  <c r="R29" i="32"/>
  <c r="Q29" i="32"/>
  <c r="P29" i="32"/>
  <c r="O29" i="32"/>
  <c r="N29" i="32"/>
  <c r="M29" i="32"/>
  <c r="L29" i="32"/>
  <c r="K29" i="32"/>
  <c r="J29" i="32"/>
  <c r="I29" i="32"/>
  <c r="H29" i="32"/>
  <c r="G29" i="32"/>
  <c r="F29" i="32"/>
  <c r="E29" i="32"/>
  <c r="D29" i="32"/>
  <c r="C29" i="32"/>
  <c r="C28" i="32"/>
  <c r="C27" i="32"/>
  <c r="C26" i="32"/>
  <c r="C25" i="32"/>
  <c r="V24" i="32"/>
  <c r="U24" i="32"/>
  <c r="T24" i="32"/>
  <c r="S24" i="32"/>
  <c r="R24" i="32"/>
  <c r="Q24" i="32"/>
  <c r="P24" i="32"/>
  <c r="O24" i="32"/>
  <c r="N24" i="32"/>
  <c r="M24" i="32"/>
  <c r="L24" i="32"/>
  <c r="K24" i="32"/>
  <c r="J24" i="32"/>
  <c r="I24" i="32"/>
  <c r="H24" i="32"/>
  <c r="G24" i="32"/>
  <c r="F24" i="32"/>
  <c r="E24" i="32"/>
  <c r="D24" i="32"/>
  <c r="C24" i="32"/>
  <c r="C22" i="32"/>
  <c r="C20" i="32"/>
  <c r="C19" i="32"/>
  <c r="C18" i="32"/>
  <c r="V16" i="32"/>
  <c r="U16" i="32"/>
  <c r="T16" i="32"/>
  <c r="S16" i="32"/>
  <c r="R16" i="32"/>
  <c r="Q16" i="32"/>
  <c r="P16" i="32"/>
  <c r="O16" i="32"/>
  <c r="N16" i="32"/>
  <c r="M16" i="32"/>
  <c r="L16" i="32"/>
  <c r="K16" i="32"/>
  <c r="J16" i="32"/>
  <c r="I16" i="32"/>
  <c r="H16" i="32"/>
  <c r="G16" i="32"/>
  <c r="F16" i="32"/>
  <c r="E16" i="32"/>
  <c r="D16" i="32"/>
  <c r="C16" i="32"/>
  <c r="C15" i="32"/>
  <c r="V11" i="32"/>
  <c r="U11" i="32"/>
  <c r="T11" i="32"/>
  <c r="S11" i="32"/>
  <c r="R11" i="32"/>
  <c r="Q11" i="32"/>
  <c r="P11" i="32"/>
  <c r="O11" i="32"/>
  <c r="N11" i="32"/>
  <c r="M11" i="32"/>
  <c r="L11" i="32"/>
  <c r="K11" i="32"/>
  <c r="J11" i="32"/>
  <c r="I11" i="32"/>
  <c r="H11" i="32"/>
  <c r="G11" i="32"/>
  <c r="F11" i="32"/>
  <c r="E11" i="32"/>
  <c r="D11" i="32"/>
  <c r="C11" i="32"/>
  <c r="C10" i="32"/>
  <c r="C9" i="32"/>
  <c r="C8" i="32"/>
  <c r="C7" i="32"/>
  <c r="V6" i="32"/>
  <c r="U6" i="32"/>
  <c r="T6" i="32"/>
  <c r="S6" i="32"/>
  <c r="R6" i="32"/>
  <c r="Q6" i="32"/>
  <c r="P6" i="32"/>
  <c r="O6" i="32"/>
  <c r="N6" i="32"/>
  <c r="M6" i="32"/>
  <c r="L6" i="32"/>
  <c r="K6" i="32"/>
  <c r="J6" i="32"/>
  <c r="I6" i="32"/>
  <c r="H6" i="32"/>
  <c r="G6" i="32"/>
  <c r="F6" i="32"/>
  <c r="E6" i="32"/>
  <c r="D6" i="32"/>
  <c r="C6" i="32"/>
  <c r="C70" i="31"/>
  <c r="C69" i="31"/>
  <c r="C68" i="31"/>
  <c r="C67" i="31"/>
  <c r="C66" i="31"/>
  <c r="C65" i="31"/>
  <c r="C64" i="31"/>
  <c r="C63" i="31"/>
  <c r="C62" i="31"/>
  <c r="C61" i="31"/>
  <c r="V60" i="31"/>
  <c r="U60" i="31"/>
  <c r="T60" i="31"/>
  <c r="S60" i="31"/>
  <c r="R60" i="31"/>
  <c r="Q60" i="31"/>
  <c r="P60" i="31"/>
  <c r="O60" i="31"/>
  <c r="N60" i="31"/>
  <c r="M60" i="31"/>
  <c r="L60" i="31"/>
  <c r="K60" i="31"/>
  <c r="J60" i="31"/>
  <c r="I60" i="31"/>
  <c r="H60" i="31"/>
  <c r="G60" i="31"/>
  <c r="F60" i="31"/>
  <c r="E60" i="31"/>
  <c r="D60" i="31"/>
  <c r="C60" i="31"/>
  <c r="C59" i="31"/>
  <c r="C58" i="31"/>
  <c r="C57" i="31"/>
  <c r="C56" i="31"/>
  <c r="C55" i="31"/>
  <c r="V54" i="31"/>
  <c r="U54" i="31"/>
  <c r="T54" i="31"/>
  <c r="S54" i="31"/>
  <c r="R54" i="31"/>
  <c r="Q54" i="31"/>
  <c r="P54" i="31"/>
  <c r="O54" i="31"/>
  <c r="N54" i="31"/>
  <c r="M54" i="31"/>
  <c r="L54" i="31"/>
  <c r="K54" i="31"/>
  <c r="J54" i="31"/>
  <c r="I54" i="31"/>
  <c r="H54" i="31"/>
  <c r="G54" i="31"/>
  <c r="F54" i="31"/>
  <c r="E54" i="31"/>
  <c r="D54" i="31"/>
  <c r="C54" i="31"/>
  <c r="C52" i="31"/>
  <c r="C50" i="31"/>
  <c r="C49" i="31"/>
  <c r="C48" i="31"/>
  <c r="C47" i="31"/>
  <c r="C46" i="31"/>
  <c r="C45" i="31"/>
  <c r="C44" i="31"/>
  <c r="V42" i="31"/>
  <c r="U42" i="31"/>
  <c r="T42" i="31"/>
  <c r="S42" i="31"/>
  <c r="R42" i="31"/>
  <c r="Q42" i="31"/>
  <c r="P42" i="31"/>
  <c r="O42" i="31"/>
  <c r="N42" i="31"/>
  <c r="M42" i="31"/>
  <c r="L42" i="31"/>
  <c r="K42" i="31"/>
  <c r="J42" i="31"/>
  <c r="I42" i="31"/>
  <c r="H42" i="31"/>
  <c r="G42" i="31"/>
  <c r="F42" i="31"/>
  <c r="E42" i="31"/>
  <c r="D42" i="31"/>
  <c r="C42" i="31"/>
  <c r="V36" i="31"/>
  <c r="U36" i="31"/>
  <c r="T36" i="31"/>
  <c r="S36" i="31"/>
  <c r="R36" i="31"/>
  <c r="Q36" i="31"/>
  <c r="P36" i="31"/>
  <c r="O36" i="31"/>
  <c r="N36" i="31"/>
  <c r="M36" i="31"/>
  <c r="L36" i="31"/>
  <c r="K36" i="31"/>
  <c r="J36" i="31"/>
  <c r="I36" i="31"/>
  <c r="H36" i="31"/>
  <c r="G36" i="31"/>
  <c r="F36" i="31"/>
  <c r="E36" i="31"/>
  <c r="D36" i="31"/>
  <c r="C36" i="31"/>
  <c r="C35" i="31"/>
  <c r="C34" i="31"/>
  <c r="D33" i="31"/>
  <c r="C33" i="31"/>
  <c r="D32" i="31"/>
  <c r="C32" i="31"/>
  <c r="D31" i="31"/>
  <c r="C31" i="31"/>
  <c r="C30" i="31"/>
  <c r="V29" i="31"/>
  <c r="U29" i="31"/>
  <c r="T29" i="31"/>
  <c r="S29" i="31"/>
  <c r="R29" i="31"/>
  <c r="Q29" i="31"/>
  <c r="P29" i="31"/>
  <c r="O29" i="31"/>
  <c r="N29" i="31"/>
  <c r="M29" i="31"/>
  <c r="L29" i="31"/>
  <c r="K29" i="31"/>
  <c r="J29" i="31"/>
  <c r="I29" i="31"/>
  <c r="H29" i="31"/>
  <c r="G29" i="31"/>
  <c r="F29" i="31"/>
  <c r="E29" i="31"/>
  <c r="D29" i="31"/>
  <c r="C29" i="31"/>
  <c r="C28" i="31"/>
  <c r="C27" i="31"/>
  <c r="C26" i="31"/>
  <c r="C25" i="31"/>
  <c r="V24" i="31"/>
  <c r="U24" i="31"/>
  <c r="T24" i="31"/>
  <c r="S24" i="31"/>
  <c r="R24" i="31"/>
  <c r="Q24" i="31"/>
  <c r="P24" i="31"/>
  <c r="O24" i="31"/>
  <c r="N24" i="31"/>
  <c r="M24" i="31"/>
  <c r="L24" i="31"/>
  <c r="K24" i="31"/>
  <c r="J24" i="31"/>
  <c r="I24" i="31"/>
  <c r="H24" i="31"/>
  <c r="G24" i="31"/>
  <c r="F24" i="31"/>
  <c r="E24" i="31"/>
  <c r="D24" i="31"/>
  <c r="C24" i="31"/>
  <c r="C22" i="31"/>
  <c r="C20" i="31"/>
  <c r="C19" i="31"/>
  <c r="C18" i="31"/>
  <c r="V16" i="31"/>
  <c r="U16" i="31"/>
  <c r="T16" i="31"/>
  <c r="S16" i="31"/>
  <c r="R16" i="31"/>
  <c r="Q16" i="31"/>
  <c r="P16" i="31"/>
  <c r="O16" i="31"/>
  <c r="N16" i="31"/>
  <c r="M16" i="31"/>
  <c r="L16" i="31"/>
  <c r="K16" i="31"/>
  <c r="J16" i="31"/>
  <c r="I16" i="31"/>
  <c r="H16" i="31"/>
  <c r="G16" i="31"/>
  <c r="F16" i="31"/>
  <c r="E16" i="31"/>
  <c r="D16" i="31"/>
  <c r="C16" i="31"/>
  <c r="C15" i="31"/>
  <c r="V11" i="31"/>
  <c r="U11" i="31"/>
  <c r="T11" i="31"/>
  <c r="S11" i="31"/>
  <c r="R11" i="31"/>
  <c r="Q11" i="31"/>
  <c r="P11" i="31"/>
  <c r="O11" i="31"/>
  <c r="N11" i="31"/>
  <c r="M11" i="31"/>
  <c r="L11" i="31"/>
  <c r="K11" i="31"/>
  <c r="J11" i="31"/>
  <c r="I11" i="31"/>
  <c r="H11" i="31"/>
  <c r="G11" i="31"/>
  <c r="F11" i="31"/>
  <c r="E11" i="31"/>
  <c r="D11" i="31"/>
  <c r="C11" i="31"/>
  <c r="C10" i="31"/>
  <c r="C9" i="31"/>
  <c r="C8" i="31"/>
  <c r="C7" i="31"/>
  <c r="V6" i="31"/>
  <c r="U6" i="31"/>
  <c r="T6" i="31"/>
  <c r="S6" i="31"/>
  <c r="R6" i="31"/>
  <c r="Q6" i="31"/>
  <c r="P6" i="31"/>
  <c r="O6" i="31"/>
  <c r="N6" i="31"/>
  <c r="M6" i="31"/>
  <c r="L6" i="31"/>
  <c r="K6" i="31"/>
  <c r="J6" i="31"/>
  <c r="I6" i="31"/>
  <c r="H6" i="31"/>
  <c r="G6" i="31"/>
  <c r="F6" i="31"/>
  <c r="E6" i="31"/>
  <c r="D6" i="31"/>
  <c r="C6" i="31"/>
  <c r="C3" i="13" l="1"/>
  <c r="C46" i="6"/>
  <c r="D46" i="6" s="1"/>
  <c r="Z4" i="16"/>
  <c r="AT4" i="16" s="1"/>
  <c r="C69" i="6"/>
  <c r="E159" i="16" s="1"/>
  <c r="C5" i="13"/>
  <c r="C79" i="6"/>
  <c r="C12" i="13"/>
  <c r="C90" i="6"/>
  <c r="H30" i="16" s="1"/>
  <c r="C117" i="6"/>
  <c r="I97" i="16" s="1"/>
  <c r="C127" i="6"/>
  <c r="J76" i="16" s="1"/>
  <c r="C22" i="13"/>
  <c r="C134" i="6"/>
  <c r="K187" i="16" s="1"/>
  <c r="C142" i="6"/>
  <c r="BO93" i="16" s="1"/>
  <c r="C37" i="10"/>
  <c r="C151" i="6"/>
  <c r="N36" i="16" s="1"/>
  <c r="AJ4" i="16"/>
  <c r="BD4" i="16" s="1"/>
  <c r="C167" i="6"/>
  <c r="O37" i="16" s="1"/>
  <c r="C203" i="6"/>
  <c r="C52" i="13"/>
  <c r="C40" i="13"/>
  <c r="C211" i="6"/>
  <c r="Q105" i="16" s="1"/>
  <c r="C41" i="13"/>
  <c r="D49" i="13" s="1"/>
  <c r="C218" i="6"/>
  <c r="R172" i="16" s="1"/>
  <c r="C225" i="6"/>
  <c r="D44" i="13"/>
  <c r="E62" i="13" s="1"/>
  <c r="D48" i="13"/>
  <c r="E66" i="13" s="1"/>
  <c r="D50" i="13"/>
  <c r="C169" i="6"/>
  <c r="C170" i="6"/>
  <c r="C52" i="6"/>
  <c r="D92" i="16" s="1"/>
  <c r="Y74" i="16" s="1"/>
  <c r="C97" i="6"/>
  <c r="H96" i="16" s="1"/>
  <c r="C155" i="6"/>
  <c r="N80" i="16" s="1"/>
  <c r="C173" i="6"/>
  <c r="C174" i="6"/>
  <c r="C177" i="6"/>
  <c r="C178" i="6"/>
  <c r="C181" i="6"/>
  <c r="C182" i="6"/>
  <c r="C58" i="6"/>
  <c r="D136" i="16" s="1"/>
  <c r="C24" i="6"/>
  <c r="C104" i="6"/>
  <c r="H162" i="16" s="1"/>
  <c r="C159" i="6"/>
  <c r="N168" i="16" s="1"/>
  <c r="C185" i="6"/>
  <c r="C186" i="6"/>
  <c r="C25" i="6"/>
  <c r="C189" i="6"/>
  <c r="C190" i="6"/>
  <c r="C26" i="6"/>
  <c r="C193" i="6"/>
  <c r="C194" i="6"/>
  <c r="D7" i="29"/>
  <c r="E7" i="29"/>
  <c r="F7" i="29"/>
  <c r="G7" i="29"/>
  <c r="H7" i="29"/>
  <c r="I7" i="29"/>
  <c r="J7" i="29"/>
  <c r="K7" i="29"/>
  <c r="L7" i="29"/>
  <c r="M7" i="29"/>
  <c r="N7" i="29"/>
  <c r="O7" i="29"/>
  <c r="P7" i="29"/>
  <c r="Q7" i="29"/>
  <c r="R7" i="29"/>
  <c r="S7" i="29"/>
  <c r="T7" i="29"/>
  <c r="U7" i="29"/>
  <c r="V7" i="29"/>
  <c r="D12" i="29"/>
  <c r="E12" i="29"/>
  <c r="F12" i="29"/>
  <c r="G12" i="29"/>
  <c r="H12" i="29"/>
  <c r="I12" i="29"/>
  <c r="J12" i="29"/>
  <c r="K12" i="29"/>
  <c r="L12" i="29"/>
  <c r="M12" i="29"/>
  <c r="N12" i="29"/>
  <c r="O12" i="29"/>
  <c r="P12" i="29"/>
  <c r="Q12" i="29"/>
  <c r="R12" i="29"/>
  <c r="S12" i="29"/>
  <c r="T12" i="29"/>
  <c r="U12" i="29"/>
  <c r="V12" i="29"/>
  <c r="D17" i="29"/>
  <c r="E17" i="29"/>
  <c r="F17" i="29"/>
  <c r="G17" i="29"/>
  <c r="H17" i="29"/>
  <c r="I17" i="29"/>
  <c r="J17" i="29"/>
  <c r="K17" i="29"/>
  <c r="L17" i="29"/>
  <c r="M17" i="29"/>
  <c r="N17" i="29"/>
  <c r="O17" i="29"/>
  <c r="P17" i="29"/>
  <c r="Q17" i="29"/>
  <c r="R17" i="29"/>
  <c r="S17" i="29"/>
  <c r="T17" i="29"/>
  <c r="U17" i="29"/>
  <c r="V17" i="29"/>
  <c r="D18" i="29"/>
  <c r="E18" i="29"/>
  <c r="F18" i="29"/>
  <c r="G18" i="29"/>
  <c r="H18" i="29"/>
  <c r="I18" i="29"/>
  <c r="J18" i="29"/>
  <c r="K18" i="29"/>
  <c r="L18" i="29"/>
  <c r="M18" i="29"/>
  <c r="N18" i="29"/>
  <c r="O18" i="29"/>
  <c r="P18" i="29"/>
  <c r="Q18" i="29"/>
  <c r="R18" i="29"/>
  <c r="S18" i="29"/>
  <c r="T18" i="29"/>
  <c r="U18" i="29"/>
  <c r="V18" i="29"/>
  <c r="D22" i="29"/>
  <c r="E22" i="29"/>
  <c r="F22" i="29"/>
  <c r="G22" i="29"/>
  <c r="H22" i="29"/>
  <c r="I22" i="29"/>
  <c r="J22" i="29"/>
  <c r="K22" i="29"/>
  <c r="L22" i="29"/>
  <c r="M22" i="29"/>
  <c r="N22" i="29"/>
  <c r="O22" i="29"/>
  <c r="P22" i="29"/>
  <c r="Q22" i="29"/>
  <c r="R22" i="29"/>
  <c r="S22" i="29"/>
  <c r="T22" i="29"/>
  <c r="U22" i="29"/>
  <c r="V22" i="29"/>
  <c r="D29" i="29"/>
  <c r="E29" i="29"/>
  <c r="F29" i="29"/>
  <c r="G29" i="29"/>
  <c r="H29" i="29"/>
  <c r="I29" i="29"/>
  <c r="J29" i="29"/>
  <c r="K29" i="29"/>
  <c r="L29" i="29"/>
  <c r="M29" i="29"/>
  <c r="N29" i="29"/>
  <c r="O29" i="29"/>
  <c r="P29" i="29"/>
  <c r="Q29" i="29"/>
  <c r="R29" i="29"/>
  <c r="S29" i="29"/>
  <c r="T29" i="29"/>
  <c r="U29" i="29"/>
  <c r="V29" i="29"/>
  <c r="D31" i="29"/>
  <c r="E31" i="29"/>
  <c r="F31" i="29"/>
  <c r="G31" i="29"/>
  <c r="H31" i="29"/>
  <c r="I31" i="29"/>
  <c r="J31" i="29"/>
  <c r="K31" i="29"/>
  <c r="L31" i="29"/>
  <c r="M31" i="29"/>
  <c r="N31" i="29"/>
  <c r="O31" i="29"/>
  <c r="P31" i="29"/>
  <c r="Q31" i="29"/>
  <c r="R31" i="29"/>
  <c r="S31" i="29"/>
  <c r="T31" i="29"/>
  <c r="U31" i="29"/>
  <c r="V31" i="29"/>
  <c r="AD4" i="16"/>
  <c r="AX4" i="16" s="1"/>
  <c r="CF5" i="16" s="1"/>
  <c r="AX26" i="16"/>
  <c r="BA26" i="16"/>
  <c r="BM26" i="16" s="1"/>
  <c r="AX48" i="16"/>
  <c r="CF49" i="16" s="1"/>
  <c r="BA48" i="16"/>
  <c r="BM48" i="16" s="1"/>
  <c r="AX70" i="16"/>
  <c r="BA70" i="16"/>
  <c r="BM70" i="16" s="1"/>
  <c r="BS71" i="16" s="1"/>
  <c r="CT72" i="16" s="1"/>
  <c r="AX92" i="16"/>
  <c r="BA92" i="16"/>
  <c r="BM92" i="16" s="1"/>
  <c r="AX114" i="16"/>
  <c r="BA114" i="16"/>
  <c r="BM114" i="16" s="1"/>
  <c r="BS115" i="16" s="1"/>
  <c r="CT116" i="16" s="1"/>
  <c r="C27" i="6"/>
  <c r="BF206" i="16" s="1"/>
  <c r="CP207" i="16" s="1"/>
  <c r="C28" i="6"/>
  <c r="BG225" i="16" s="1"/>
  <c r="C29" i="6"/>
  <c r="AY256" i="16" s="1"/>
  <c r="C30" i="6"/>
  <c r="BE273" i="16" s="1"/>
  <c r="CO274" i="16" s="1"/>
  <c r="C31" i="6"/>
  <c r="AU299" i="16" s="1"/>
  <c r="C32" i="6"/>
  <c r="AW314" i="16" s="1"/>
  <c r="CE315" i="16" s="1"/>
  <c r="C33" i="6"/>
  <c r="AV338" i="16" s="1"/>
  <c r="C34" i="6"/>
  <c r="BD356" i="16" s="1"/>
  <c r="C35" i="6"/>
  <c r="AX390" i="16" s="1"/>
  <c r="C36" i="6"/>
  <c r="BG413" i="16" s="1"/>
  <c r="C37" i="6"/>
  <c r="AZ428" i="16" s="1"/>
  <c r="CH429" i="16" s="1"/>
  <c r="AU26" i="16"/>
  <c r="AU48" i="16"/>
  <c r="AU70" i="16"/>
  <c r="AU92" i="16"/>
  <c r="AU114" i="16"/>
  <c r="AY26" i="16"/>
  <c r="AY48" i="16"/>
  <c r="AY70" i="16"/>
  <c r="AY92" i="16"/>
  <c r="CG93" i="16" s="1"/>
  <c r="AY114" i="16"/>
  <c r="BP445" i="16"/>
  <c r="D20" i="20"/>
  <c r="D35" i="29"/>
  <c r="E35" i="29"/>
  <c r="F35" i="29"/>
  <c r="G35" i="29"/>
  <c r="H35" i="29"/>
  <c r="I35" i="29"/>
  <c r="J35" i="29"/>
  <c r="K35" i="29"/>
  <c r="L35" i="29"/>
  <c r="M35" i="29"/>
  <c r="N35" i="29"/>
  <c r="O35" i="29"/>
  <c r="P35" i="29"/>
  <c r="Q35" i="29"/>
  <c r="R35" i="29"/>
  <c r="S35" i="29"/>
  <c r="T35" i="29"/>
  <c r="U35" i="29"/>
  <c r="V35" i="29"/>
  <c r="BD26" i="16"/>
  <c r="CN27" i="16" s="1"/>
  <c r="BH26" i="16"/>
  <c r="BQ26" i="16" s="1"/>
  <c r="BD48" i="16"/>
  <c r="CN49" i="16" s="1"/>
  <c r="BH48" i="16"/>
  <c r="BQ48" i="16" s="1"/>
  <c r="CR49" i="16" s="1"/>
  <c r="BD70" i="16"/>
  <c r="BH70" i="16"/>
  <c r="BQ70" i="16" s="1"/>
  <c r="CR71" i="16" s="1"/>
  <c r="BD92" i="16"/>
  <c r="BH92" i="16"/>
  <c r="BQ92" i="16" s="1"/>
  <c r="CR93" i="16" s="1"/>
  <c r="BD114" i="16"/>
  <c r="BH114" i="16"/>
  <c r="BQ114" i="16" s="1"/>
  <c r="CR115" i="16" s="1"/>
  <c r="BR5" i="16"/>
  <c r="CS6" i="16" s="1"/>
  <c r="BR27" i="16"/>
  <c r="CS28" i="16" s="1"/>
  <c r="BR49" i="16"/>
  <c r="BR71" i="16"/>
  <c r="CS72" i="16" s="1"/>
  <c r="BR93" i="16"/>
  <c r="CS94" i="16" s="1"/>
  <c r="BR115" i="16"/>
  <c r="CS116" i="16" s="1"/>
  <c r="BR137" i="16"/>
  <c r="CS138" i="16" s="1"/>
  <c r="BR159" i="16"/>
  <c r="CS160" i="16" s="1"/>
  <c r="BR181" i="16"/>
  <c r="CS182" i="16" s="1"/>
  <c r="BR203" i="16"/>
  <c r="CS204" i="16" s="1"/>
  <c r="BR225" i="16"/>
  <c r="CS226" i="16" s="1"/>
  <c r="BR247" i="16"/>
  <c r="CS248" i="16" s="1"/>
  <c r="BR269" i="16"/>
  <c r="CS270" i="16" s="1"/>
  <c r="BR291" i="16"/>
  <c r="CS292" i="16" s="1"/>
  <c r="BR313" i="16"/>
  <c r="CS314" i="16" s="1"/>
  <c r="BR335" i="16"/>
  <c r="CS336" i="16" s="1"/>
  <c r="BR357" i="16"/>
  <c r="CS358" i="16" s="1"/>
  <c r="BR379" i="16"/>
  <c r="CS380" i="16" s="1"/>
  <c r="BR401" i="16"/>
  <c r="CS402" i="16" s="1"/>
  <c r="BR423" i="16"/>
  <c r="CS424" i="16" s="1"/>
  <c r="BE26" i="16"/>
  <c r="BE48" i="16"/>
  <c r="BE70" i="16"/>
  <c r="CO71" i="16" s="1"/>
  <c r="BE92" i="16"/>
  <c r="BE114" i="16"/>
  <c r="CO115" i="16" s="1"/>
  <c r="AL4" i="16"/>
  <c r="BF4" i="16" s="1"/>
  <c r="BF26" i="16"/>
  <c r="BF48" i="16"/>
  <c r="BF70" i="16"/>
  <c r="BU71" i="16" s="1"/>
  <c r="BF92" i="16"/>
  <c r="CP93" i="16" s="1"/>
  <c r="BF114" i="16"/>
  <c r="BV5" i="16"/>
  <c r="CW6" i="16" s="1"/>
  <c r="BV27" i="16"/>
  <c r="CW28" i="16" s="1"/>
  <c r="BV49" i="16"/>
  <c r="CW50" i="16" s="1"/>
  <c r="BV71" i="16"/>
  <c r="CW72" i="16" s="1"/>
  <c r="BV93" i="16"/>
  <c r="CW94" i="16" s="1"/>
  <c r="BV115" i="16"/>
  <c r="CW116" i="16" s="1"/>
  <c r="BV137" i="16"/>
  <c r="CW138" i="16" s="1"/>
  <c r="BV159" i="16"/>
  <c r="CW160" i="16" s="1"/>
  <c r="BV181" i="16"/>
  <c r="CW182" i="16" s="1"/>
  <c r="BV203" i="16"/>
  <c r="CW204" i="16" s="1"/>
  <c r="BV225" i="16"/>
  <c r="CW226" i="16" s="1"/>
  <c r="BV247" i="16"/>
  <c r="CW248" i="16" s="1"/>
  <c r="BV269" i="16"/>
  <c r="CW270" i="16" s="1"/>
  <c r="BV291" i="16"/>
  <c r="CW292" i="16" s="1"/>
  <c r="BV313" i="16"/>
  <c r="CW314" i="16" s="1"/>
  <c r="BV335" i="16"/>
  <c r="CW336" i="16" s="1"/>
  <c r="BV357" i="16"/>
  <c r="CW358" i="16" s="1"/>
  <c r="BV379" i="16"/>
  <c r="CW380" i="16" s="1"/>
  <c r="BV401" i="16"/>
  <c r="CW402" i="16" s="1"/>
  <c r="BV423" i="16"/>
  <c r="CW424" i="16" s="1"/>
  <c r="AM4" i="16"/>
  <c r="BG4" i="16" s="1"/>
  <c r="BG26" i="16"/>
  <c r="BG48" i="16"/>
  <c r="BW49" i="16" s="1"/>
  <c r="CX50" i="16" s="1"/>
  <c r="BG70" i="16"/>
  <c r="CQ71" i="16" s="1"/>
  <c r="BG92" i="16"/>
  <c r="BG114" i="16"/>
  <c r="BP444" i="16"/>
  <c r="BX445" i="16"/>
  <c r="D42" i="29"/>
  <c r="E42" i="29"/>
  <c r="F42" i="29"/>
  <c r="G42" i="29"/>
  <c r="H42" i="29"/>
  <c r="I42" i="29"/>
  <c r="J42" i="29"/>
  <c r="K42" i="29"/>
  <c r="L42" i="29"/>
  <c r="M42" i="29"/>
  <c r="N42" i="29"/>
  <c r="O42" i="29"/>
  <c r="P42" i="29"/>
  <c r="Q42" i="29"/>
  <c r="R42" i="29"/>
  <c r="S42" i="29"/>
  <c r="T42" i="29"/>
  <c r="U42" i="29"/>
  <c r="V42" i="29"/>
  <c r="D43" i="29"/>
  <c r="E43" i="29"/>
  <c r="F43" i="29"/>
  <c r="G43" i="29"/>
  <c r="H43" i="29"/>
  <c r="I43" i="29"/>
  <c r="J43" i="29"/>
  <c r="K43" i="29"/>
  <c r="L43" i="29"/>
  <c r="M43" i="29"/>
  <c r="N43" i="29"/>
  <c r="O43" i="29"/>
  <c r="P43" i="29"/>
  <c r="Q43" i="29"/>
  <c r="R43" i="29"/>
  <c r="S43" i="29"/>
  <c r="T43" i="29"/>
  <c r="U43" i="29"/>
  <c r="V43" i="29"/>
  <c r="Y4" i="16"/>
  <c r="AS26" i="16"/>
  <c r="CB27" i="16" s="1"/>
  <c r="AS48" i="16"/>
  <c r="CB49" i="16" s="1"/>
  <c r="AS70" i="16"/>
  <c r="CB71" i="16"/>
  <c r="AS92" i="16"/>
  <c r="CB93" i="16" s="1"/>
  <c r="AS114" i="16"/>
  <c r="CB115" i="16" s="1"/>
  <c r="AT26" i="16"/>
  <c r="AT48" i="16"/>
  <c r="AT70" i="16"/>
  <c r="CC71" i="16" s="1"/>
  <c r="AT92" i="16"/>
  <c r="AT114" i="16"/>
  <c r="CC115" i="16" s="1"/>
  <c r="C47" i="25"/>
  <c r="C47" i="17"/>
  <c r="D49" i="29"/>
  <c r="E49" i="29"/>
  <c r="F49" i="29"/>
  <c r="G49" i="29"/>
  <c r="H49" i="29"/>
  <c r="I49" i="29"/>
  <c r="J49" i="29"/>
  <c r="K49" i="29"/>
  <c r="L49" i="29"/>
  <c r="M49" i="29"/>
  <c r="N49" i="29"/>
  <c r="O49" i="29"/>
  <c r="P49" i="29"/>
  <c r="Q49" i="29"/>
  <c r="R49" i="29"/>
  <c r="S49" i="29"/>
  <c r="T49" i="29"/>
  <c r="U49" i="29"/>
  <c r="V49" i="29"/>
  <c r="AC4" i="16"/>
  <c r="AW4" i="16" s="1"/>
  <c r="CE5" i="16" s="1"/>
  <c r="AW26" i="16"/>
  <c r="CE27" i="16" s="1"/>
  <c r="AW48" i="16"/>
  <c r="CE49" i="16" s="1"/>
  <c r="AW70" i="16"/>
  <c r="CE71" i="16" s="1"/>
  <c r="AW92" i="16"/>
  <c r="CE93" i="16" s="1"/>
  <c r="AW114" i="16"/>
  <c r="CE115" i="16" s="1"/>
  <c r="D28" i="13"/>
  <c r="AF4" i="16"/>
  <c r="AZ4" i="16" s="1"/>
  <c r="CH5" i="16" s="1"/>
  <c r="AZ26" i="16"/>
  <c r="CH27" i="16" s="1"/>
  <c r="AZ48" i="16"/>
  <c r="CH49" i="16" s="1"/>
  <c r="AZ70" i="16"/>
  <c r="CH71" i="16" s="1"/>
  <c r="AZ92" i="16"/>
  <c r="AZ114" i="16"/>
  <c r="CH115" i="16" s="1"/>
  <c r="CI71" i="16"/>
  <c r="CJ5" i="16"/>
  <c r="CJ27" i="16"/>
  <c r="CJ49" i="16"/>
  <c r="CJ71" i="16"/>
  <c r="CJ93" i="16"/>
  <c r="CJ115" i="16"/>
  <c r="CJ137" i="16"/>
  <c r="CJ159" i="16"/>
  <c r="CJ181" i="16"/>
  <c r="CJ203" i="16"/>
  <c r="CJ225" i="16"/>
  <c r="CJ247" i="16"/>
  <c r="CJ269" i="16"/>
  <c r="CJ291" i="16"/>
  <c r="CJ313" i="16"/>
  <c r="CJ335" i="16"/>
  <c r="CJ357" i="16"/>
  <c r="CJ379" i="16"/>
  <c r="CJ401" i="16"/>
  <c r="CJ423" i="16"/>
  <c r="CK5" i="16"/>
  <c r="CK27" i="16"/>
  <c r="CK49" i="16"/>
  <c r="CK71" i="16"/>
  <c r="CK93" i="16"/>
  <c r="CK115" i="16"/>
  <c r="CK137" i="16"/>
  <c r="CK159" i="16"/>
  <c r="CK181" i="16"/>
  <c r="CK203" i="16"/>
  <c r="CK225" i="16"/>
  <c r="CK247" i="16"/>
  <c r="CK269" i="16"/>
  <c r="CK291" i="16"/>
  <c r="CK313" i="16"/>
  <c r="CK335" i="16"/>
  <c r="CK357" i="16"/>
  <c r="CK379" i="16"/>
  <c r="CK401" i="16"/>
  <c r="CK423" i="16"/>
  <c r="CL5" i="16"/>
  <c r="CL27" i="16"/>
  <c r="CL49" i="16"/>
  <c r="CL71" i="16"/>
  <c r="CL93" i="16"/>
  <c r="CL115" i="16"/>
  <c r="CL137" i="16"/>
  <c r="CL159" i="16"/>
  <c r="CL181" i="16"/>
  <c r="CL203" i="16"/>
  <c r="CL225" i="16"/>
  <c r="CL247" i="16"/>
  <c r="CL269" i="16"/>
  <c r="CL291" i="16"/>
  <c r="CL313" i="16"/>
  <c r="CL335" i="16"/>
  <c r="CL357" i="16"/>
  <c r="CL379" i="16"/>
  <c r="CL401" i="16"/>
  <c r="CL423" i="16"/>
  <c r="CL6" i="16"/>
  <c r="CL28" i="16"/>
  <c r="CL50" i="16"/>
  <c r="CL72" i="16"/>
  <c r="CL94" i="16"/>
  <c r="CL116" i="16"/>
  <c r="CL138" i="16"/>
  <c r="CL160" i="16"/>
  <c r="CL182" i="16"/>
  <c r="CL204" i="16"/>
  <c r="CL226" i="16"/>
  <c r="CL248" i="16"/>
  <c r="CL270" i="16"/>
  <c r="CL292" i="16"/>
  <c r="CL314" i="16"/>
  <c r="CL336" i="16"/>
  <c r="CL358" i="16"/>
  <c r="CL380" i="16"/>
  <c r="CL402" i="16"/>
  <c r="CL424" i="16"/>
  <c r="C54" i="25"/>
  <c r="C54" i="17"/>
  <c r="D56" i="29"/>
  <c r="E56" i="29"/>
  <c r="F56" i="29"/>
  <c r="G56" i="29"/>
  <c r="H56" i="29"/>
  <c r="I56" i="29"/>
  <c r="J56" i="29"/>
  <c r="K56" i="29"/>
  <c r="L56" i="29"/>
  <c r="M56" i="29"/>
  <c r="N56" i="29"/>
  <c r="O56" i="29"/>
  <c r="P56" i="29"/>
  <c r="Q56" i="29"/>
  <c r="R56" i="29"/>
  <c r="S56" i="29"/>
  <c r="T56" i="29"/>
  <c r="U56" i="29"/>
  <c r="V56" i="29"/>
  <c r="BC26" i="16"/>
  <c r="BC48" i="16"/>
  <c r="BC70" i="16"/>
  <c r="BC92" i="16"/>
  <c r="CM93" i="16" s="1"/>
  <c r="BC114" i="16"/>
  <c r="AB4" i="16"/>
  <c r="AH4" i="16"/>
  <c r="BB4" i="16" s="1"/>
  <c r="AO4" i="16"/>
  <c r="BI4" i="16" s="1"/>
  <c r="Q38" i="16"/>
  <c r="BF27" i="16"/>
  <c r="BF49" i="16"/>
  <c r="CP50" i="16" s="1"/>
  <c r="BF71" i="16"/>
  <c r="CP72" i="16" s="1"/>
  <c r="BF93" i="16"/>
  <c r="CP94" i="16" s="1"/>
  <c r="BF115" i="16"/>
  <c r="D62" i="13"/>
  <c r="D63" i="13"/>
  <c r="D64" i="13"/>
  <c r="D65" i="13"/>
  <c r="D66" i="13"/>
  <c r="D67" i="13"/>
  <c r="D68" i="13"/>
  <c r="CS5" i="16"/>
  <c r="CS27" i="16"/>
  <c r="CS49" i="16"/>
  <c r="CS71" i="16"/>
  <c r="CS93" i="16"/>
  <c r="CS115" i="16"/>
  <c r="CS137" i="16"/>
  <c r="CS159" i="16"/>
  <c r="CS181" i="16"/>
  <c r="CS203" i="16"/>
  <c r="CS225" i="16"/>
  <c r="CS247" i="16"/>
  <c r="CS269" i="16"/>
  <c r="CS291" i="16"/>
  <c r="CS313" i="16"/>
  <c r="CS335" i="16"/>
  <c r="CS357" i="16"/>
  <c r="CS379" i="16"/>
  <c r="CS401" i="16"/>
  <c r="CS423" i="16"/>
  <c r="CT5" i="16"/>
  <c r="CT27" i="16"/>
  <c r="CT49" i="16"/>
  <c r="CT71" i="16"/>
  <c r="CT93" i="16"/>
  <c r="CT115" i="16"/>
  <c r="CT137" i="16"/>
  <c r="CT159" i="16"/>
  <c r="CT181" i="16"/>
  <c r="CT203" i="16"/>
  <c r="CT225" i="16"/>
  <c r="CT247" i="16"/>
  <c r="CT269" i="16"/>
  <c r="CT291" i="16"/>
  <c r="CT313" i="16"/>
  <c r="CT335" i="16"/>
  <c r="CT357" i="16"/>
  <c r="CT379" i="16"/>
  <c r="CT401" i="16"/>
  <c r="CT423" i="16"/>
  <c r="CU5" i="16"/>
  <c r="CU27" i="16"/>
  <c r="CU49" i="16"/>
  <c r="CU71" i="16"/>
  <c r="CU93" i="16"/>
  <c r="CU115" i="16"/>
  <c r="CU137" i="16"/>
  <c r="CU159" i="16"/>
  <c r="CU181" i="16"/>
  <c r="CU203" i="16"/>
  <c r="CU225" i="16"/>
  <c r="CU247" i="16"/>
  <c r="CU269" i="16"/>
  <c r="CU291" i="16"/>
  <c r="CU313" i="16"/>
  <c r="CU335" i="16"/>
  <c r="CU357" i="16"/>
  <c r="CU379" i="16"/>
  <c r="CU401" i="16"/>
  <c r="CU423" i="16"/>
  <c r="CV5" i="16"/>
  <c r="CV27" i="16"/>
  <c r="CV49" i="16"/>
  <c r="CV71" i="16"/>
  <c r="CV93" i="16"/>
  <c r="CV115" i="16"/>
  <c r="CV137" i="16"/>
  <c r="CV159" i="16"/>
  <c r="CV181" i="16"/>
  <c r="CV203" i="16"/>
  <c r="CV225" i="16"/>
  <c r="CV247" i="16"/>
  <c r="CV269" i="16"/>
  <c r="CV291" i="16"/>
  <c r="CV313" i="16"/>
  <c r="CV335" i="16"/>
  <c r="CV357" i="16"/>
  <c r="CV379" i="16"/>
  <c r="CV401" i="16"/>
  <c r="CV423" i="16"/>
  <c r="CW5" i="16"/>
  <c r="CW27" i="16"/>
  <c r="CW49" i="16"/>
  <c r="CW71" i="16"/>
  <c r="CW93" i="16"/>
  <c r="CW115" i="16"/>
  <c r="CW137" i="16"/>
  <c r="CW159" i="16"/>
  <c r="CW181" i="16"/>
  <c r="CW203" i="16"/>
  <c r="CW225" i="16"/>
  <c r="CW247" i="16"/>
  <c r="CW269" i="16"/>
  <c r="CW291" i="16"/>
  <c r="CW313" i="16"/>
  <c r="CW335" i="16"/>
  <c r="CW357" i="16"/>
  <c r="CW379" i="16"/>
  <c r="CW401" i="16"/>
  <c r="CW423" i="16"/>
  <c r="CX5" i="16"/>
  <c r="CX27" i="16"/>
  <c r="CX49" i="16"/>
  <c r="CX71" i="16"/>
  <c r="CX93" i="16"/>
  <c r="CX115" i="16"/>
  <c r="CX137" i="16"/>
  <c r="CX159" i="16"/>
  <c r="CX181" i="16"/>
  <c r="CX203" i="16"/>
  <c r="CX225" i="16"/>
  <c r="CX247" i="16"/>
  <c r="CX269" i="16"/>
  <c r="CX291" i="16"/>
  <c r="CX313" i="16"/>
  <c r="CX335" i="16"/>
  <c r="CX357" i="16"/>
  <c r="CX379" i="16"/>
  <c r="CX401" i="16"/>
  <c r="CX423" i="16"/>
  <c r="CY5" i="16"/>
  <c r="CY27" i="16"/>
  <c r="CY49" i="16"/>
  <c r="CY71" i="16"/>
  <c r="CY93" i="16"/>
  <c r="CY115" i="16"/>
  <c r="CY137" i="16"/>
  <c r="CY159" i="16"/>
  <c r="CY181" i="16"/>
  <c r="CY203" i="16"/>
  <c r="CY225" i="16"/>
  <c r="CY247" i="16"/>
  <c r="CY269" i="16"/>
  <c r="CY291" i="16"/>
  <c r="CY313" i="16"/>
  <c r="CY335" i="16"/>
  <c r="CY357" i="16"/>
  <c r="CY379" i="16"/>
  <c r="CY401" i="16"/>
  <c r="CY423" i="16"/>
  <c r="BX5" i="16"/>
  <c r="BX27" i="16"/>
  <c r="CY28" i="16" s="1"/>
  <c r="BX49" i="16"/>
  <c r="BX71" i="16"/>
  <c r="CY72" i="16" s="1"/>
  <c r="BX93" i="16"/>
  <c r="BX115" i="16"/>
  <c r="CY116" i="16" s="1"/>
  <c r="BX137" i="16"/>
  <c r="BX159" i="16"/>
  <c r="CY160" i="16" s="1"/>
  <c r="BX181" i="16"/>
  <c r="BX203" i="16"/>
  <c r="CY204" i="16" s="1"/>
  <c r="BX225" i="16"/>
  <c r="BX247" i="16"/>
  <c r="CY248" i="16" s="1"/>
  <c r="BX269" i="16"/>
  <c r="BX291" i="16"/>
  <c r="CY292" i="16" s="1"/>
  <c r="BX313" i="16"/>
  <c r="BX335" i="16"/>
  <c r="CY336" i="16" s="1"/>
  <c r="BX357" i="16"/>
  <c r="BX379" i="16"/>
  <c r="CY380" i="16" s="1"/>
  <c r="BX401" i="16"/>
  <c r="BX423" i="16"/>
  <c r="CY424" i="16" s="1"/>
  <c r="C63" i="25"/>
  <c r="C63" i="17"/>
  <c r="C65" i="25"/>
  <c r="C65" i="17"/>
  <c r="D67" i="29"/>
  <c r="E67" i="29"/>
  <c r="F67" i="29"/>
  <c r="G67" i="29"/>
  <c r="H67" i="29"/>
  <c r="C7" i="29"/>
  <c r="C12" i="29"/>
  <c r="C17" i="29"/>
  <c r="C18" i="29"/>
  <c r="C20" i="25"/>
  <c r="C20" i="17"/>
  <c r="C20" i="29"/>
  <c r="C22" i="29"/>
  <c r="C29" i="29"/>
  <c r="C31" i="29"/>
  <c r="C33" i="25"/>
  <c r="C22" i="20"/>
  <c r="C33" i="17"/>
  <c r="C33" i="29"/>
  <c r="C35" i="29"/>
  <c r="C37" i="25"/>
  <c r="C52" i="20"/>
  <c r="C37" i="17"/>
  <c r="C37" i="29"/>
  <c r="C40" i="25"/>
  <c r="C40" i="17"/>
  <c r="C40" i="29"/>
  <c r="C42" i="29"/>
  <c r="C43" i="29"/>
  <c r="C44" i="25"/>
  <c r="C44" i="17"/>
  <c r="C44" i="29"/>
  <c r="C45" i="25"/>
  <c r="C45" i="17"/>
  <c r="C45" i="29"/>
  <c r="C46" i="25"/>
  <c r="C46" i="17"/>
  <c r="C46" i="29"/>
  <c r="C47" i="29"/>
  <c r="C48" i="25"/>
  <c r="C48" i="17"/>
  <c r="C48" i="29"/>
  <c r="C49" i="29"/>
  <c r="C50" i="25"/>
  <c r="C50" i="17"/>
  <c r="C50" i="29"/>
  <c r="C51" i="25"/>
  <c r="C51" i="17"/>
  <c r="C51" i="29"/>
  <c r="C52" i="25"/>
  <c r="C52" i="17"/>
  <c r="C52" i="29"/>
  <c r="C53" i="25"/>
  <c r="C53" i="17"/>
  <c r="C53" i="29"/>
  <c r="C54" i="29"/>
  <c r="C55" i="25"/>
  <c r="C55" i="17"/>
  <c r="C55" i="29"/>
  <c r="C56" i="29"/>
  <c r="C57" i="25"/>
  <c r="C57" i="17"/>
  <c r="C57" i="29"/>
  <c r="C58" i="25"/>
  <c r="C58" i="17"/>
  <c r="C58" i="29"/>
  <c r="C59" i="25"/>
  <c r="C59" i="17"/>
  <c r="C59" i="29"/>
  <c r="C60" i="25"/>
  <c r="C60" i="17"/>
  <c r="C60" i="29"/>
  <c r="C61" i="25"/>
  <c r="C61" i="17"/>
  <c r="C61" i="29"/>
  <c r="C62" i="25"/>
  <c r="C62" i="17"/>
  <c r="C62" i="29"/>
  <c r="C63" i="29"/>
  <c r="C64" i="25"/>
  <c r="C64" i="17"/>
  <c r="C64" i="29"/>
  <c r="C65" i="29"/>
  <c r="C66" i="25"/>
  <c r="C66" i="17"/>
  <c r="C66" i="29"/>
  <c r="C67" i="29"/>
  <c r="D7" i="28"/>
  <c r="E7" i="28"/>
  <c r="F7" i="28"/>
  <c r="G7" i="28"/>
  <c r="H7" i="28"/>
  <c r="I7" i="28"/>
  <c r="J7" i="28"/>
  <c r="K7" i="28"/>
  <c r="L7" i="28"/>
  <c r="M7" i="28"/>
  <c r="N7" i="28"/>
  <c r="O7" i="28"/>
  <c r="P7" i="28"/>
  <c r="Q7" i="28"/>
  <c r="R7" i="28"/>
  <c r="S7" i="28"/>
  <c r="T7" i="28"/>
  <c r="U7" i="28"/>
  <c r="V7" i="28"/>
  <c r="D12" i="28"/>
  <c r="E12" i="28"/>
  <c r="F12" i="28"/>
  <c r="G12" i="28"/>
  <c r="H12" i="28"/>
  <c r="I12" i="28"/>
  <c r="J12" i="28"/>
  <c r="K12" i="28"/>
  <c r="L12" i="28"/>
  <c r="M12" i="28"/>
  <c r="N12" i="28"/>
  <c r="O12" i="28"/>
  <c r="P12" i="28"/>
  <c r="Q12" i="28"/>
  <c r="R12" i="28"/>
  <c r="S12" i="28"/>
  <c r="T12" i="28"/>
  <c r="U12" i="28"/>
  <c r="V12" i="28"/>
  <c r="D17" i="28"/>
  <c r="E17" i="28"/>
  <c r="F17" i="28"/>
  <c r="G17" i="28"/>
  <c r="H17" i="28"/>
  <c r="I17" i="28"/>
  <c r="J17" i="28"/>
  <c r="K17" i="28"/>
  <c r="L17" i="28"/>
  <c r="M17" i="28"/>
  <c r="N17" i="28"/>
  <c r="O17" i="28"/>
  <c r="P17" i="28"/>
  <c r="Q17" i="28"/>
  <c r="R17" i="28"/>
  <c r="S17" i="28"/>
  <c r="T17" i="28"/>
  <c r="U17" i="28"/>
  <c r="V17" i="28"/>
  <c r="D18" i="28"/>
  <c r="E18" i="28"/>
  <c r="F18" i="28"/>
  <c r="G18" i="28"/>
  <c r="H18" i="28"/>
  <c r="I18" i="28"/>
  <c r="J18" i="28"/>
  <c r="K18" i="28"/>
  <c r="L18" i="28"/>
  <c r="M18" i="28"/>
  <c r="N18" i="28"/>
  <c r="O18" i="28"/>
  <c r="P18" i="28"/>
  <c r="Q18" i="28"/>
  <c r="R18" i="28"/>
  <c r="S18" i="28"/>
  <c r="T18" i="28"/>
  <c r="U18" i="28"/>
  <c r="V18" i="28"/>
  <c r="D22" i="28"/>
  <c r="E22" i="28"/>
  <c r="F22" i="28"/>
  <c r="G22" i="28"/>
  <c r="H22" i="28"/>
  <c r="I22" i="28"/>
  <c r="J22" i="28"/>
  <c r="K22" i="28"/>
  <c r="L22" i="28"/>
  <c r="M22" i="28"/>
  <c r="N22" i="28"/>
  <c r="O22" i="28"/>
  <c r="P22" i="28"/>
  <c r="Q22" i="28"/>
  <c r="R22" i="28"/>
  <c r="S22" i="28"/>
  <c r="T22" i="28"/>
  <c r="U22" i="28"/>
  <c r="V22" i="28"/>
  <c r="D29" i="28"/>
  <c r="E29" i="28"/>
  <c r="F29" i="28"/>
  <c r="G29" i="28"/>
  <c r="H29" i="28"/>
  <c r="I29" i="28"/>
  <c r="J29" i="28"/>
  <c r="K29" i="28"/>
  <c r="L29" i="28"/>
  <c r="M29" i="28"/>
  <c r="N29" i="28"/>
  <c r="O29" i="28"/>
  <c r="P29" i="28"/>
  <c r="Q29" i="28"/>
  <c r="R29" i="28"/>
  <c r="S29" i="28"/>
  <c r="T29" i="28"/>
  <c r="U29" i="28"/>
  <c r="V29" i="28"/>
  <c r="D31" i="28"/>
  <c r="E31" i="28"/>
  <c r="F31" i="28"/>
  <c r="G31" i="28"/>
  <c r="H31" i="28"/>
  <c r="I31" i="28"/>
  <c r="J31" i="28"/>
  <c r="K31" i="28"/>
  <c r="L31" i="28"/>
  <c r="M31" i="28"/>
  <c r="N31" i="28"/>
  <c r="O31" i="28"/>
  <c r="P31" i="28"/>
  <c r="Q31" i="28"/>
  <c r="R31" i="28"/>
  <c r="S31" i="28"/>
  <c r="T31" i="28"/>
  <c r="U31" i="28"/>
  <c r="V31" i="28"/>
  <c r="D35" i="28"/>
  <c r="E35" i="28"/>
  <c r="F35" i="28"/>
  <c r="G35" i="28"/>
  <c r="H35" i="28"/>
  <c r="I35" i="28"/>
  <c r="J35" i="28"/>
  <c r="K35" i="28"/>
  <c r="L35" i="28"/>
  <c r="M35" i="28"/>
  <c r="N35" i="28"/>
  <c r="O35" i="28"/>
  <c r="P35" i="28"/>
  <c r="Q35" i="28"/>
  <c r="R35" i="28"/>
  <c r="S35" i="28"/>
  <c r="T35" i="28"/>
  <c r="U35" i="28"/>
  <c r="V35" i="28"/>
  <c r="D42" i="28"/>
  <c r="E42" i="28"/>
  <c r="F42" i="28"/>
  <c r="G42" i="28"/>
  <c r="H42" i="28"/>
  <c r="I42" i="28"/>
  <c r="J42" i="28"/>
  <c r="K42" i="28"/>
  <c r="L42" i="28"/>
  <c r="M42" i="28"/>
  <c r="N42" i="28"/>
  <c r="O42" i="28"/>
  <c r="P42" i="28"/>
  <c r="Q42" i="28"/>
  <c r="R42" i="28"/>
  <c r="S42" i="28"/>
  <c r="T42" i="28"/>
  <c r="U42" i="28"/>
  <c r="V42" i="28"/>
  <c r="D43" i="28"/>
  <c r="E43" i="28"/>
  <c r="F43" i="28"/>
  <c r="G43" i="28"/>
  <c r="H43" i="28"/>
  <c r="I43" i="28"/>
  <c r="J43" i="28"/>
  <c r="K43" i="28"/>
  <c r="L43" i="28"/>
  <c r="M43" i="28"/>
  <c r="N43" i="28"/>
  <c r="O43" i="28"/>
  <c r="P43" i="28"/>
  <c r="Q43" i="28"/>
  <c r="R43" i="28"/>
  <c r="S43" i="28"/>
  <c r="T43" i="28"/>
  <c r="U43" i="28"/>
  <c r="V43" i="28"/>
  <c r="D49" i="28"/>
  <c r="E49" i="28"/>
  <c r="F49" i="28"/>
  <c r="G49" i="28"/>
  <c r="H49" i="28"/>
  <c r="I49" i="28"/>
  <c r="J49" i="28"/>
  <c r="K49" i="28"/>
  <c r="L49" i="28"/>
  <c r="M49" i="28"/>
  <c r="N49" i="28"/>
  <c r="O49" i="28"/>
  <c r="P49" i="28"/>
  <c r="Q49" i="28"/>
  <c r="R49" i="28"/>
  <c r="S49" i="28"/>
  <c r="T49" i="28"/>
  <c r="U49" i="28"/>
  <c r="V49" i="28"/>
  <c r="D56" i="28"/>
  <c r="E56" i="28"/>
  <c r="F56" i="28"/>
  <c r="G56" i="28"/>
  <c r="H56" i="28"/>
  <c r="I56" i="28"/>
  <c r="J56" i="28"/>
  <c r="K56" i="28"/>
  <c r="L56" i="28"/>
  <c r="M56" i="28"/>
  <c r="N56" i="28"/>
  <c r="O56" i="28"/>
  <c r="P56" i="28"/>
  <c r="Q56" i="28"/>
  <c r="R56" i="28"/>
  <c r="S56" i="28"/>
  <c r="T56" i="28"/>
  <c r="U56" i="28"/>
  <c r="V56" i="28"/>
  <c r="D67" i="28"/>
  <c r="E67" i="28"/>
  <c r="F67" i="28"/>
  <c r="G67" i="28"/>
  <c r="H67" i="28"/>
  <c r="C7" i="28"/>
  <c r="C12" i="28"/>
  <c r="C17" i="28"/>
  <c r="C18" i="28"/>
  <c r="C20" i="26"/>
  <c r="C20" i="28"/>
  <c r="C22" i="28"/>
  <c r="C29" i="28"/>
  <c r="C31" i="28"/>
  <c r="C22" i="10"/>
  <c r="C33" i="26"/>
  <c r="C33" i="28"/>
  <c r="C35" i="28"/>
  <c r="C52" i="10"/>
  <c r="C37" i="26"/>
  <c r="C37" i="28"/>
  <c r="C40" i="26"/>
  <c r="C40" i="28"/>
  <c r="C42" i="28"/>
  <c r="C43" i="28"/>
  <c r="C44" i="26"/>
  <c r="C44" i="28"/>
  <c r="C45" i="26"/>
  <c r="C45" i="28"/>
  <c r="C46" i="26"/>
  <c r="C46" i="28"/>
  <c r="C47" i="26"/>
  <c r="C47" i="28"/>
  <c r="C48" i="26"/>
  <c r="C48" i="28"/>
  <c r="C49" i="28"/>
  <c r="C50" i="26"/>
  <c r="C50" i="28"/>
  <c r="C51" i="26"/>
  <c r="C51" i="28"/>
  <c r="C52" i="26"/>
  <c r="C52" i="28"/>
  <c r="C53" i="26"/>
  <c r="C53" i="28"/>
  <c r="C54" i="26"/>
  <c r="C54" i="28"/>
  <c r="C55" i="26"/>
  <c r="C55" i="28"/>
  <c r="C56" i="28"/>
  <c r="C57" i="26"/>
  <c r="C57" i="28"/>
  <c r="C58" i="26"/>
  <c r="C58" i="28"/>
  <c r="C59" i="26"/>
  <c r="C59" i="28"/>
  <c r="C60" i="26"/>
  <c r="C60" i="28"/>
  <c r="C61" i="26"/>
  <c r="C61" i="28"/>
  <c r="C62" i="26"/>
  <c r="C62" i="28"/>
  <c r="C63" i="26"/>
  <c r="C63" i="28"/>
  <c r="C64" i="26"/>
  <c r="C64" i="28"/>
  <c r="C65" i="26"/>
  <c r="C65" i="28"/>
  <c r="C66" i="26"/>
  <c r="C66" i="28"/>
  <c r="C67" i="28"/>
  <c r="C20" i="27"/>
  <c r="C33" i="27"/>
  <c r="C37" i="27"/>
  <c r="C40" i="27"/>
  <c r="C44" i="27"/>
  <c r="C45" i="27"/>
  <c r="C46" i="27"/>
  <c r="C47" i="27"/>
  <c r="C48" i="27"/>
  <c r="C50" i="27"/>
  <c r="C51" i="27"/>
  <c r="C52" i="27"/>
  <c r="C53" i="27"/>
  <c r="C54" i="27"/>
  <c r="C55" i="27"/>
  <c r="C57" i="27"/>
  <c r="C58" i="27"/>
  <c r="C59" i="27"/>
  <c r="C60" i="27"/>
  <c r="C61" i="27"/>
  <c r="C62" i="27"/>
  <c r="C63" i="27"/>
  <c r="C64" i="27"/>
  <c r="C65" i="27"/>
  <c r="C66" i="27"/>
  <c r="C41" i="10"/>
  <c r="D59" i="10" s="1"/>
  <c r="C40" i="10"/>
  <c r="D58" i="10" s="1"/>
  <c r="F55" i="11"/>
  <c r="C262" i="6" s="1"/>
  <c r="F36" i="11"/>
  <c r="G23" i="11"/>
  <c r="C147" i="6"/>
  <c r="F70" i="11" s="1"/>
  <c r="F37" i="11"/>
  <c r="R195" i="16"/>
  <c r="P195" i="16"/>
  <c r="R173" i="16"/>
  <c r="P173" i="16"/>
  <c r="R151" i="16"/>
  <c r="P151" i="16"/>
  <c r="R129" i="16"/>
  <c r="P129" i="16"/>
  <c r="R107" i="16"/>
  <c r="P107" i="16"/>
  <c r="R85" i="16"/>
  <c r="P85" i="16"/>
  <c r="R63" i="16"/>
  <c r="P63" i="16"/>
  <c r="R41" i="16"/>
  <c r="P41" i="16"/>
  <c r="F54" i="11"/>
  <c r="C261" i="6" s="1"/>
  <c r="K188" i="16"/>
  <c r="K166" i="16"/>
  <c r="K144" i="16"/>
  <c r="K122" i="16"/>
  <c r="K100" i="16"/>
  <c r="K78" i="16"/>
  <c r="K56" i="16"/>
  <c r="K34" i="16"/>
  <c r="J188" i="16"/>
  <c r="J166" i="16"/>
  <c r="J144" i="16"/>
  <c r="J122" i="16"/>
  <c r="J100" i="16"/>
  <c r="J78" i="16"/>
  <c r="J56" i="16"/>
  <c r="J34" i="16"/>
  <c r="J182" i="16"/>
  <c r="J160" i="16"/>
  <c r="J138" i="16"/>
  <c r="J116" i="16"/>
  <c r="J94" i="16"/>
  <c r="J72" i="16"/>
  <c r="J50" i="16"/>
  <c r="J28" i="16"/>
  <c r="C229" i="6"/>
  <c r="F77" i="11" s="1"/>
  <c r="C83" i="6"/>
  <c r="F64" i="11" s="1"/>
  <c r="R217" i="16"/>
  <c r="P217" i="16"/>
  <c r="F25" i="11"/>
  <c r="F24" i="11"/>
  <c r="I52" i="16"/>
  <c r="I30" i="16"/>
  <c r="E12" i="22"/>
  <c r="F12" i="22"/>
  <c r="D12" i="22"/>
  <c r="P184" i="16"/>
  <c r="P162" i="16"/>
  <c r="P140" i="16"/>
  <c r="P118" i="16"/>
  <c r="P96" i="16"/>
  <c r="P74" i="16"/>
  <c r="P52" i="16"/>
  <c r="P30" i="16"/>
  <c r="J180" i="16"/>
  <c r="J158" i="16"/>
  <c r="J136" i="16"/>
  <c r="J114" i="16"/>
  <c r="J92" i="16"/>
  <c r="J70" i="16"/>
  <c r="J48" i="16"/>
  <c r="J26" i="16"/>
  <c r="F28" i="11"/>
  <c r="C9" i="23"/>
  <c r="D9" i="23"/>
  <c r="E9" i="23"/>
  <c r="F9" i="23"/>
  <c r="G9" i="23"/>
  <c r="H9" i="23"/>
  <c r="I9" i="23"/>
  <c r="J9" i="23"/>
  <c r="K9" i="23"/>
  <c r="L9" i="23"/>
  <c r="M9" i="23"/>
  <c r="N9" i="23"/>
  <c r="O9" i="23"/>
  <c r="P9" i="23"/>
  <c r="Q9" i="23"/>
  <c r="R9" i="23"/>
  <c r="S9" i="23"/>
  <c r="T9" i="23"/>
  <c r="U9" i="23"/>
  <c r="V9" i="23"/>
  <c r="C10" i="23"/>
  <c r="C11" i="23"/>
  <c r="C12" i="23"/>
  <c r="C13" i="23"/>
  <c r="C18" i="23"/>
  <c r="C19" i="23"/>
  <c r="D19" i="23"/>
  <c r="E19" i="23"/>
  <c r="F19" i="23"/>
  <c r="G19" i="23"/>
  <c r="H19" i="23"/>
  <c r="I19" i="23"/>
  <c r="J19" i="23"/>
  <c r="K19" i="23"/>
  <c r="L19" i="23"/>
  <c r="M19" i="23"/>
  <c r="N19" i="23"/>
  <c r="O19" i="23"/>
  <c r="P19" i="23"/>
  <c r="Q19" i="23"/>
  <c r="R19" i="23"/>
  <c r="S19" i="23"/>
  <c r="T19" i="23"/>
  <c r="U19" i="23"/>
  <c r="V19" i="23"/>
  <c r="C21" i="23"/>
  <c r="C22" i="23"/>
  <c r="C23" i="23"/>
  <c r="C25" i="23"/>
  <c r="C28" i="23"/>
  <c r="C29" i="23"/>
  <c r="C30" i="23"/>
  <c r="C31" i="23"/>
  <c r="C32" i="23"/>
  <c r="D32" i="23"/>
  <c r="E32" i="23"/>
  <c r="F32" i="23"/>
  <c r="G32" i="23"/>
  <c r="H32" i="23"/>
  <c r="I32" i="23"/>
  <c r="J32" i="23"/>
  <c r="K32" i="23"/>
  <c r="L32" i="23"/>
  <c r="M32" i="23"/>
  <c r="N32" i="23"/>
  <c r="O32" i="23"/>
  <c r="P32" i="23"/>
  <c r="Q32" i="23"/>
  <c r="R32" i="23"/>
  <c r="S32" i="23"/>
  <c r="T32" i="23"/>
  <c r="U32" i="23"/>
  <c r="V32" i="23"/>
  <c r="C33" i="23"/>
  <c r="C34" i="23"/>
  <c r="C35" i="23"/>
  <c r="C36" i="23"/>
  <c r="C37" i="23"/>
  <c r="C38" i="23"/>
  <c r="C45" i="23"/>
  <c r="D45" i="23"/>
  <c r="E45" i="23"/>
  <c r="F45" i="23"/>
  <c r="G45" i="23"/>
  <c r="H45" i="23"/>
  <c r="I45" i="23"/>
  <c r="J45" i="23"/>
  <c r="K45" i="23"/>
  <c r="L45" i="23"/>
  <c r="M45" i="23"/>
  <c r="N45" i="23"/>
  <c r="O45" i="23"/>
  <c r="P45" i="23"/>
  <c r="Q45" i="23"/>
  <c r="R45" i="23"/>
  <c r="S45" i="23"/>
  <c r="T45" i="23"/>
  <c r="U45" i="23"/>
  <c r="V45" i="23"/>
  <c r="C47" i="23"/>
  <c r="C48" i="23"/>
  <c r="C49" i="23"/>
  <c r="C50" i="23"/>
  <c r="C51" i="23"/>
  <c r="C52" i="23"/>
  <c r="C53" i="23"/>
  <c r="C55" i="23"/>
  <c r="C57" i="23"/>
  <c r="D57" i="23"/>
  <c r="E57" i="23"/>
  <c r="F57" i="23"/>
  <c r="G57" i="23"/>
  <c r="H57" i="23"/>
  <c r="I57" i="23"/>
  <c r="J57" i="23"/>
  <c r="K57" i="23"/>
  <c r="L57" i="23"/>
  <c r="M57" i="23"/>
  <c r="N57" i="23"/>
  <c r="O57" i="23"/>
  <c r="P57" i="23"/>
  <c r="Q57" i="23"/>
  <c r="R57" i="23"/>
  <c r="S57" i="23"/>
  <c r="T57" i="23"/>
  <c r="U57" i="23"/>
  <c r="V57" i="23"/>
  <c r="C58" i="23"/>
  <c r="C59" i="23"/>
  <c r="C60" i="23"/>
  <c r="C61" i="23"/>
  <c r="C62" i="23"/>
  <c r="C63" i="23"/>
  <c r="D63" i="23"/>
  <c r="E63" i="23"/>
  <c r="F63" i="23"/>
  <c r="G63" i="23"/>
  <c r="H63" i="23"/>
  <c r="I63" i="23"/>
  <c r="J63" i="23"/>
  <c r="K63" i="23"/>
  <c r="L63" i="23"/>
  <c r="M63" i="23"/>
  <c r="N63" i="23"/>
  <c r="O63" i="23"/>
  <c r="P63" i="23"/>
  <c r="Q63" i="23"/>
  <c r="R63" i="23"/>
  <c r="S63" i="23"/>
  <c r="T63" i="23"/>
  <c r="U63" i="23"/>
  <c r="V63" i="23"/>
  <c r="C64" i="23"/>
  <c r="C65" i="23"/>
  <c r="C66" i="23"/>
  <c r="C67" i="23"/>
  <c r="C68" i="23"/>
  <c r="C69" i="23"/>
  <c r="C70" i="23"/>
  <c r="C71" i="23"/>
  <c r="C72" i="23"/>
  <c r="C73" i="23"/>
  <c r="V77" i="23"/>
  <c r="U77" i="23"/>
  <c r="T77" i="23"/>
  <c r="S77" i="23"/>
  <c r="R77" i="23"/>
  <c r="Q77" i="23"/>
  <c r="P77" i="23"/>
  <c r="O77" i="23"/>
  <c r="N77" i="23"/>
  <c r="M77" i="23"/>
  <c r="L77" i="23"/>
  <c r="K77" i="23"/>
  <c r="J77" i="23"/>
  <c r="I77" i="23"/>
  <c r="H77" i="23"/>
  <c r="G77" i="23"/>
  <c r="F77" i="23"/>
  <c r="E77" i="23"/>
  <c r="D77" i="23"/>
  <c r="C77" i="23"/>
  <c r="O36" i="11"/>
  <c r="C289" i="6" s="1"/>
  <c r="P36" i="11"/>
  <c r="Q36" i="11"/>
  <c r="H52" i="11"/>
  <c r="G52" i="11"/>
  <c r="F52" i="11"/>
  <c r="C259" i="6" s="1"/>
  <c r="F53" i="11"/>
  <c r="F51" i="11"/>
  <c r="C258" i="6" s="1"/>
  <c r="F50" i="11"/>
  <c r="F49" i="11"/>
  <c r="C256" i="6" s="1"/>
  <c r="F48" i="11"/>
  <c r="F47" i="11"/>
  <c r="F78" i="11"/>
  <c r="F45" i="11"/>
  <c r="F44" i="11"/>
  <c r="F43" i="11"/>
  <c r="F41" i="11"/>
  <c r="F40" i="11"/>
  <c r="F39" i="11"/>
  <c r="F35" i="11"/>
  <c r="C244" i="6" s="1"/>
  <c r="F34" i="11"/>
  <c r="F33" i="11"/>
  <c r="F32" i="11"/>
  <c r="F31" i="11"/>
  <c r="F30" i="11"/>
  <c r="F29" i="11"/>
  <c r="F27" i="11"/>
  <c r="F23" i="11"/>
  <c r="F22" i="11"/>
  <c r="F20" i="11"/>
  <c r="C231" i="6" s="1"/>
  <c r="F19" i="11"/>
  <c r="C230" i="6" s="1"/>
  <c r="O40" i="11"/>
  <c r="C292" i="6" s="1"/>
  <c r="O38" i="11"/>
  <c r="C290" i="6" s="1"/>
  <c r="O35" i="11"/>
  <c r="O34" i="11"/>
  <c r="O32" i="11"/>
  <c r="C286" i="6" s="1"/>
  <c r="O31" i="11"/>
  <c r="C285" i="6" s="1"/>
  <c r="O30" i="11"/>
  <c r="C284" i="6" s="1"/>
  <c r="O28" i="11"/>
  <c r="O27" i="11"/>
  <c r="O26" i="11"/>
  <c r="O24" i="11"/>
  <c r="C280" i="6" s="1"/>
  <c r="O23" i="11"/>
  <c r="C279" i="6" s="1"/>
  <c r="O22" i="11"/>
  <c r="C278" i="6" s="1"/>
  <c r="T212" i="16"/>
  <c r="Q40" i="11"/>
  <c r="Q39" i="11"/>
  <c r="Q38" i="11"/>
  <c r="Q35" i="11"/>
  <c r="Q34" i="11"/>
  <c r="Q32" i="11"/>
  <c r="Q31" i="11"/>
  <c r="Q30" i="11"/>
  <c r="Q28" i="11"/>
  <c r="Q27" i="11"/>
  <c r="Q26" i="11"/>
  <c r="Q24" i="11"/>
  <c r="Q23" i="11"/>
  <c r="Q22" i="11"/>
  <c r="P40" i="11"/>
  <c r="P39" i="11"/>
  <c r="P38" i="11"/>
  <c r="P35" i="11"/>
  <c r="P34" i="11"/>
  <c r="P32" i="11"/>
  <c r="P31" i="11"/>
  <c r="P30" i="11"/>
  <c r="P28" i="11"/>
  <c r="P27" i="11"/>
  <c r="P26" i="11"/>
  <c r="P24" i="11"/>
  <c r="P23" i="11"/>
  <c r="P22" i="11"/>
  <c r="H53" i="11"/>
  <c r="H51" i="11"/>
  <c r="H50" i="11"/>
  <c r="H49" i="11"/>
  <c r="H48" i="11"/>
  <c r="H47" i="11"/>
  <c r="H46" i="11"/>
  <c r="H45" i="11"/>
  <c r="H44" i="11"/>
  <c r="H43" i="11"/>
  <c r="H41" i="11"/>
  <c r="H40" i="11"/>
  <c r="H39" i="11"/>
  <c r="H35" i="11"/>
  <c r="H34" i="11"/>
  <c r="H33" i="11"/>
  <c r="H32" i="11"/>
  <c r="H31" i="11"/>
  <c r="H30" i="11"/>
  <c r="H29" i="11"/>
  <c r="H28" i="11"/>
  <c r="H27" i="11"/>
  <c r="H24" i="11"/>
  <c r="H23" i="11"/>
  <c r="H22" i="11"/>
  <c r="H20" i="11"/>
  <c r="H19" i="11"/>
  <c r="G53" i="11"/>
  <c r="G51" i="11"/>
  <c r="G50" i="11"/>
  <c r="G49" i="11"/>
  <c r="G48" i="11"/>
  <c r="G47" i="11"/>
  <c r="G46" i="11"/>
  <c r="G45" i="11"/>
  <c r="G44" i="11"/>
  <c r="G43" i="11"/>
  <c r="G41" i="11"/>
  <c r="G40" i="11"/>
  <c r="G39" i="11"/>
  <c r="G35" i="11"/>
  <c r="G34" i="11"/>
  <c r="G33" i="11"/>
  <c r="G32" i="11"/>
  <c r="G31" i="11"/>
  <c r="G30" i="11"/>
  <c r="G29" i="11"/>
  <c r="G28" i="11"/>
  <c r="G27" i="11"/>
  <c r="G24" i="11"/>
  <c r="G22" i="11"/>
  <c r="G20" i="11"/>
  <c r="G19" i="11"/>
  <c r="BG71" i="16"/>
  <c r="CQ72" i="16" s="1"/>
  <c r="BG72" i="16"/>
  <c r="BG73" i="16"/>
  <c r="CQ74" i="16" s="1"/>
  <c r="BW444" i="16"/>
  <c r="BU444" i="16"/>
  <c r="BG115" i="16"/>
  <c r="BG116" i="16"/>
  <c r="CQ117" i="16" s="1"/>
  <c r="BG117" i="16"/>
  <c r="BG118" i="16"/>
  <c r="CQ119" i="16" s="1"/>
  <c r="BG119" i="16"/>
  <c r="BG93" i="16"/>
  <c r="CQ94" i="16" s="1"/>
  <c r="BG94" i="16"/>
  <c r="BG95" i="16"/>
  <c r="CQ96" i="16" s="1"/>
  <c r="BG96" i="16"/>
  <c r="BG49" i="16"/>
  <c r="CQ50" i="16" s="1"/>
  <c r="BG50" i="16"/>
  <c r="CQ51" i="16" s="1"/>
  <c r="BG27" i="16"/>
  <c r="CQ28" i="16" s="1"/>
  <c r="C43" i="10"/>
  <c r="C12" i="10"/>
  <c r="C3" i="10"/>
  <c r="C221" i="6"/>
  <c r="F76" i="11" s="1"/>
  <c r="C215" i="6"/>
  <c r="F75" i="11" s="1"/>
  <c r="C207" i="6"/>
  <c r="F74" i="11" s="1"/>
  <c r="C137" i="6"/>
  <c r="F69" i="11" s="1"/>
  <c r="C131" i="6"/>
  <c r="F68" i="11" s="1"/>
  <c r="C74" i="6"/>
  <c r="F63" i="11" s="1"/>
  <c r="C55" i="21"/>
  <c r="CR444" i="16"/>
  <c r="CS444" i="16"/>
  <c r="CT444" i="16"/>
  <c r="CU444" i="16"/>
  <c r="CV444" i="16"/>
  <c r="CW444" i="16"/>
  <c r="CX444" i="16"/>
  <c r="CY444" i="16"/>
  <c r="CM444" i="16"/>
  <c r="CN444" i="16"/>
  <c r="CO444" i="16"/>
  <c r="CP444" i="16"/>
  <c r="CQ444" i="16"/>
  <c r="CI444" i="16"/>
  <c r="CJ444" i="16"/>
  <c r="CK444" i="16"/>
  <c r="CL444" i="16"/>
  <c r="CE444" i="16"/>
  <c r="CF444" i="16"/>
  <c r="CG444" i="16"/>
  <c r="CH444" i="16"/>
  <c r="BT444" i="16"/>
  <c r="BV444" i="16"/>
  <c r="C25" i="21"/>
  <c r="C9" i="21"/>
  <c r="D9" i="21"/>
  <c r="E9" i="21"/>
  <c r="F9" i="21"/>
  <c r="G9" i="21"/>
  <c r="H9" i="21"/>
  <c r="I9" i="21"/>
  <c r="J9" i="21"/>
  <c r="K9" i="21"/>
  <c r="L9" i="21"/>
  <c r="M9" i="21"/>
  <c r="N9" i="21"/>
  <c r="O9" i="21"/>
  <c r="P9" i="21"/>
  <c r="Q9" i="21"/>
  <c r="R9" i="21"/>
  <c r="S9" i="21"/>
  <c r="T9" i="21"/>
  <c r="U9" i="21"/>
  <c r="V9" i="21"/>
  <c r="D32" i="21"/>
  <c r="E32" i="21"/>
  <c r="F32" i="21"/>
  <c r="G32" i="21"/>
  <c r="H32" i="21"/>
  <c r="I32" i="21"/>
  <c r="J32" i="21"/>
  <c r="K32" i="21"/>
  <c r="L32" i="21"/>
  <c r="M32" i="21"/>
  <c r="N32" i="21"/>
  <c r="O32" i="21"/>
  <c r="P32" i="21"/>
  <c r="Q32" i="21"/>
  <c r="R32" i="21"/>
  <c r="S32" i="21"/>
  <c r="T32" i="21"/>
  <c r="U32" i="21"/>
  <c r="V32" i="21"/>
  <c r="D57" i="21"/>
  <c r="E57" i="21"/>
  <c r="F57" i="21"/>
  <c r="G57" i="21"/>
  <c r="H57" i="21"/>
  <c r="I57" i="21"/>
  <c r="J57" i="21"/>
  <c r="K57" i="21"/>
  <c r="L57" i="21"/>
  <c r="M57" i="21"/>
  <c r="N57" i="21"/>
  <c r="O57" i="21"/>
  <c r="P57" i="21"/>
  <c r="Q57" i="21"/>
  <c r="R57" i="21"/>
  <c r="S57" i="21"/>
  <c r="T57" i="21"/>
  <c r="U57" i="21"/>
  <c r="V57" i="21"/>
  <c r="D63" i="21"/>
  <c r="E63" i="21"/>
  <c r="F63" i="21"/>
  <c r="G63" i="21"/>
  <c r="H63" i="21"/>
  <c r="I63" i="21"/>
  <c r="J63" i="21"/>
  <c r="K63" i="21"/>
  <c r="L63" i="21"/>
  <c r="M63" i="21"/>
  <c r="N63" i="21"/>
  <c r="O63" i="21"/>
  <c r="P63" i="21"/>
  <c r="Q63" i="21"/>
  <c r="R63" i="21"/>
  <c r="S63" i="21"/>
  <c r="T63" i="21"/>
  <c r="U63" i="21"/>
  <c r="V63" i="21"/>
  <c r="V77" i="21"/>
  <c r="U77" i="21"/>
  <c r="T77" i="21"/>
  <c r="S77" i="21"/>
  <c r="R77" i="21"/>
  <c r="Q77" i="21"/>
  <c r="P77" i="21"/>
  <c r="O77" i="21"/>
  <c r="N77" i="21"/>
  <c r="M77" i="21"/>
  <c r="L77" i="21"/>
  <c r="K77" i="21"/>
  <c r="J77" i="21"/>
  <c r="I77" i="21"/>
  <c r="H77" i="21"/>
  <c r="G77" i="21"/>
  <c r="F77" i="21"/>
  <c r="E77" i="21"/>
  <c r="D77" i="21"/>
  <c r="C77" i="21"/>
  <c r="BO444" i="16"/>
  <c r="BR444" i="16"/>
  <c r="BS444" i="16"/>
  <c r="C9" i="18"/>
  <c r="D9" i="18"/>
  <c r="E9" i="18"/>
  <c r="F9" i="18"/>
  <c r="G9" i="18"/>
  <c r="H9" i="18"/>
  <c r="I9" i="18"/>
  <c r="J9" i="18"/>
  <c r="K9" i="18"/>
  <c r="L9" i="18"/>
  <c r="M9" i="18"/>
  <c r="N9" i="18"/>
  <c r="O9" i="18"/>
  <c r="P9" i="18"/>
  <c r="Q9" i="18"/>
  <c r="R9" i="18"/>
  <c r="S9" i="18"/>
  <c r="T9" i="18"/>
  <c r="U9" i="18"/>
  <c r="V9" i="18"/>
  <c r="C10" i="18"/>
  <c r="C11" i="18"/>
  <c r="C12" i="18"/>
  <c r="C13" i="18"/>
  <c r="C14" i="18"/>
  <c r="D14" i="18"/>
  <c r="E14" i="18"/>
  <c r="F14" i="18"/>
  <c r="G14" i="18"/>
  <c r="H14" i="18"/>
  <c r="I14" i="18"/>
  <c r="J14" i="18"/>
  <c r="K14" i="18"/>
  <c r="L14" i="18"/>
  <c r="M14" i="18"/>
  <c r="N14" i="18"/>
  <c r="O14" i="18"/>
  <c r="P14" i="18"/>
  <c r="Q14" i="18"/>
  <c r="R14" i="18"/>
  <c r="S14" i="18"/>
  <c r="T14" i="18"/>
  <c r="U14" i="18"/>
  <c r="V14" i="18"/>
  <c r="C18" i="18"/>
  <c r="C19" i="18"/>
  <c r="D19" i="18"/>
  <c r="E19" i="18"/>
  <c r="F19" i="18"/>
  <c r="G19" i="18"/>
  <c r="H19" i="18"/>
  <c r="I19" i="18"/>
  <c r="J19" i="18"/>
  <c r="K19" i="18"/>
  <c r="L19" i="18"/>
  <c r="M19" i="18"/>
  <c r="N19" i="18"/>
  <c r="O19" i="18"/>
  <c r="P19" i="18"/>
  <c r="Q19" i="18"/>
  <c r="R19" i="18"/>
  <c r="S19" i="18"/>
  <c r="T19" i="18"/>
  <c r="U19" i="18"/>
  <c r="V19" i="18"/>
  <c r="C21" i="18"/>
  <c r="C22" i="18"/>
  <c r="C23" i="18"/>
  <c r="C25" i="18"/>
  <c r="C27" i="18"/>
  <c r="D27" i="18"/>
  <c r="E27" i="18"/>
  <c r="F27" i="18"/>
  <c r="G27" i="18"/>
  <c r="H27" i="18"/>
  <c r="I27" i="18"/>
  <c r="J27" i="18"/>
  <c r="K27" i="18"/>
  <c r="L27" i="18"/>
  <c r="M27" i="18"/>
  <c r="N27" i="18"/>
  <c r="O27" i="18"/>
  <c r="P27" i="18"/>
  <c r="Q27" i="18"/>
  <c r="R27" i="18"/>
  <c r="S27" i="18"/>
  <c r="T27" i="18"/>
  <c r="U27" i="18"/>
  <c r="V27" i="18"/>
  <c r="C28" i="18"/>
  <c r="C29" i="18"/>
  <c r="C30" i="18"/>
  <c r="C31" i="18"/>
  <c r="C32" i="18"/>
  <c r="D32" i="18"/>
  <c r="E32" i="18"/>
  <c r="F32" i="18"/>
  <c r="G32" i="18"/>
  <c r="H32" i="18"/>
  <c r="I32" i="18"/>
  <c r="J32" i="18"/>
  <c r="K32" i="18"/>
  <c r="L32" i="18"/>
  <c r="M32" i="18"/>
  <c r="N32" i="18"/>
  <c r="O32" i="18"/>
  <c r="P32" i="18"/>
  <c r="Q32" i="18"/>
  <c r="R32" i="18"/>
  <c r="S32" i="18"/>
  <c r="T32" i="18"/>
  <c r="U32" i="18"/>
  <c r="V32" i="18"/>
  <c r="C33" i="18"/>
  <c r="C34" i="18"/>
  <c r="D34" i="18"/>
  <c r="C35" i="18"/>
  <c r="D35" i="18"/>
  <c r="C36" i="18"/>
  <c r="D36" i="18"/>
  <c r="C37" i="18"/>
  <c r="C38" i="18"/>
  <c r="C39" i="18"/>
  <c r="D39" i="18"/>
  <c r="E39" i="18"/>
  <c r="F39" i="18"/>
  <c r="G39" i="18"/>
  <c r="H39" i="18"/>
  <c r="I39" i="18"/>
  <c r="J39" i="18"/>
  <c r="K39" i="18"/>
  <c r="L39" i="18"/>
  <c r="M39" i="18"/>
  <c r="N39" i="18"/>
  <c r="O39" i="18"/>
  <c r="P39" i="18"/>
  <c r="Q39" i="18"/>
  <c r="R39" i="18"/>
  <c r="S39" i="18"/>
  <c r="T39" i="18"/>
  <c r="U39" i="18"/>
  <c r="V39" i="18"/>
  <c r="C45" i="18"/>
  <c r="D45" i="18"/>
  <c r="E45" i="18"/>
  <c r="F45" i="18"/>
  <c r="G45" i="18"/>
  <c r="H45" i="18"/>
  <c r="I45" i="18"/>
  <c r="J45" i="18"/>
  <c r="K45" i="18"/>
  <c r="L45" i="18"/>
  <c r="M45" i="18"/>
  <c r="N45" i="18"/>
  <c r="O45" i="18"/>
  <c r="P45" i="18"/>
  <c r="Q45" i="18"/>
  <c r="R45" i="18"/>
  <c r="S45" i="18"/>
  <c r="T45" i="18"/>
  <c r="U45" i="18"/>
  <c r="V45" i="18"/>
  <c r="C47" i="18"/>
  <c r="C48" i="18"/>
  <c r="C49" i="18"/>
  <c r="C50" i="18"/>
  <c r="C51" i="18"/>
  <c r="C52" i="18"/>
  <c r="C53" i="18"/>
  <c r="C55" i="18"/>
  <c r="C57" i="18"/>
  <c r="D57" i="18"/>
  <c r="E57" i="18"/>
  <c r="F57" i="18"/>
  <c r="G57" i="18"/>
  <c r="H57" i="18"/>
  <c r="I57" i="18"/>
  <c r="J57" i="18"/>
  <c r="K57" i="18"/>
  <c r="L57" i="18"/>
  <c r="M57" i="18"/>
  <c r="N57" i="18"/>
  <c r="O57" i="18"/>
  <c r="P57" i="18"/>
  <c r="Q57" i="18"/>
  <c r="R57" i="18"/>
  <c r="S57" i="18"/>
  <c r="T57" i="18"/>
  <c r="U57" i="18"/>
  <c r="V57" i="18"/>
  <c r="C58" i="18"/>
  <c r="C59" i="18"/>
  <c r="C60" i="18"/>
  <c r="C61" i="18"/>
  <c r="C62" i="18"/>
  <c r="C63" i="18"/>
  <c r="D63" i="18"/>
  <c r="E63" i="18"/>
  <c r="F63" i="18"/>
  <c r="G63" i="18"/>
  <c r="H63" i="18"/>
  <c r="I63" i="18"/>
  <c r="J63" i="18"/>
  <c r="K63" i="18"/>
  <c r="L63" i="18"/>
  <c r="M63" i="18"/>
  <c r="N63" i="18"/>
  <c r="O63" i="18"/>
  <c r="P63" i="18"/>
  <c r="Q63" i="18"/>
  <c r="R63" i="18"/>
  <c r="S63" i="18"/>
  <c r="T63" i="18"/>
  <c r="U63" i="18"/>
  <c r="V63" i="18"/>
  <c r="C64" i="18"/>
  <c r="C65" i="18"/>
  <c r="C66" i="18"/>
  <c r="C67" i="18"/>
  <c r="C68" i="18"/>
  <c r="C69" i="18"/>
  <c r="C70" i="18"/>
  <c r="C71" i="18"/>
  <c r="C72" i="18"/>
  <c r="C73" i="18"/>
  <c r="N77" i="18"/>
  <c r="M77" i="18"/>
  <c r="L77" i="18"/>
  <c r="K77" i="18"/>
  <c r="J77" i="18"/>
  <c r="I77" i="18"/>
  <c r="H77" i="18"/>
  <c r="G77" i="18"/>
  <c r="F77" i="18"/>
  <c r="E77" i="18"/>
  <c r="D77" i="18"/>
  <c r="C77" i="18"/>
  <c r="D20" i="10"/>
  <c r="E33" i="10" s="1"/>
  <c r="D68" i="10"/>
  <c r="D67" i="10"/>
  <c r="D66" i="10"/>
  <c r="D65" i="10"/>
  <c r="D64" i="10"/>
  <c r="D63" i="10"/>
  <c r="D62" i="10"/>
  <c r="D28" i="10"/>
  <c r="D50" i="10"/>
  <c r="E68" i="10" s="1"/>
  <c r="D48" i="10"/>
  <c r="E66" i="10" s="1"/>
  <c r="D44" i="10"/>
  <c r="E62" i="10" s="1"/>
  <c r="CD444" i="16"/>
  <c r="CC444" i="16"/>
  <c r="CB444" i="16"/>
  <c r="T41" i="16"/>
  <c r="T40" i="16"/>
  <c r="S40" i="16"/>
  <c r="T39" i="16"/>
  <c r="S39" i="16"/>
  <c r="R39" i="16"/>
  <c r="T38" i="16"/>
  <c r="S38" i="16"/>
  <c r="T37" i="16"/>
  <c r="S37" i="16"/>
  <c r="P37" i="16"/>
  <c r="T36" i="16"/>
  <c r="P36" i="16"/>
  <c r="O36" i="16"/>
  <c r="S34" i="16"/>
  <c r="M34" i="16"/>
  <c r="M33" i="16"/>
  <c r="L33" i="16"/>
  <c r="M32" i="16"/>
  <c r="L32" i="16"/>
  <c r="K32" i="16"/>
  <c r="P31" i="16"/>
  <c r="O31" i="16"/>
  <c r="M31" i="16"/>
  <c r="L31" i="16"/>
  <c r="J31" i="16"/>
  <c r="O30" i="16"/>
  <c r="N30" i="16"/>
  <c r="M30" i="16"/>
  <c r="J30" i="16"/>
  <c r="L28" i="16"/>
  <c r="G28" i="16"/>
  <c r="J27" i="16"/>
  <c r="I27" i="16"/>
  <c r="G27" i="16"/>
  <c r="F27" i="16"/>
  <c r="I26" i="16"/>
  <c r="H26" i="16"/>
  <c r="G26" i="16"/>
  <c r="E26" i="16"/>
  <c r="AS72" i="16"/>
  <c r="AT72" i="16"/>
  <c r="CC73" i="16" s="1"/>
  <c r="AU72" i="16"/>
  <c r="AV72" i="16"/>
  <c r="AW72" i="16"/>
  <c r="CE73" i="16" s="1"/>
  <c r="AX72" i="16"/>
  <c r="CF73" i="16" s="1"/>
  <c r="AY72" i="16"/>
  <c r="CG73" i="16" s="1"/>
  <c r="AZ72" i="16"/>
  <c r="BA72" i="16"/>
  <c r="BB72" i="16"/>
  <c r="BC72" i="16"/>
  <c r="BD72" i="16"/>
  <c r="BE72" i="16"/>
  <c r="CO73" i="16" s="1"/>
  <c r="BF72" i="16"/>
  <c r="BH72" i="16"/>
  <c r="BI72" i="16"/>
  <c r="AS73" i="16"/>
  <c r="CB74" i="16" s="1"/>
  <c r="AT73" i="16"/>
  <c r="CC74" i="16" s="1"/>
  <c r="AU73" i="16"/>
  <c r="CD74" i="16" s="1"/>
  <c r="AV73" i="16"/>
  <c r="AW73" i="16"/>
  <c r="CE74" i="16" s="1"/>
  <c r="AX73" i="16"/>
  <c r="CF74" i="16" s="1"/>
  <c r="AY73" i="16"/>
  <c r="CG74" i="16" s="1"/>
  <c r="AZ73" i="16"/>
  <c r="CH74" i="16" s="1"/>
  <c r="BA73" i="16"/>
  <c r="BB73" i="16"/>
  <c r="BC73" i="16"/>
  <c r="CM74" i="16" s="1"/>
  <c r="BD73" i="16"/>
  <c r="CN74" i="16" s="1"/>
  <c r="BE73" i="16"/>
  <c r="BF73" i="16"/>
  <c r="CP74" i="16" s="1"/>
  <c r="BH73" i="16"/>
  <c r="BI73" i="16"/>
  <c r="AV114" i="16"/>
  <c r="BB114" i="16"/>
  <c r="BI114" i="16"/>
  <c r="AT115" i="16"/>
  <c r="CC116" i="16" s="1"/>
  <c r="AU115" i="16"/>
  <c r="AV115" i="16"/>
  <c r="AW115" i="16"/>
  <c r="CE116" i="16" s="1"/>
  <c r="AX115" i="16"/>
  <c r="CF116" i="16" s="1"/>
  <c r="AY115" i="16"/>
  <c r="AZ115" i="16"/>
  <c r="CH116" i="16" s="1"/>
  <c r="BA115" i="16"/>
  <c r="BB115" i="16"/>
  <c r="BC115" i="16"/>
  <c r="BD115" i="16"/>
  <c r="BE115" i="16"/>
  <c r="BH115" i="16"/>
  <c r="BI115" i="16"/>
  <c r="AT116" i="16"/>
  <c r="CC117" i="16" s="1"/>
  <c r="AU116" i="16"/>
  <c r="CD117" i="16" s="1"/>
  <c r="AV116" i="16"/>
  <c r="AW116" i="16"/>
  <c r="AX116" i="16"/>
  <c r="CF117" i="16" s="1"/>
  <c r="AY116" i="16"/>
  <c r="AZ116" i="16"/>
  <c r="BA116" i="16"/>
  <c r="BB116" i="16"/>
  <c r="BC116" i="16"/>
  <c r="CM117" i="16" s="1"/>
  <c r="BD116" i="16"/>
  <c r="BE116" i="16"/>
  <c r="CO117" i="16" s="1"/>
  <c r="BF116" i="16"/>
  <c r="CP117" i="16" s="1"/>
  <c r="BH116" i="16"/>
  <c r="BI116" i="16"/>
  <c r="AT117" i="16"/>
  <c r="CC118" i="16" s="1"/>
  <c r="AU117" i="16"/>
  <c r="CD118" i="16" s="1"/>
  <c r="AV117" i="16"/>
  <c r="AW117" i="16"/>
  <c r="CE118" i="16" s="1"/>
  <c r="AX117" i="16"/>
  <c r="CF118" i="16" s="1"/>
  <c r="AY117" i="16"/>
  <c r="AZ117" i="16"/>
  <c r="BA117" i="16"/>
  <c r="BB117" i="16"/>
  <c r="BC117" i="16"/>
  <c r="BD117" i="16"/>
  <c r="BE117" i="16"/>
  <c r="CO118" i="16" s="1"/>
  <c r="BF117" i="16"/>
  <c r="CP118" i="16" s="1"/>
  <c r="BH117" i="16"/>
  <c r="BI117" i="16"/>
  <c r="AT118" i="16"/>
  <c r="AU118" i="16"/>
  <c r="CD119" i="16" s="1"/>
  <c r="AV118" i="16"/>
  <c r="AW118" i="16"/>
  <c r="CE119" i="16" s="1"/>
  <c r="AX118" i="16"/>
  <c r="CF119" i="16" s="1"/>
  <c r="AY118" i="16"/>
  <c r="AZ118" i="16"/>
  <c r="CH119" i="16" s="1"/>
  <c r="BA118" i="16"/>
  <c r="BB118" i="16"/>
  <c r="BC118" i="16"/>
  <c r="BD118" i="16"/>
  <c r="BE118" i="16"/>
  <c r="BF118" i="16"/>
  <c r="CP119" i="16" s="1"/>
  <c r="BH118" i="16"/>
  <c r="BI118" i="16"/>
  <c r="AT119" i="16"/>
  <c r="AU119" i="16"/>
  <c r="CD120" i="16" s="1"/>
  <c r="AV119" i="16"/>
  <c r="AW119" i="16"/>
  <c r="CE120" i="16" s="1"/>
  <c r="AX119" i="16"/>
  <c r="CF120" i="16" s="1"/>
  <c r="AY119" i="16"/>
  <c r="CG120" i="16" s="1"/>
  <c r="AZ119" i="16"/>
  <c r="BA119" i="16"/>
  <c r="BB119" i="16"/>
  <c r="BC119" i="16"/>
  <c r="BD119" i="16"/>
  <c r="CN120" i="16" s="1"/>
  <c r="BE119" i="16"/>
  <c r="CO120" i="16" s="1"/>
  <c r="BF119" i="16"/>
  <c r="CP120" i="16" s="1"/>
  <c r="BH119" i="16"/>
  <c r="BI119" i="16"/>
  <c r="AS115" i="16"/>
  <c r="CB116" i="16" s="1"/>
  <c r="AS116" i="16"/>
  <c r="CB117" i="16" s="1"/>
  <c r="AS117" i="16"/>
  <c r="CB118" i="16" s="1"/>
  <c r="AS118" i="16"/>
  <c r="CB119" i="16" s="1"/>
  <c r="AS119" i="16"/>
  <c r="CB120" i="16" s="1"/>
  <c r="AS93" i="16"/>
  <c r="CB94" i="16" s="1"/>
  <c r="AT93" i="16"/>
  <c r="AU93" i="16"/>
  <c r="CD94" i="16" s="1"/>
  <c r="AV93" i="16"/>
  <c r="AW93" i="16"/>
  <c r="CE94" i="16" s="1"/>
  <c r="AX93" i="16"/>
  <c r="CF94" i="16" s="1"/>
  <c r="AY93" i="16"/>
  <c r="AZ93" i="16"/>
  <c r="CH94" i="16" s="1"/>
  <c r="BA93" i="16"/>
  <c r="BB93" i="16"/>
  <c r="BC93" i="16"/>
  <c r="CM94" i="16" s="1"/>
  <c r="BD93" i="16"/>
  <c r="BE93" i="16"/>
  <c r="BH93" i="16"/>
  <c r="BI93" i="16"/>
  <c r="AS94" i="16"/>
  <c r="AT94" i="16"/>
  <c r="CC95" i="16" s="1"/>
  <c r="AU94" i="16"/>
  <c r="CD95" i="16" s="1"/>
  <c r="AV94" i="16"/>
  <c r="AW94" i="16"/>
  <c r="CE95" i="16" s="1"/>
  <c r="AX94" i="16"/>
  <c r="CF95" i="16" s="1"/>
  <c r="AY94" i="16"/>
  <c r="CG95" i="16" s="1"/>
  <c r="AZ94" i="16"/>
  <c r="CH95" i="16" s="1"/>
  <c r="BA94" i="16"/>
  <c r="BB94" i="16"/>
  <c r="BC94" i="16"/>
  <c r="BD94" i="16"/>
  <c r="CN95" i="16" s="1"/>
  <c r="BE94" i="16"/>
  <c r="BF94" i="16"/>
  <c r="CP95" i="16" s="1"/>
  <c r="BH94" i="16"/>
  <c r="BI94" i="16"/>
  <c r="AS95" i="16"/>
  <c r="CB96" i="16" s="1"/>
  <c r="AT95" i="16"/>
  <c r="AU95" i="16"/>
  <c r="CD96" i="16" s="1"/>
  <c r="AV95" i="16"/>
  <c r="AW95" i="16"/>
  <c r="CE96" i="16" s="1"/>
  <c r="AX95" i="16"/>
  <c r="CF96" i="16" s="1"/>
  <c r="AY95" i="16"/>
  <c r="CG96" i="16" s="1"/>
  <c r="AZ95" i="16"/>
  <c r="CH96" i="16" s="1"/>
  <c r="BA95" i="16"/>
  <c r="BB95" i="16"/>
  <c r="BC95" i="16"/>
  <c r="BD95" i="16"/>
  <c r="CN96" i="16" s="1"/>
  <c r="BE95" i="16"/>
  <c r="CO96" i="16" s="1"/>
  <c r="BF95" i="16"/>
  <c r="CP96" i="16" s="1"/>
  <c r="BH95" i="16"/>
  <c r="BI95" i="16"/>
  <c r="AS96" i="16"/>
  <c r="CB97" i="16" s="1"/>
  <c r="AT96" i="16"/>
  <c r="CC97" i="16" s="1"/>
  <c r="AU96" i="16"/>
  <c r="CD97" i="16" s="1"/>
  <c r="AV96" i="16"/>
  <c r="AW96" i="16"/>
  <c r="CE97" i="16" s="1"/>
  <c r="AX96" i="16"/>
  <c r="CF97" i="16" s="1"/>
  <c r="AY96" i="16"/>
  <c r="AZ96" i="16"/>
  <c r="CH97" i="16" s="1"/>
  <c r="BA96" i="16"/>
  <c r="BB96" i="16"/>
  <c r="BC96" i="16"/>
  <c r="BD96" i="16"/>
  <c r="BE96" i="16"/>
  <c r="CO97" i="16" s="1"/>
  <c r="BF96" i="16"/>
  <c r="CP97" i="16" s="1"/>
  <c r="BH96" i="16"/>
  <c r="BI96" i="16"/>
  <c r="AV92" i="16"/>
  <c r="BB92" i="16"/>
  <c r="BI92" i="16"/>
  <c r="AS71" i="16"/>
  <c r="AT71" i="16"/>
  <c r="CC72" i="16" s="1"/>
  <c r="AU71" i="16"/>
  <c r="AV71" i="16"/>
  <c r="AW71" i="16"/>
  <c r="CE72" i="16" s="1"/>
  <c r="AX71" i="16"/>
  <c r="CF72" i="16" s="1"/>
  <c r="AY71" i="16"/>
  <c r="AZ71" i="16"/>
  <c r="CH72" i="16" s="1"/>
  <c r="BA71" i="16"/>
  <c r="BB71" i="16"/>
  <c r="BC71" i="16"/>
  <c r="BD71" i="16"/>
  <c r="BE71" i="16"/>
  <c r="BH71" i="16"/>
  <c r="BI71" i="16"/>
  <c r="AV70" i="16"/>
  <c r="BB70" i="16"/>
  <c r="BI70" i="16"/>
  <c r="AV48" i="16"/>
  <c r="BB48" i="16"/>
  <c r="BI48" i="16"/>
  <c r="AT49" i="16"/>
  <c r="CC50" i="16" s="1"/>
  <c r="AU49" i="16"/>
  <c r="CD50" i="16" s="1"/>
  <c r="AV49" i="16"/>
  <c r="AW49" i="16"/>
  <c r="CE50" i="16" s="1"/>
  <c r="AX49" i="16"/>
  <c r="CF50" i="16" s="1"/>
  <c r="AY49" i="16"/>
  <c r="CG50" i="16" s="1"/>
  <c r="AZ49" i="16"/>
  <c r="BA49" i="16"/>
  <c r="BB49" i="16"/>
  <c r="BC49" i="16"/>
  <c r="BD49" i="16"/>
  <c r="BE49" i="16"/>
  <c r="BH49" i="16"/>
  <c r="BI49" i="16"/>
  <c r="AT50" i="16"/>
  <c r="AU50" i="16"/>
  <c r="CD51" i="16" s="1"/>
  <c r="AV50" i="16"/>
  <c r="AW50" i="16"/>
  <c r="CE51" i="16" s="1"/>
  <c r="AX50" i="16"/>
  <c r="CF51" i="16" s="1"/>
  <c r="AY50" i="16"/>
  <c r="AZ50" i="16"/>
  <c r="CH51" i="16" s="1"/>
  <c r="BA50" i="16"/>
  <c r="BB50" i="16"/>
  <c r="BC50" i="16"/>
  <c r="BD50" i="16"/>
  <c r="CN51" i="16" s="1"/>
  <c r="BE50" i="16"/>
  <c r="BF50" i="16"/>
  <c r="BH50" i="16"/>
  <c r="BI50" i="16"/>
  <c r="AS49" i="16"/>
  <c r="CB50" i="16" s="1"/>
  <c r="AS50" i="16"/>
  <c r="CB51" i="16" s="1"/>
  <c r="AV26" i="16"/>
  <c r="BB26" i="16"/>
  <c r="BI26" i="16"/>
  <c r="AT27" i="16"/>
  <c r="AU27" i="16"/>
  <c r="CD28" i="16" s="1"/>
  <c r="AV27" i="16"/>
  <c r="AW27" i="16"/>
  <c r="CE28" i="16" s="1"/>
  <c r="AX27" i="16"/>
  <c r="CF28" i="16" s="1"/>
  <c r="AY27" i="16"/>
  <c r="CG28" i="16" s="1"/>
  <c r="AZ27" i="16"/>
  <c r="CH28" i="16" s="1"/>
  <c r="BA27" i="16"/>
  <c r="BB27" i="16"/>
  <c r="BC27" i="16"/>
  <c r="CM28" i="16" s="1"/>
  <c r="BD27" i="16"/>
  <c r="CN28" i="16" s="1"/>
  <c r="BE27" i="16"/>
  <c r="CO28" i="16" s="1"/>
  <c r="BH27" i="16"/>
  <c r="BI27" i="16"/>
  <c r="AS27" i="16"/>
  <c r="CB28" i="16" s="1"/>
  <c r="U51" i="16"/>
  <c r="U57" i="16"/>
  <c r="U64" i="16"/>
  <c r="U73" i="16"/>
  <c r="U79" i="16"/>
  <c r="U86" i="16"/>
  <c r="U196" i="16"/>
  <c r="U189" i="16"/>
  <c r="U183" i="16"/>
  <c r="U174" i="16"/>
  <c r="U167" i="16"/>
  <c r="U161" i="16"/>
  <c r="U152" i="16"/>
  <c r="U145" i="16"/>
  <c r="U139" i="16"/>
  <c r="U130" i="16"/>
  <c r="U123" i="16"/>
  <c r="U117" i="16"/>
  <c r="U108" i="16"/>
  <c r="U101" i="16"/>
  <c r="U95" i="16"/>
  <c r="U42" i="16"/>
  <c r="U35" i="16"/>
  <c r="U29" i="16"/>
  <c r="U218" i="16"/>
  <c r="U211" i="16"/>
  <c r="U205" i="16"/>
  <c r="T195" i="16"/>
  <c r="T194" i="16"/>
  <c r="S194" i="16"/>
  <c r="T193" i="16"/>
  <c r="S193" i="16"/>
  <c r="R193" i="16"/>
  <c r="T192" i="16"/>
  <c r="S192" i="16"/>
  <c r="Q192" i="16"/>
  <c r="T191" i="16"/>
  <c r="S191" i="16"/>
  <c r="P191" i="16"/>
  <c r="T190" i="16"/>
  <c r="P190" i="16"/>
  <c r="O190" i="16"/>
  <c r="S188" i="16"/>
  <c r="M188" i="16"/>
  <c r="M187" i="16"/>
  <c r="L187" i="16"/>
  <c r="M186" i="16"/>
  <c r="L186" i="16"/>
  <c r="K186" i="16"/>
  <c r="P185" i="16"/>
  <c r="O185" i="16"/>
  <c r="M185" i="16"/>
  <c r="L185" i="16"/>
  <c r="J185" i="16"/>
  <c r="O184" i="16"/>
  <c r="N184" i="16"/>
  <c r="M184" i="16"/>
  <c r="J184" i="16"/>
  <c r="I184" i="16"/>
  <c r="L182" i="16"/>
  <c r="G182" i="16"/>
  <c r="J181" i="16"/>
  <c r="I181" i="16"/>
  <c r="G181" i="16"/>
  <c r="F181" i="16"/>
  <c r="I180" i="16"/>
  <c r="H180" i="16"/>
  <c r="G180" i="16"/>
  <c r="E180" i="16"/>
  <c r="T173" i="16"/>
  <c r="T172" i="16"/>
  <c r="S172" i="16"/>
  <c r="T171" i="16"/>
  <c r="S171" i="16"/>
  <c r="R171" i="16"/>
  <c r="T170" i="16"/>
  <c r="S170" i="16"/>
  <c r="Q170" i="16"/>
  <c r="T169" i="16"/>
  <c r="S169" i="16"/>
  <c r="P169" i="16"/>
  <c r="T168" i="16"/>
  <c r="P168" i="16"/>
  <c r="O168" i="16"/>
  <c r="S166" i="16"/>
  <c r="M166" i="16"/>
  <c r="M165" i="16"/>
  <c r="L165" i="16"/>
  <c r="M164" i="16"/>
  <c r="L164" i="16"/>
  <c r="K164" i="16"/>
  <c r="P163" i="16"/>
  <c r="O163" i="16"/>
  <c r="M163" i="16"/>
  <c r="L163" i="16"/>
  <c r="J163" i="16"/>
  <c r="O162" i="16"/>
  <c r="N162" i="16"/>
  <c r="M162" i="16"/>
  <c r="J162" i="16"/>
  <c r="I162" i="16"/>
  <c r="L160" i="16"/>
  <c r="G160" i="16"/>
  <c r="J159" i="16"/>
  <c r="I159" i="16"/>
  <c r="G159" i="16"/>
  <c r="F159" i="16"/>
  <c r="I158" i="16"/>
  <c r="H158" i="16"/>
  <c r="G158" i="16"/>
  <c r="E158" i="16"/>
  <c r="T151" i="16"/>
  <c r="T150" i="16"/>
  <c r="S150" i="16"/>
  <c r="T149" i="16"/>
  <c r="S149" i="16"/>
  <c r="R149" i="16"/>
  <c r="T148" i="16"/>
  <c r="S148" i="16"/>
  <c r="Q148" i="16"/>
  <c r="T147" i="16"/>
  <c r="S147" i="16"/>
  <c r="P147" i="16"/>
  <c r="T146" i="16"/>
  <c r="P146" i="16"/>
  <c r="O146" i="16"/>
  <c r="S144" i="16"/>
  <c r="M144" i="16"/>
  <c r="M143" i="16"/>
  <c r="L143" i="16"/>
  <c r="M142" i="16"/>
  <c r="L142" i="16"/>
  <c r="K142" i="16"/>
  <c r="P141" i="16"/>
  <c r="O141" i="16"/>
  <c r="M141" i="16"/>
  <c r="L141" i="16"/>
  <c r="J141" i="16"/>
  <c r="O140" i="16"/>
  <c r="N140" i="16"/>
  <c r="M140" i="16"/>
  <c r="J140" i="16"/>
  <c r="I140" i="16"/>
  <c r="L138" i="16"/>
  <c r="G138" i="16"/>
  <c r="J137" i="16"/>
  <c r="I137" i="16"/>
  <c r="G137" i="16"/>
  <c r="F137" i="16"/>
  <c r="I136" i="16"/>
  <c r="H136" i="16"/>
  <c r="G136" i="16"/>
  <c r="E136" i="16"/>
  <c r="T129" i="16"/>
  <c r="T128" i="16"/>
  <c r="S128" i="16"/>
  <c r="T127" i="16"/>
  <c r="S127" i="16"/>
  <c r="R127" i="16"/>
  <c r="T126" i="16"/>
  <c r="S126" i="16"/>
  <c r="Q126" i="16"/>
  <c r="T125" i="16"/>
  <c r="S125" i="16"/>
  <c r="P125" i="16"/>
  <c r="T124" i="16"/>
  <c r="P124" i="16"/>
  <c r="O124" i="16"/>
  <c r="S122" i="16"/>
  <c r="M122" i="16"/>
  <c r="M121" i="16"/>
  <c r="L121" i="16"/>
  <c r="M120" i="16"/>
  <c r="L120" i="16"/>
  <c r="K120" i="16"/>
  <c r="J120" i="16"/>
  <c r="P119" i="16"/>
  <c r="O119" i="16"/>
  <c r="M119" i="16"/>
  <c r="L119" i="16"/>
  <c r="J119" i="16"/>
  <c r="O118" i="16"/>
  <c r="N118" i="16"/>
  <c r="M118" i="16"/>
  <c r="J118" i="16"/>
  <c r="I118" i="16"/>
  <c r="L116" i="16"/>
  <c r="G116" i="16"/>
  <c r="J115" i="16"/>
  <c r="I115" i="16"/>
  <c r="G115" i="16"/>
  <c r="F115" i="16"/>
  <c r="I114" i="16"/>
  <c r="H114" i="16"/>
  <c r="G114" i="16"/>
  <c r="E114" i="16"/>
  <c r="T107" i="16"/>
  <c r="T106" i="16"/>
  <c r="S106" i="16"/>
  <c r="T105" i="16"/>
  <c r="S105" i="16"/>
  <c r="R105" i="16"/>
  <c r="T104" i="16"/>
  <c r="S104" i="16"/>
  <c r="Q104" i="16"/>
  <c r="T103" i="16"/>
  <c r="S103" i="16"/>
  <c r="P103" i="16"/>
  <c r="T102" i="16"/>
  <c r="P102" i="16"/>
  <c r="O102" i="16"/>
  <c r="S100" i="16"/>
  <c r="M100" i="16"/>
  <c r="M99" i="16"/>
  <c r="L99" i="16"/>
  <c r="M98" i="16"/>
  <c r="L98" i="16"/>
  <c r="K98" i="16"/>
  <c r="P97" i="16"/>
  <c r="O97" i="16"/>
  <c r="M97" i="16"/>
  <c r="L97" i="16"/>
  <c r="J97" i="16"/>
  <c r="O96" i="16"/>
  <c r="N96" i="16"/>
  <c r="M96" i="16"/>
  <c r="J96" i="16"/>
  <c r="I96" i="16"/>
  <c r="L94" i="16"/>
  <c r="G94" i="16"/>
  <c r="J93" i="16"/>
  <c r="I93" i="16"/>
  <c r="G93" i="16"/>
  <c r="F93" i="16"/>
  <c r="I92" i="16"/>
  <c r="H92" i="16"/>
  <c r="G92" i="16"/>
  <c r="E92" i="16"/>
  <c r="T85" i="16"/>
  <c r="T84" i="16"/>
  <c r="S84" i="16"/>
  <c r="T83" i="16"/>
  <c r="S83" i="16"/>
  <c r="R83" i="16"/>
  <c r="T82" i="16"/>
  <c r="S82" i="16"/>
  <c r="Q82" i="16"/>
  <c r="T81" i="16"/>
  <c r="S81" i="16"/>
  <c r="P81" i="16"/>
  <c r="T80" i="16"/>
  <c r="P80" i="16"/>
  <c r="O80" i="16"/>
  <c r="S78" i="16"/>
  <c r="M78" i="16"/>
  <c r="M77" i="16"/>
  <c r="L77" i="16"/>
  <c r="M76" i="16"/>
  <c r="L76" i="16"/>
  <c r="K76" i="16"/>
  <c r="P75" i="16"/>
  <c r="O75" i="16"/>
  <c r="M75" i="16"/>
  <c r="L75" i="16"/>
  <c r="J75" i="16"/>
  <c r="O74" i="16"/>
  <c r="N74" i="16"/>
  <c r="M74" i="16"/>
  <c r="J74" i="16"/>
  <c r="I74" i="16"/>
  <c r="L72" i="16"/>
  <c r="G72" i="16"/>
  <c r="J71" i="16"/>
  <c r="I71" i="16"/>
  <c r="G71" i="16"/>
  <c r="F71" i="16"/>
  <c r="I70" i="16"/>
  <c r="H70" i="16"/>
  <c r="G70" i="16"/>
  <c r="E70" i="16"/>
  <c r="T63" i="16"/>
  <c r="T62" i="16"/>
  <c r="S62" i="16"/>
  <c r="T61" i="16"/>
  <c r="S61" i="16"/>
  <c r="R61" i="16"/>
  <c r="T60" i="16"/>
  <c r="S60" i="16"/>
  <c r="Q60" i="16"/>
  <c r="T59" i="16"/>
  <c r="S59" i="16"/>
  <c r="P59" i="16"/>
  <c r="T58" i="16"/>
  <c r="P58" i="16"/>
  <c r="O58" i="16"/>
  <c r="S56" i="16"/>
  <c r="M56" i="16"/>
  <c r="M55" i="16"/>
  <c r="L55" i="16"/>
  <c r="M54" i="16"/>
  <c r="L54" i="16"/>
  <c r="K54" i="16"/>
  <c r="P53" i="16"/>
  <c r="O53" i="16"/>
  <c r="M53" i="16"/>
  <c r="L53" i="16"/>
  <c r="J53" i="16"/>
  <c r="O52" i="16"/>
  <c r="N52" i="16"/>
  <c r="M52" i="16"/>
  <c r="J52" i="16"/>
  <c r="L50" i="16"/>
  <c r="G50" i="16"/>
  <c r="J49" i="16"/>
  <c r="I49" i="16"/>
  <c r="G49" i="16"/>
  <c r="F49" i="16"/>
  <c r="I48" i="16"/>
  <c r="H48" i="16"/>
  <c r="G48" i="16"/>
  <c r="E48" i="16"/>
  <c r="BN444" i="16"/>
  <c r="C198" i="6"/>
  <c r="C197" i="6"/>
  <c r="F46" i="11" s="1"/>
  <c r="I226" i="6"/>
  <c r="E226" i="6"/>
  <c r="I143" i="6"/>
  <c r="E143" i="6"/>
  <c r="E135" i="6"/>
  <c r="E130" i="6"/>
  <c r="E129" i="6"/>
  <c r="E136" i="6" s="1"/>
  <c r="I81" i="6"/>
  <c r="E81" i="6"/>
  <c r="I80" i="6"/>
  <c r="E80" i="6"/>
  <c r="BG340" i="16"/>
  <c r="CQ341" i="16" s="1"/>
  <c r="AZ251" i="16"/>
  <c r="CH252" i="16" s="1"/>
  <c r="BI439" i="16"/>
  <c r="AX436" i="16"/>
  <c r="BB429" i="16"/>
  <c r="BA271" i="16"/>
  <c r="BA278" i="16"/>
  <c r="AS276" i="16"/>
  <c r="BB272" i="16"/>
  <c r="AX277" i="16"/>
  <c r="AY277" i="16"/>
  <c r="AY278" i="16"/>
  <c r="BH270" i="16"/>
  <c r="BH274" i="16"/>
  <c r="AS275" i="16"/>
  <c r="CB276" i="16" s="1"/>
  <c r="AZ362" i="16"/>
  <c r="CH363" i="16" s="1"/>
  <c r="AW369" i="16"/>
  <c r="AX362" i="16"/>
  <c r="CF363" i="16" s="1"/>
  <c r="C163" i="6"/>
  <c r="F72" i="11" s="1"/>
  <c r="I162" i="6"/>
  <c r="E162" i="6"/>
  <c r="I158" i="6"/>
  <c r="E158" i="6"/>
  <c r="C111" i="6"/>
  <c r="F66" i="11" s="1"/>
  <c r="I108" i="6"/>
  <c r="I101" i="6"/>
  <c r="I100" i="6"/>
  <c r="C64" i="6"/>
  <c r="D64" i="6" s="1"/>
  <c r="N190" i="16"/>
  <c r="N146" i="16"/>
  <c r="D114" i="16"/>
  <c r="D48" i="16"/>
  <c r="Y28" i="16" s="1"/>
  <c r="D52" i="6"/>
  <c r="I154" i="6"/>
  <c r="E154" i="6"/>
  <c r="I107" i="6"/>
  <c r="C123" i="6"/>
  <c r="F67" i="11" s="1"/>
  <c r="I94" i="6"/>
  <c r="I93" i="6"/>
  <c r="E222" i="6"/>
  <c r="E150" i="6"/>
  <c r="E138" i="6"/>
  <c r="E126" i="6"/>
  <c r="E133" i="6" s="1"/>
  <c r="E125" i="6"/>
  <c r="E132" i="6" s="1"/>
  <c r="E87" i="6"/>
  <c r="E86" i="6"/>
  <c r="E77" i="6"/>
  <c r="E76" i="6"/>
  <c r="E43" i="6"/>
  <c r="E42" i="6"/>
  <c r="I222" i="6"/>
  <c r="I150" i="6"/>
  <c r="I138" i="6"/>
  <c r="I87" i="6"/>
  <c r="I86" i="6"/>
  <c r="I77" i="6"/>
  <c r="I76" i="6"/>
  <c r="I43" i="6"/>
  <c r="I42" i="6"/>
  <c r="H140" i="16" l="1"/>
  <c r="AT424" i="16"/>
  <c r="AS425" i="16"/>
  <c r="CB426" i="16" s="1"/>
  <c r="BA433" i="16"/>
  <c r="AS346" i="16"/>
  <c r="BC427" i="16"/>
  <c r="AV435" i="16"/>
  <c r="BA426" i="16"/>
  <c r="BI337" i="16"/>
  <c r="AS431" i="16"/>
  <c r="AY430" i="16"/>
  <c r="E27" i="16"/>
  <c r="BG435" i="16"/>
  <c r="AW424" i="16"/>
  <c r="CE425" i="16" s="1"/>
  <c r="BE427" i="16"/>
  <c r="CO428" i="16" s="1"/>
  <c r="BI429" i="16"/>
  <c r="BI433" i="16"/>
  <c r="BA437" i="16"/>
  <c r="AW441" i="16"/>
  <c r="BH425" i="16"/>
  <c r="BD428" i="16"/>
  <c r="CN429" i="16" s="1"/>
  <c r="AZ432" i="16"/>
  <c r="AZ436" i="16"/>
  <c r="CH437" i="16" s="1"/>
  <c r="AZ439" i="16"/>
  <c r="AS433" i="16"/>
  <c r="CB434" i="16" s="1"/>
  <c r="AX431" i="16"/>
  <c r="CF432" i="16" s="1"/>
  <c r="AX437" i="16"/>
  <c r="CF438" i="16" s="1"/>
  <c r="AS427" i="16"/>
  <c r="CB428" i="16" s="1"/>
  <c r="AY431" i="16"/>
  <c r="AS428" i="16"/>
  <c r="BC428" i="16"/>
  <c r="CM429" i="16" s="1"/>
  <c r="BC435" i="16"/>
  <c r="AT425" i="16"/>
  <c r="CC426" i="16" s="1"/>
  <c r="AT438" i="16"/>
  <c r="BB433" i="16"/>
  <c r="AU440" i="16"/>
  <c r="CD441" i="16" s="1"/>
  <c r="AU425" i="16"/>
  <c r="CD426" i="16" s="1"/>
  <c r="BB428" i="16"/>
  <c r="BG434" i="16"/>
  <c r="AW425" i="16"/>
  <c r="CE426" i="16" s="1"/>
  <c r="BI427" i="16"/>
  <c r="BI430" i="16"/>
  <c r="AW435" i="16"/>
  <c r="CE436" i="16" s="1"/>
  <c r="BA438" i="16"/>
  <c r="BA441" i="16"/>
  <c r="AV426" i="16"/>
  <c r="BD429" i="16"/>
  <c r="CN430" i="16" s="1"/>
  <c r="BD433" i="16"/>
  <c r="BD436" i="16"/>
  <c r="AZ440" i="16"/>
  <c r="BF424" i="16"/>
  <c r="CP425" i="16" s="1"/>
  <c r="BF433" i="16"/>
  <c r="CP434" i="16" s="1"/>
  <c r="AX439" i="16"/>
  <c r="CF440" i="16" s="1"/>
  <c r="AY424" i="16"/>
  <c r="CG425" i="16" s="1"/>
  <c r="AY435" i="16"/>
  <c r="BC424" i="16"/>
  <c r="CM425" i="16" s="1"/>
  <c r="BC430" i="16"/>
  <c r="BC438" i="16"/>
  <c r="AT428" i="16"/>
  <c r="CC429" i="16" s="1"/>
  <c r="AT439" i="16"/>
  <c r="BB441" i="16"/>
  <c r="BB422" i="16"/>
  <c r="AU433" i="16"/>
  <c r="CD434" i="16" s="1"/>
  <c r="BB436" i="16"/>
  <c r="AT422" i="16"/>
  <c r="CC423" i="16" s="1"/>
  <c r="AU343" i="16"/>
  <c r="BH341" i="16"/>
  <c r="AX339" i="16"/>
  <c r="CF340" i="16" s="1"/>
  <c r="BI339" i="16"/>
  <c r="AT340" i="16"/>
  <c r="BG335" i="16"/>
  <c r="CQ336" i="16" s="1"/>
  <c r="AY344" i="16"/>
  <c r="CG345" i="16" s="1"/>
  <c r="BH344" i="16"/>
  <c r="AX344" i="16"/>
  <c r="BA345" i="16"/>
  <c r="BE340" i="16"/>
  <c r="CO341" i="16" s="1"/>
  <c r="AZ254" i="16"/>
  <c r="CH255" i="16" s="1"/>
  <c r="AT250" i="16"/>
  <c r="CC251" i="16" s="1"/>
  <c r="AU251" i="16"/>
  <c r="CD252" i="16" s="1"/>
  <c r="AW247" i="16"/>
  <c r="CE248" i="16" s="1"/>
  <c r="AT254" i="16"/>
  <c r="AU256" i="16"/>
  <c r="BG163" i="16"/>
  <c r="CQ164" i="16" s="1"/>
  <c r="AX160" i="16"/>
  <c r="CF161" i="16" s="1"/>
  <c r="AW159" i="16"/>
  <c r="CE160" i="16" s="1"/>
  <c r="BF162" i="16"/>
  <c r="AW160" i="16"/>
  <c r="CE161" i="16" s="1"/>
  <c r="Q39" i="16"/>
  <c r="U39" i="16" s="1"/>
  <c r="Q149" i="16"/>
  <c r="AL120" i="16" s="1"/>
  <c r="BF120" i="16" s="1"/>
  <c r="CP121" i="16" s="1"/>
  <c r="I185" i="16"/>
  <c r="AD166" i="16" s="1"/>
  <c r="AX166" i="16" s="1"/>
  <c r="I31" i="16"/>
  <c r="I163" i="16"/>
  <c r="AD143" i="16" s="1"/>
  <c r="AX143" i="16" s="1"/>
  <c r="CF144" i="16" s="1"/>
  <c r="I141" i="16"/>
  <c r="AD120" i="16" s="1"/>
  <c r="AX120" i="16" s="1"/>
  <c r="CF121" i="16" s="1"/>
  <c r="H184" i="16"/>
  <c r="AC166" i="16" s="1"/>
  <c r="AW166" i="16" s="1"/>
  <c r="I75" i="16"/>
  <c r="U75" i="16" s="1"/>
  <c r="BB438" i="16"/>
  <c r="AS439" i="16"/>
  <c r="BC440" i="16"/>
  <c r="BC425" i="16"/>
  <c r="CM426" i="16" s="1"/>
  <c r="AY426" i="16"/>
  <c r="CG427" i="16" s="1"/>
  <c r="AX434" i="16"/>
  <c r="CF435" i="16" s="1"/>
  <c r="BD441" i="16"/>
  <c r="AV434" i="16"/>
  <c r="AV427" i="16"/>
  <c r="BE438" i="16"/>
  <c r="BA432" i="16"/>
  <c r="BA425" i="16"/>
  <c r="BF248" i="16"/>
  <c r="CP249" i="16" s="1"/>
  <c r="AV249" i="16"/>
  <c r="BE343" i="16"/>
  <c r="AX346" i="16"/>
  <c r="BH335" i="16"/>
  <c r="BG349" i="16"/>
  <c r="I119" i="16"/>
  <c r="AU435" i="16"/>
  <c r="CD436" i="16" s="1"/>
  <c r="AU432" i="16"/>
  <c r="CD433" i="16" s="1"/>
  <c r="AT434" i="16"/>
  <c r="CC435" i="16" s="1"/>
  <c r="BC434" i="16"/>
  <c r="AY440" i="16"/>
  <c r="BF441" i="16"/>
  <c r="BF428" i="16"/>
  <c r="CP429" i="16" s="1"/>
  <c r="AV439" i="16"/>
  <c r="AZ431" i="16"/>
  <c r="BD423" i="16"/>
  <c r="CN424" i="16" s="1"/>
  <c r="AW436" i="16"/>
  <c r="CE437" i="16" s="1"/>
  <c r="BE429" i="16"/>
  <c r="BA423" i="16"/>
  <c r="AW255" i="16"/>
  <c r="CE256" i="16" s="1"/>
  <c r="BC164" i="16"/>
  <c r="CM165" i="16" s="1"/>
  <c r="BB344" i="16"/>
  <c r="BH349" i="16"/>
  <c r="BC339" i="16"/>
  <c r="CM340" i="16" s="1"/>
  <c r="Q193" i="16"/>
  <c r="AL166" i="16" s="1"/>
  <c r="BF166" i="16" s="1"/>
  <c r="CP167" i="16" s="1"/>
  <c r="BH422" i="16"/>
  <c r="BQ422" i="16" s="1"/>
  <c r="CR423" i="16" s="1"/>
  <c r="I53" i="16"/>
  <c r="AU431" i="16"/>
  <c r="CD432" i="16" s="1"/>
  <c r="AU424" i="16"/>
  <c r="CD425" i="16" s="1"/>
  <c r="AT430" i="16"/>
  <c r="BC431" i="16"/>
  <c r="AY436" i="16"/>
  <c r="BF439" i="16"/>
  <c r="CP440" i="16" s="1"/>
  <c r="AX426" i="16"/>
  <c r="CF427" i="16" s="1"/>
  <c r="BD437" i="16"/>
  <c r="AV431" i="16"/>
  <c r="AS438" i="16"/>
  <c r="BI435" i="16"/>
  <c r="BE428" i="16"/>
  <c r="CO429" i="16" s="1"/>
  <c r="AW423" i="16"/>
  <c r="CE424" i="16" s="1"/>
  <c r="BI252" i="16"/>
  <c r="AY159" i="16"/>
  <c r="BB334" i="16"/>
  <c r="BD348" i="16"/>
  <c r="BG438" i="16"/>
  <c r="Q61" i="16"/>
  <c r="AL28" i="16" s="1"/>
  <c r="BF28" i="16" s="1"/>
  <c r="CP29" i="16" s="1"/>
  <c r="C281" i="6"/>
  <c r="H202" i="16" s="1"/>
  <c r="C282" i="6"/>
  <c r="I203" i="16" s="1"/>
  <c r="C283" i="6"/>
  <c r="L204" i="16" s="1"/>
  <c r="C287" i="6"/>
  <c r="N206" i="16" s="1"/>
  <c r="BD276" i="16"/>
  <c r="AV268" i="16"/>
  <c r="BF273" i="16"/>
  <c r="CP274" i="16" s="1"/>
  <c r="BA276" i="16"/>
  <c r="C288" i="6"/>
  <c r="O207" i="16" s="1"/>
  <c r="M210" i="16"/>
  <c r="T217" i="16"/>
  <c r="C276" i="6"/>
  <c r="S217" i="16" s="1"/>
  <c r="BB357" i="16"/>
  <c r="AU274" i="16"/>
  <c r="CD275" i="16" s="1"/>
  <c r="AV270" i="16"/>
  <c r="AT279" i="16"/>
  <c r="CC280" i="16" s="1"/>
  <c r="BB268" i="16"/>
  <c r="BI272" i="16"/>
  <c r="C238" i="6"/>
  <c r="C242" i="6"/>
  <c r="M208" i="16" s="1"/>
  <c r="C248" i="6"/>
  <c r="P206" i="16" s="1"/>
  <c r="C252" i="6"/>
  <c r="C237" i="6"/>
  <c r="J206" i="16" s="1"/>
  <c r="C245" i="6"/>
  <c r="J210" i="16" s="1"/>
  <c r="C253" i="6"/>
  <c r="S213" i="16" s="1"/>
  <c r="C233" i="6"/>
  <c r="J202" i="16" s="1"/>
  <c r="C240" i="6"/>
  <c r="C250" i="6"/>
  <c r="C254" i="6"/>
  <c r="C234" i="6"/>
  <c r="J203" i="16" s="1"/>
  <c r="C236" i="6"/>
  <c r="C241" i="6"/>
  <c r="L208" i="16" s="1"/>
  <c r="C247" i="6"/>
  <c r="O206" i="16" s="1"/>
  <c r="C251" i="6"/>
  <c r="P212" i="16" s="1"/>
  <c r="C255" i="6"/>
  <c r="CO439" i="16" s="1"/>
  <c r="C260" i="6"/>
  <c r="C235" i="6"/>
  <c r="J204" i="16" s="1"/>
  <c r="C232" i="6"/>
  <c r="I202" i="16" s="1"/>
  <c r="C239" i="6"/>
  <c r="L207" i="16" s="1"/>
  <c r="C243" i="6"/>
  <c r="C249" i="6"/>
  <c r="P207" i="16" s="1"/>
  <c r="C257" i="6"/>
  <c r="S215" i="16" s="1"/>
  <c r="C246" i="6"/>
  <c r="K210" i="16" s="1"/>
  <c r="D71" i="18"/>
  <c r="D47" i="18"/>
  <c r="K99" i="16"/>
  <c r="U99" i="16" s="1"/>
  <c r="E71" i="16"/>
  <c r="Z51" i="16" s="1"/>
  <c r="AT51" i="16" s="1"/>
  <c r="CC52" i="16" s="1"/>
  <c r="K143" i="16"/>
  <c r="U143" i="16" s="1"/>
  <c r="E181" i="16"/>
  <c r="U181" i="16" s="1"/>
  <c r="K55" i="16"/>
  <c r="AF28" i="16" s="1"/>
  <c r="AZ28" i="16" s="1"/>
  <c r="E93" i="16"/>
  <c r="Z74" i="16" s="1"/>
  <c r="AT74" i="16" s="1"/>
  <c r="CC75" i="16" s="1"/>
  <c r="BI227" i="16"/>
  <c r="E49" i="16"/>
  <c r="U49" i="16" s="1"/>
  <c r="E115" i="16"/>
  <c r="Z97" i="16" s="1"/>
  <c r="AT97" i="16" s="1"/>
  <c r="CC98" i="16" s="1"/>
  <c r="E137" i="16"/>
  <c r="Z120" i="16" s="1"/>
  <c r="AT120" i="16" s="1"/>
  <c r="CC121" i="16" s="1"/>
  <c r="BB297" i="16"/>
  <c r="Z143" i="16"/>
  <c r="AT143" i="16" s="1"/>
  <c r="BF299" i="16"/>
  <c r="CP300" i="16" s="1"/>
  <c r="N58" i="16"/>
  <c r="U58" i="16" s="1"/>
  <c r="D70" i="16"/>
  <c r="U70" i="16" s="1"/>
  <c r="BB361" i="16"/>
  <c r="AS359" i="16"/>
  <c r="CB360" i="16" s="1"/>
  <c r="AU276" i="16"/>
  <c r="AZ277" i="16"/>
  <c r="CH278" i="16" s="1"/>
  <c r="AV276" i="16"/>
  <c r="BC271" i="16"/>
  <c r="CM272" i="16" s="1"/>
  <c r="AX280" i="16"/>
  <c r="CF281" i="16" s="1"/>
  <c r="BB275" i="16"/>
  <c r="AT270" i="16"/>
  <c r="CC271" i="16" s="1"/>
  <c r="BE278" i="16"/>
  <c r="BI274" i="16"/>
  <c r="AW380" i="16"/>
  <c r="CE381" i="16" s="1"/>
  <c r="BI206" i="16"/>
  <c r="BG272" i="16"/>
  <c r="CQ273" i="16" s="1"/>
  <c r="J54" i="16"/>
  <c r="AE28" i="16" s="1"/>
  <c r="AY28" i="16" s="1"/>
  <c r="CG29" i="16" s="1"/>
  <c r="CQ414" i="16"/>
  <c r="R128" i="16"/>
  <c r="AM97" i="16" s="1"/>
  <c r="BG97" i="16" s="1"/>
  <c r="CQ98" i="16" s="1"/>
  <c r="BC362" i="16"/>
  <c r="CM363" i="16" s="1"/>
  <c r="BI357" i="16"/>
  <c r="BD274" i="16"/>
  <c r="CN275" i="16" s="1"/>
  <c r="AZ278" i="16"/>
  <c r="CH279" i="16" s="1"/>
  <c r="BH269" i="16"/>
  <c r="BC278" i="16"/>
  <c r="CM279" i="16" s="1"/>
  <c r="AS269" i="16"/>
  <c r="CB270" i="16" s="1"/>
  <c r="AX276" i="16"/>
  <c r="CF277" i="16" s="1"/>
  <c r="AX272" i="16"/>
  <c r="CF273" i="16" s="1"/>
  <c r="BE279" i="16"/>
  <c r="AW275" i="16"/>
  <c r="CE276" i="16" s="1"/>
  <c r="BE270" i="16"/>
  <c r="CO271" i="16" s="1"/>
  <c r="AV388" i="16"/>
  <c r="AZ293" i="16"/>
  <c r="CH294" i="16" s="1"/>
  <c r="AV416" i="16"/>
  <c r="AX230" i="16"/>
  <c r="CF231" i="16" s="1"/>
  <c r="CM432" i="16"/>
  <c r="AU231" i="16"/>
  <c r="CD232" i="16" s="1"/>
  <c r="BH229" i="16"/>
  <c r="AT387" i="16"/>
  <c r="CC388" i="16" s="1"/>
  <c r="BE303" i="16"/>
  <c r="AU370" i="16"/>
  <c r="CD371" i="16" s="1"/>
  <c r="BI371" i="16"/>
  <c r="AV365" i="16"/>
  <c r="BD269" i="16"/>
  <c r="CN270" i="16" s="1"/>
  <c r="BH280" i="16"/>
  <c r="AZ273" i="16"/>
  <c r="CH274" i="16" s="1"/>
  <c r="AV275" i="16"/>
  <c r="BC276" i="16"/>
  <c r="CM277" i="16" s="1"/>
  <c r="AY271" i="16"/>
  <c r="CG272" i="16" s="1"/>
  <c r="BB277" i="16"/>
  <c r="AX274" i="16"/>
  <c r="CF275" i="16" s="1"/>
  <c r="BB270" i="16"/>
  <c r="AW280" i="16"/>
  <c r="CE281" i="16" s="1"/>
  <c r="BI276" i="16"/>
  <c r="BB225" i="16"/>
  <c r="AV394" i="16"/>
  <c r="BB300" i="16"/>
  <c r="AV295" i="16"/>
  <c r="BG362" i="16"/>
  <c r="CQ363" i="16" s="1"/>
  <c r="D59" i="13"/>
  <c r="D59" i="31" s="1"/>
  <c r="AI51" i="16"/>
  <c r="BC51" i="16" s="1"/>
  <c r="CM52" i="16" s="1"/>
  <c r="AX409" i="16"/>
  <c r="CF410" i="16" s="1"/>
  <c r="BI233" i="16"/>
  <c r="AX226" i="16"/>
  <c r="CF227" i="16" s="1"/>
  <c r="H52" i="16"/>
  <c r="AC28" i="16" s="1"/>
  <c r="AW28" i="16" s="1"/>
  <c r="CE29" i="16" s="1"/>
  <c r="BE409" i="16"/>
  <c r="BB233" i="16"/>
  <c r="BI231" i="16"/>
  <c r="AY229" i="16"/>
  <c r="CG230" i="16" s="1"/>
  <c r="BH233" i="16"/>
  <c r="BH225" i="16"/>
  <c r="BH385" i="16"/>
  <c r="AT382" i="16"/>
  <c r="CC383" i="16" s="1"/>
  <c r="BA296" i="16"/>
  <c r="AW300" i="16"/>
  <c r="CE301" i="16" s="1"/>
  <c r="AU301" i="16"/>
  <c r="CD302" i="16" s="1"/>
  <c r="AV326" i="16"/>
  <c r="J98" i="16"/>
  <c r="AE74" i="16" s="1"/>
  <c r="AY74" i="16" s="1"/>
  <c r="AB120" i="16"/>
  <c r="AV120" i="16" s="1"/>
  <c r="AU227" i="16"/>
  <c r="CD228" i="16" s="1"/>
  <c r="BI225" i="16"/>
  <c r="BH227" i="16"/>
  <c r="BC411" i="16"/>
  <c r="CM412" i="16" s="1"/>
  <c r="AU234" i="16"/>
  <c r="CD235" i="16" s="1"/>
  <c r="BB229" i="16"/>
  <c r="BI229" i="16"/>
  <c r="AX234" i="16"/>
  <c r="CF235" i="16" s="1"/>
  <c r="BH231" i="16"/>
  <c r="AW393" i="16"/>
  <c r="CE394" i="16" s="1"/>
  <c r="BA392" i="16"/>
  <c r="BI388" i="16"/>
  <c r="AX301" i="16"/>
  <c r="CF302" i="16" s="1"/>
  <c r="AV303" i="16"/>
  <c r="AV208" i="16"/>
  <c r="BG301" i="16"/>
  <c r="CP71" i="16"/>
  <c r="CI115" i="16"/>
  <c r="BT71" i="16"/>
  <c r="CU72" i="16" s="1"/>
  <c r="BA224" i="16"/>
  <c r="BM224" i="16" s="1"/>
  <c r="BS225" i="16" s="1"/>
  <c r="CT226" i="16" s="1"/>
  <c r="AY224" i="16"/>
  <c r="CG225" i="16" s="1"/>
  <c r="BF224" i="16"/>
  <c r="BU225" i="16" s="1"/>
  <c r="CV226" i="16" s="1"/>
  <c r="AT224" i="16"/>
  <c r="CC225" i="16" s="1"/>
  <c r="BG233" i="16"/>
  <c r="BG226" i="16"/>
  <c r="CQ227" i="16" s="1"/>
  <c r="BI224" i="16"/>
  <c r="AZ225" i="16"/>
  <c r="CH226" i="16" s="1"/>
  <c r="AZ226" i="16"/>
  <c r="CH227" i="16" s="1"/>
  <c r="AZ227" i="16"/>
  <c r="CH228" i="16" s="1"/>
  <c r="AZ228" i="16"/>
  <c r="CH229" i="16" s="1"/>
  <c r="AZ229" i="16"/>
  <c r="CH230" i="16" s="1"/>
  <c r="AZ230" i="16"/>
  <c r="CH231" i="16" s="1"/>
  <c r="AZ231" i="16"/>
  <c r="CH232" i="16" s="1"/>
  <c r="AZ232" i="16"/>
  <c r="CH233" i="16" s="1"/>
  <c r="AZ233" i="16"/>
  <c r="CH234" i="16" s="1"/>
  <c r="AZ234" i="16"/>
  <c r="CH235" i="16" s="1"/>
  <c r="AS231" i="16"/>
  <c r="CB232" i="16" s="1"/>
  <c r="AX227" i="16"/>
  <c r="CF228" i="16" s="1"/>
  <c r="AX229" i="16"/>
  <c r="CF230" i="16" s="1"/>
  <c r="AX231" i="16"/>
  <c r="AX233" i="16"/>
  <c r="CF234" i="16" s="1"/>
  <c r="AS229" i="16"/>
  <c r="CB230" i="16" s="1"/>
  <c r="AY227" i="16"/>
  <c r="CG228" i="16" s="1"/>
  <c r="AY231" i="16"/>
  <c r="CG232" i="16" s="1"/>
  <c r="BA225" i="16"/>
  <c r="BA226" i="16"/>
  <c r="BA227" i="16"/>
  <c r="BA228" i="16"/>
  <c r="BA229" i="16"/>
  <c r="BA230" i="16"/>
  <c r="BA231" i="16"/>
  <c r="BA232" i="16"/>
  <c r="BA233" i="16"/>
  <c r="BA234" i="16"/>
  <c r="AS232" i="16"/>
  <c r="BB226" i="16"/>
  <c r="BB228" i="16"/>
  <c r="BB230" i="16"/>
  <c r="BB232" i="16"/>
  <c r="BB234" i="16"/>
  <c r="AU226" i="16"/>
  <c r="CD227" i="16" s="1"/>
  <c r="AU228" i="16"/>
  <c r="CD229" i="16" s="1"/>
  <c r="AU230" i="16"/>
  <c r="CD231" i="16" s="1"/>
  <c r="AU232" i="16"/>
  <c r="CD233" i="16" s="1"/>
  <c r="AS234" i="16"/>
  <c r="CB235" i="16" s="1"/>
  <c r="AY233" i="16"/>
  <c r="BG231" i="16"/>
  <c r="CQ232" i="16" s="1"/>
  <c r="BF225" i="16"/>
  <c r="CP226" i="16" s="1"/>
  <c r="BG230" i="16"/>
  <c r="CQ231" i="16" s="1"/>
  <c r="BG234" i="16"/>
  <c r="AV224" i="16"/>
  <c r="BD225" i="16"/>
  <c r="CN226" i="16" s="1"/>
  <c r="BD226" i="16"/>
  <c r="CN227" i="16" s="1"/>
  <c r="BD227" i="16"/>
  <c r="CN228" i="16" s="1"/>
  <c r="BD228" i="16"/>
  <c r="CN229" i="16" s="1"/>
  <c r="BD229" i="16"/>
  <c r="CN230" i="16" s="1"/>
  <c r="BD230" i="16"/>
  <c r="CN231" i="16" s="1"/>
  <c r="BD231" i="16"/>
  <c r="CN232" i="16" s="1"/>
  <c r="BD232" i="16"/>
  <c r="BD233" i="16"/>
  <c r="BD234" i="16"/>
  <c r="AX225" i="16"/>
  <c r="CF226" i="16" s="1"/>
  <c r="BF227" i="16"/>
  <c r="CP228" i="16" s="1"/>
  <c r="BF229" i="16"/>
  <c r="CP230" i="16" s="1"/>
  <c r="BF231" i="16"/>
  <c r="CP232" i="16" s="1"/>
  <c r="BF233" i="16"/>
  <c r="AU225" i="16"/>
  <c r="CD226" i="16" s="1"/>
  <c r="AY228" i="16"/>
  <c r="CG229" i="16" s="1"/>
  <c r="AY232" i="16"/>
  <c r="BE225" i="16"/>
  <c r="BE226" i="16"/>
  <c r="CO227" i="16" s="1"/>
  <c r="BE227" i="16"/>
  <c r="CO228" i="16" s="1"/>
  <c r="BE228" i="16"/>
  <c r="CO229" i="16" s="1"/>
  <c r="BE229" i="16"/>
  <c r="CO230" i="16" s="1"/>
  <c r="BE230" i="16"/>
  <c r="CO231" i="16" s="1"/>
  <c r="BE231" i="16"/>
  <c r="CO232" i="16" s="1"/>
  <c r="BE232" i="16"/>
  <c r="BE233" i="16"/>
  <c r="BE234" i="16"/>
  <c r="AT225" i="16"/>
  <c r="CC226" i="16" s="1"/>
  <c r="AT227" i="16"/>
  <c r="AT229" i="16"/>
  <c r="CC230" i="16" s="1"/>
  <c r="AT231" i="16"/>
  <c r="CC232" i="16" s="1"/>
  <c r="AT233" i="16"/>
  <c r="CC234" i="16" s="1"/>
  <c r="AS225" i="16"/>
  <c r="CB226" i="16" s="1"/>
  <c r="BC226" i="16"/>
  <c r="CM227" i="16" s="1"/>
  <c r="BC228" i="16"/>
  <c r="CM229" i="16" s="1"/>
  <c r="BC230" i="16"/>
  <c r="CM231" i="16" s="1"/>
  <c r="BC232" i="16"/>
  <c r="CM233" i="16" s="1"/>
  <c r="AU233" i="16"/>
  <c r="CD234" i="16" s="1"/>
  <c r="AY234" i="16"/>
  <c r="BH224" i="16"/>
  <c r="BQ224" i="16" s="1"/>
  <c r="CR225" i="16" s="1"/>
  <c r="BG232" i="16"/>
  <c r="BW50" i="16"/>
  <c r="CX51" i="16" s="1"/>
  <c r="AV402" i="16"/>
  <c r="BB401" i="16"/>
  <c r="BE402" i="16"/>
  <c r="CO403" i="16" s="1"/>
  <c r="BC234" i="16"/>
  <c r="CM235" i="16" s="1"/>
  <c r="BC229" i="16"/>
  <c r="CM230" i="16" s="1"/>
  <c r="BC225" i="16"/>
  <c r="CM226" i="16" s="1"/>
  <c r="AT232" i="16"/>
  <c r="CC233" i="16" s="1"/>
  <c r="AT228" i="16"/>
  <c r="CC229" i="16" s="1"/>
  <c r="AS228" i="16"/>
  <c r="CB229" i="16" s="1"/>
  <c r="AW233" i="16"/>
  <c r="CE234" i="16" s="1"/>
  <c r="AW231" i="16"/>
  <c r="CE232" i="16" s="1"/>
  <c r="AW229" i="16"/>
  <c r="CE230" i="16" s="1"/>
  <c r="AW227" i="16"/>
  <c r="CE228" i="16" s="1"/>
  <c r="AY226" i="16"/>
  <c r="CG227" i="16" s="1"/>
  <c r="BF232" i="16"/>
  <c r="CP233" i="16" s="1"/>
  <c r="BF228" i="16"/>
  <c r="CP229" i="16" s="1"/>
  <c r="AS227" i="16"/>
  <c r="CB228" i="16" s="1"/>
  <c r="AV233" i="16"/>
  <c r="AV231" i="16"/>
  <c r="AV229" i="16"/>
  <c r="AV227" i="16"/>
  <c r="AV225" i="16"/>
  <c r="AV322" i="16"/>
  <c r="CQ49" i="16"/>
  <c r="CH440" i="16"/>
  <c r="CH433" i="16"/>
  <c r="AU408" i="16"/>
  <c r="CD409" i="16" s="1"/>
  <c r="BB416" i="16"/>
  <c r="AS408" i="16"/>
  <c r="CB409" i="16" s="1"/>
  <c r="AS230" i="16"/>
  <c r="CB231" i="16" s="1"/>
  <c r="BC233" i="16"/>
  <c r="CM234" i="16" s="1"/>
  <c r="AU229" i="16"/>
  <c r="CD230" i="16" s="1"/>
  <c r="AS233" i="16"/>
  <c r="CB234" i="16" s="1"/>
  <c r="BB231" i="16"/>
  <c r="BB227" i="16"/>
  <c r="BI234" i="16"/>
  <c r="BI232" i="16"/>
  <c r="BI230" i="16"/>
  <c r="BI228" i="16"/>
  <c r="BI226" i="16"/>
  <c r="AW225" i="16"/>
  <c r="CE226" i="16" s="1"/>
  <c r="AY225" i="16"/>
  <c r="CG226" i="16" s="1"/>
  <c r="AX232" i="16"/>
  <c r="CF233" i="16" s="1"/>
  <c r="AX228" i="16"/>
  <c r="CF229" i="16" s="1"/>
  <c r="BH234" i="16"/>
  <c r="BH232" i="16"/>
  <c r="BH230" i="16"/>
  <c r="BH228" i="16"/>
  <c r="BH226" i="16"/>
  <c r="BB224" i="16"/>
  <c r="BI405" i="16"/>
  <c r="BA414" i="16"/>
  <c r="AT404" i="16"/>
  <c r="CC405" i="16" s="1"/>
  <c r="AX414" i="16"/>
  <c r="CF415" i="16" s="1"/>
  <c r="AV405" i="16"/>
  <c r="AY407" i="16"/>
  <c r="CG408" i="16" s="1"/>
  <c r="AZ413" i="16"/>
  <c r="CH414" i="16" s="1"/>
  <c r="BH404" i="16"/>
  <c r="BE408" i="16"/>
  <c r="BI415" i="16"/>
  <c r="AX406" i="16"/>
  <c r="CF407" i="16" s="1"/>
  <c r="BF415" i="16"/>
  <c r="CP416" i="16" s="1"/>
  <c r="BD410" i="16"/>
  <c r="AU404" i="16"/>
  <c r="CD405" i="16" s="1"/>
  <c r="AZ417" i="16"/>
  <c r="CH418" i="16" s="1"/>
  <c r="AU318" i="16"/>
  <c r="CD319" i="16" s="1"/>
  <c r="AS317" i="16"/>
  <c r="CB318" i="16" s="1"/>
  <c r="BE320" i="16"/>
  <c r="BG319" i="16"/>
  <c r="CQ320" i="16" s="1"/>
  <c r="AV318" i="16"/>
  <c r="BI318" i="16"/>
  <c r="AT321" i="16"/>
  <c r="CC322" i="16" s="1"/>
  <c r="AX180" i="16"/>
  <c r="CF181" i="16" s="1"/>
  <c r="AT182" i="16"/>
  <c r="CC183" i="16" s="1"/>
  <c r="AU413" i="16"/>
  <c r="CD414" i="16" s="1"/>
  <c r="BH403" i="16"/>
  <c r="AY403" i="16"/>
  <c r="CG404" i="16" s="1"/>
  <c r="AT411" i="16"/>
  <c r="CC412" i="16" s="1"/>
  <c r="BA413" i="16"/>
  <c r="AS226" i="16"/>
  <c r="CB227" i="16" s="1"/>
  <c r="BC231" i="16"/>
  <c r="BC227" i="16"/>
  <c r="AT234" i="16"/>
  <c r="CC235" i="16" s="1"/>
  <c r="AT230" i="16"/>
  <c r="CC231" i="16" s="1"/>
  <c r="AT226" i="16"/>
  <c r="CC227" i="16" s="1"/>
  <c r="AW234" i="16"/>
  <c r="CE235" i="16" s="1"/>
  <c r="AW232" i="16"/>
  <c r="CE233" i="16" s="1"/>
  <c r="AW230" i="16"/>
  <c r="CE231" i="16" s="1"/>
  <c r="AW228" i="16"/>
  <c r="CE229" i="16" s="1"/>
  <c r="AW226" i="16"/>
  <c r="CE227" i="16" s="1"/>
  <c r="AY230" i="16"/>
  <c r="CG231" i="16" s="1"/>
  <c r="BF234" i="16"/>
  <c r="CP235" i="16" s="1"/>
  <c r="BF230" i="16"/>
  <c r="CP231" i="16" s="1"/>
  <c r="BF226" i="16"/>
  <c r="CP227" i="16" s="1"/>
  <c r="AV234" i="16"/>
  <c r="AV232" i="16"/>
  <c r="AV230" i="16"/>
  <c r="AV228" i="16"/>
  <c r="AV226" i="16"/>
  <c r="AY326" i="16"/>
  <c r="BG229" i="16"/>
  <c r="CQ230" i="16" s="1"/>
  <c r="C8" i="26"/>
  <c r="D12" i="10"/>
  <c r="BC224" i="16"/>
  <c r="CM225" i="16" s="1"/>
  <c r="BU115" i="16"/>
  <c r="CV116" i="16" s="1"/>
  <c r="CP115" i="16"/>
  <c r="D26" i="16"/>
  <c r="U26" i="16" s="1"/>
  <c r="AD74" i="16"/>
  <c r="AX74" i="16" s="1"/>
  <c r="CF75" i="16" s="1"/>
  <c r="BF390" i="16"/>
  <c r="CP391" i="16" s="1"/>
  <c r="BH390" i="16"/>
  <c r="BA299" i="16"/>
  <c r="AS291" i="16"/>
  <c r="CB292" i="16" s="1"/>
  <c r="AZ301" i="16"/>
  <c r="CH302" i="16" s="1"/>
  <c r="BP72" i="16"/>
  <c r="CL73" i="16" s="1"/>
  <c r="R84" i="16"/>
  <c r="AM51" i="16" s="1"/>
  <c r="BG51" i="16" s="1"/>
  <c r="CQ52" i="16" s="1"/>
  <c r="R40" i="16"/>
  <c r="U40" i="16" s="1"/>
  <c r="U162" i="16"/>
  <c r="CF345" i="16"/>
  <c r="D47" i="10"/>
  <c r="E65" i="10" s="1"/>
  <c r="AI166" i="16"/>
  <c r="BC166" i="16" s="1"/>
  <c r="C44" i="18"/>
  <c r="C24" i="25"/>
  <c r="C27" i="25" s="1"/>
  <c r="DG92" i="16"/>
  <c r="BN49" i="16"/>
  <c r="BR50" i="16" s="1"/>
  <c r="CS51" i="16" s="1"/>
  <c r="CD49" i="16"/>
  <c r="C13" i="13"/>
  <c r="C13" i="10"/>
  <c r="D26" i="10" s="1"/>
  <c r="F160" i="16"/>
  <c r="AA143" i="16" s="1"/>
  <c r="AU143" i="16" s="1"/>
  <c r="CD144" i="16" s="1"/>
  <c r="F182" i="16"/>
  <c r="F138" i="16"/>
  <c r="AA120" i="16" s="1"/>
  <c r="AU120" i="16" s="1"/>
  <c r="CD121" i="16" s="1"/>
  <c r="F94" i="16"/>
  <c r="U94" i="16" s="1"/>
  <c r="N124" i="16"/>
  <c r="AI97" i="16" s="1"/>
  <c r="BC97" i="16" s="1"/>
  <c r="CM98" i="16" s="1"/>
  <c r="AS203" i="16"/>
  <c r="CB204" i="16" s="1"/>
  <c r="BA268" i="16"/>
  <c r="BM268" i="16" s="1"/>
  <c r="CI269" i="16" s="1"/>
  <c r="BG268" i="16"/>
  <c r="BW269" i="16" s="1"/>
  <c r="BF268" i="16"/>
  <c r="CP269" i="16" s="1"/>
  <c r="BG278" i="16"/>
  <c r="J186" i="16"/>
  <c r="J142" i="16"/>
  <c r="AE120" i="16" s="1"/>
  <c r="AY120" i="16" s="1"/>
  <c r="CG121" i="16" s="1"/>
  <c r="D58" i="6"/>
  <c r="F62" i="11"/>
  <c r="BD280" i="16"/>
  <c r="BD273" i="16"/>
  <c r="CN274" i="16" s="1"/>
  <c r="AU279" i="16"/>
  <c r="CD280" i="16" s="1"/>
  <c r="AU272" i="16"/>
  <c r="CD273" i="16" s="1"/>
  <c r="AZ280" i="16"/>
  <c r="CH281" i="16" s="1"/>
  <c r="AZ276" i="16"/>
  <c r="CH277" i="16" s="1"/>
  <c r="BH272" i="16"/>
  <c r="AV280" i="16"/>
  <c r="AV274" i="16"/>
  <c r="BC280" i="16"/>
  <c r="BC275" i="16"/>
  <c r="BC269" i="16"/>
  <c r="CM270" i="16" s="1"/>
  <c r="AY275" i="16"/>
  <c r="CG276" i="16" s="1"/>
  <c r="AS277" i="16"/>
  <c r="CB278" i="16" s="1"/>
  <c r="AT280" i="16"/>
  <c r="BB278" i="16"/>
  <c r="BF276" i="16"/>
  <c r="CP277" i="16" s="1"/>
  <c r="AX275" i="16"/>
  <c r="CF276" i="16" s="1"/>
  <c r="BB273" i="16"/>
  <c r="BB271" i="16"/>
  <c r="AS272" i="16"/>
  <c r="CB273" i="16" s="1"/>
  <c r="BA279" i="16"/>
  <c r="BE277" i="16"/>
  <c r="BI275" i="16"/>
  <c r="BE274" i="16"/>
  <c r="CO275" i="16" s="1"/>
  <c r="BA272" i="16"/>
  <c r="BI269" i="16"/>
  <c r="AY210" i="16"/>
  <c r="BG279" i="16"/>
  <c r="J164" i="16"/>
  <c r="U164" i="16" s="1"/>
  <c r="F28" i="16"/>
  <c r="U28" i="16" s="1"/>
  <c r="J32" i="16"/>
  <c r="U32" i="16" s="1"/>
  <c r="D67" i="18"/>
  <c r="BU27" i="16"/>
  <c r="BU28" i="16" s="1"/>
  <c r="CV29" i="16" s="1"/>
  <c r="CP27" i="16"/>
  <c r="AY422" i="16"/>
  <c r="BA422" i="16"/>
  <c r="BM422" i="16" s="1"/>
  <c r="BD422" i="16"/>
  <c r="CN423" i="16" s="1"/>
  <c r="BG427" i="16"/>
  <c r="CQ428" i="16" s="1"/>
  <c r="BG440" i="16"/>
  <c r="BE426" i="16"/>
  <c r="CO427" i="16" s="1"/>
  <c r="BI428" i="16"/>
  <c r="BA431" i="16"/>
  <c r="BI434" i="16"/>
  <c r="BI436" i="16"/>
  <c r="BE439" i="16"/>
  <c r="CO440" i="16" s="1"/>
  <c r="AS430" i="16"/>
  <c r="CB431" i="16" s="1"/>
  <c r="BH424" i="16"/>
  <c r="BD427" i="16"/>
  <c r="CN428" i="16" s="1"/>
  <c r="AV430" i="16"/>
  <c r="BD432" i="16"/>
  <c r="AZ435" i="16"/>
  <c r="CH436" i="16" s="1"/>
  <c r="AV438" i="16"/>
  <c r="BD440" i="16"/>
  <c r="AS437" i="16"/>
  <c r="CB438" i="16" s="1"/>
  <c r="AX427" i="16"/>
  <c r="CF428" i="16" s="1"/>
  <c r="BF431" i="16"/>
  <c r="CP432" i="16" s="1"/>
  <c r="AU336" i="16"/>
  <c r="CD337" i="16" s="1"/>
  <c r="BH334" i="16"/>
  <c r="BQ334" i="16" s="1"/>
  <c r="CR335" i="16" s="1"/>
  <c r="BE334" i="16"/>
  <c r="BT335" i="16" s="1"/>
  <c r="AS344" i="16"/>
  <c r="CB345" i="16" s="1"/>
  <c r="AV343" i="16"/>
  <c r="AX335" i="16"/>
  <c r="CF336" i="16" s="1"/>
  <c r="BI334" i="16"/>
  <c r="BI348" i="16"/>
  <c r="AS335" i="16"/>
  <c r="CB336" i="16" s="1"/>
  <c r="AW346" i="16"/>
  <c r="CE347" i="16" s="1"/>
  <c r="AV257" i="16"/>
  <c r="AS250" i="16"/>
  <c r="CB251" i="16" s="1"/>
  <c r="AY247" i="16"/>
  <c r="CG248" i="16" s="1"/>
  <c r="AX248" i="16"/>
  <c r="CF249" i="16" s="1"/>
  <c r="F50" i="16"/>
  <c r="U50" i="16" s="1"/>
  <c r="DJ49" i="16"/>
  <c r="R194" i="16"/>
  <c r="AM166" i="16" s="1"/>
  <c r="BG166" i="16" s="1"/>
  <c r="R150" i="16"/>
  <c r="U150" i="16" s="1"/>
  <c r="R106" i="16"/>
  <c r="U106" i="16" s="1"/>
  <c r="R62" i="16"/>
  <c r="U62" i="16" s="1"/>
  <c r="D20" i="13"/>
  <c r="E33" i="13" s="1"/>
  <c r="E33" i="31" s="1"/>
  <c r="L34" i="16"/>
  <c r="U34" i="16" s="1"/>
  <c r="L188" i="16"/>
  <c r="AG166" i="16" s="1"/>
  <c r="BA166" i="16" s="1"/>
  <c r="L166" i="16"/>
  <c r="U166" i="16" s="1"/>
  <c r="L144" i="16"/>
  <c r="U144" i="16" s="1"/>
  <c r="L122" i="16"/>
  <c r="AG97" i="16" s="1"/>
  <c r="BA97" i="16" s="1"/>
  <c r="L100" i="16"/>
  <c r="AG74" i="16" s="1"/>
  <c r="BA74" i="16" s="1"/>
  <c r="L78" i="16"/>
  <c r="L56" i="16"/>
  <c r="U56" i="16" s="1"/>
  <c r="H74" i="16"/>
  <c r="AC51" i="16" s="1"/>
  <c r="AW51" i="16" s="1"/>
  <c r="CE52" i="16" s="1"/>
  <c r="D180" i="16"/>
  <c r="BD278" i="16"/>
  <c r="BD270" i="16"/>
  <c r="CN271" i="16" s="1"/>
  <c r="AU278" i="16"/>
  <c r="CD279" i="16" s="1"/>
  <c r="AU271" i="16"/>
  <c r="CD272" i="16" s="1"/>
  <c r="BH278" i="16"/>
  <c r="AZ275" i="16"/>
  <c r="CH276" i="16" s="1"/>
  <c r="AZ272" i="16"/>
  <c r="CH273" i="16" s="1"/>
  <c r="AV279" i="16"/>
  <c r="AV271" i="16"/>
  <c r="BC279" i="16"/>
  <c r="CM280" i="16" s="1"/>
  <c r="BC274" i="16"/>
  <c r="AY280" i="16"/>
  <c r="AY274" i="16"/>
  <c r="CG275" i="16" s="1"/>
  <c r="AS273" i="16"/>
  <c r="CB274" i="16" s="1"/>
  <c r="BF279" i="16"/>
  <c r="CP280" i="16" s="1"/>
  <c r="AT278" i="16"/>
  <c r="CC279" i="16" s="1"/>
  <c r="BB276" i="16"/>
  <c r="BF274" i="16"/>
  <c r="CP275" i="16" s="1"/>
  <c r="BF272" i="16"/>
  <c r="CP273" i="16" s="1"/>
  <c r="AX271" i="16"/>
  <c r="CF272" i="16" s="1"/>
  <c r="AT269" i="16"/>
  <c r="CC270" i="16" s="1"/>
  <c r="BE280" i="16"/>
  <c r="CO281" i="16" s="1"/>
  <c r="BI278" i="16"/>
  <c r="BA277" i="16"/>
  <c r="BE275" i="16"/>
  <c r="CO276" i="16" s="1"/>
  <c r="BI273" i="16"/>
  <c r="BE271" i="16"/>
  <c r="CO272" i="16" s="1"/>
  <c r="BA269" i="16"/>
  <c r="CH441" i="16"/>
  <c r="AZ208" i="16"/>
  <c r="CH209" i="16" s="1"/>
  <c r="BI211" i="16"/>
  <c r="BG275" i="16"/>
  <c r="CQ276" i="16" s="1"/>
  <c r="BP94" i="16"/>
  <c r="CL95" i="16" s="1"/>
  <c r="AB51" i="16"/>
  <c r="AV51" i="16" s="1"/>
  <c r="F72" i="16"/>
  <c r="AB97" i="16"/>
  <c r="AV97" i="16" s="1"/>
  <c r="F116" i="16"/>
  <c r="AA97" i="16" s="1"/>
  <c r="AU97" i="16" s="1"/>
  <c r="CD98" i="16" s="1"/>
  <c r="CB440" i="16"/>
  <c r="BH268" i="16"/>
  <c r="BQ268" i="16" s="1"/>
  <c r="CR269" i="16" s="1"/>
  <c r="BI406" i="16"/>
  <c r="BG414" i="16"/>
  <c r="BI403" i="16"/>
  <c r="AW411" i="16"/>
  <c r="CE412" i="16" s="1"/>
  <c r="BA418" i="16"/>
  <c r="AT405" i="16"/>
  <c r="CC406" i="16" s="1"/>
  <c r="BF411" i="16"/>
  <c r="CP412" i="16" s="1"/>
  <c r="AV400" i="16"/>
  <c r="BD412" i="16"/>
  <c r="AY414" i="16"/>
  <c r="AZ406" i="16"/>
  <c r="CH407" i="16" s="1"/>
  <c r="BC418" i="16"/>
  <c r="CM419" i="16" s="1"/>
  <c r="BG312" i="16"/>
  <c r="CQ313" i="16" s="1"/>
  <c r="AZ314" i="16"/>
  <c r="CH315" i="16" s="1"/>
  <c r="BF320" i="16"/>
  <c r="CP321" i="16" s="1"/>
  <c r="BB322" i="16"/>
  <c r="AS320" i="16"/>
  <c r="CB321" i="16" s="1"/>
  <c r="AB166" i="16"/>
  <c r="AV166" i="16" s="1"/>
  <c r="U185" i="16"/>
  <c r="DF118" i="16"/>
  <c r="CF278" i="16"/>
  <c r="AK143" i="16"/>
  <c r="BE143" i="16" s="1"/>
  <c r="CO144" i="16" s="1"/>
  <c r="U148" i="16"/>
  <c r="BM115" i="16"/>
  <c r="CI116" i="16" s="1"/>
  <c r="BM27" i="16"/>
  <c r="CI28" i="16" s="1"/>
  <c r="C195" i="6"/>
  <c r="O191" i="16" s="1"/>
  <c r="U191" i="16" s="1"/>
  <c r="G204" i="16"/>
  <c r="AU246" i="16"/>
  <c r="BN247" i="16" s="1"/>
  <c r="BR248" i="16" s="1"/>
  <c r="CS249" i="16" s="1"/>
  <c r="BE246" i="16"/>
  <c r="CO247" i="16" s="1"/>
  <c r="BC246" i="16"/>
  <c r="CM247" i="16" s="1"/>
  <c r="BG256" i="16"/>
  <c r="BA246" i="16"/>
  <c r="BM246" i="16" s="1"/>
  <c r="BS247" i="16" s="1"/>
  <c r="CT248" i="16" s="1"/>
  <c r="BG247" i="16"/>
  <c r="CQ248" i="16" s="1"/>
  <c r="AT246" i="16"/>
  <c r="CC247" i="16" s="1"/>
  <c r="AV248" i="16"/>
  <c r="AV250" i="16"/>
  <c r="AV252" i="16"/>
  <c r="AV254" i="16"/>
  <c r="AV256" i="16"/>
  <c r="AS249" i="16"/>
  <c r="CB250" i="16" s="1"/>
  <c r="BE247" i="16"/>
  <c r="CO248" i="16" s="1"/>
  <c r="BE249" i="16"/>
  <c r="CO250" i="16" s="1"/>
  <c r="BA251" i="16"/>
  <c r="BI253" i="16"/>
  <c r="BI255" i="16"/>
  <c r="BI257" i="16"/>
  <c r="BB248" i="16"/>
  <c r="BB251" i="16"/>
  <c r="AT255" i="16"/>
  <c r="CC256" i="16" s="1"/>
  <c r="AS255" i="16"/>
  <c r="CB256" i="16" s="1"/>
  <c r="BF254" i="16"/>
  <c r="CP255" i="16" s="1"/>
  <c r="AY251" i="16"/>
  <c r="CG252" i="16" s="1"/>
  <c r="AU247" i="16"/>
  <c r="CD248" i="16" s="1"/>
  <c r="BC250" i="16"/>
  <c r="CM251" i="16" s="1"/>
  <c r="AU254" i="16"/>
  <c r="CD255" i="16" s="1"/>
  <c r="BC257" i="16"/>
  <c r="CM258" i="16" s="1"/>
  <c r="AX251" i="16"/>
  <c r="CF252" i="16" s="1"/>
  <c r="CI93" i="16"/>
  <c r="BS93" i="16"/>
  <c r="CT94" i="16" s="1"/>
  <c r="AW188" i="16"/>
  <c r="CE189" i="16" s="1"/>
  <c r="BI181" i="16"/>
  <c r="BG142" i="16"/>
  <c r="CQ143" i="16" s="1"/>
  <c r="AV139" i="16"/>
  <c r="BI138" i="16"/>
  <c r="AX141" i="16"/>
  <c r="CF142" i="16" s="1"/>
  <c r="BA138" i="16"/>
  <c r="AX139" i="16"/>
  <c r="CF140" i="16" s="1"/>
  <c r="AV142" i="16"/>
  <c r="BX72" i="16"/>
  <c r="BX424" i="16"/>
  <c r="CY425" i="16" s="1"/>
  <c r="BX160" i="16"/>
  <c r="CY161" i="16" s="1"/>
  <c r="BX204" i="16"/>
  <c r="CY205" i="16" s="1"/>
  <c r="BX292" i="16"/>
  <c r="CY293" i="16" s="1"/>
  <c r="S41" i="16"/>
  <c r="U41" i="16" s="1"/>
  <c r="S195" i="16"/>
  <c r="AN166" i="16" s="1"/>
  <c r="BH166" i="16" s="1"/>
  <c r="S151" i="16"/>
  <c r="U151" i="16" s="1"/>
  <c r="S107" i="16"/>
  <c r="S63" i="16"/>
  <c r="U63" i="16" s="1"/>
  <c r="BX336" i="16"/>
  <c r="CY337" i="16" s="1"/>
  <c r="BX380" i="16"/>
  <c r="CY381" i="16" s="1"/>
  <c r="S85" i="16"/>
  <c r="AN51" i="16" s="1"/>
  <c r="BH51" i="16" s="1"/>
  <c r="BX28" i="16"/>
  <c r="CY29" i="16" s="1"/>
  <c r="E50" i="10"/>
  <c r="AX247" i="16"/>
  <c r="CF248" i="16" s="1"/>
  <c r="BC249" i="16"/>
  <c r="AY255" i="16"/>
  <c r="BF255" i="16"/>
  <c r="CP256" i="16" s="1"/>
  <c r="BB253" i="16"/>
  <c r="AW257" i="16"/>
  <c r="CE258" i="16" s="1"/>
  <c r="AW252" i="16"/>
  <c r="CE253" i="16" s="1"/>
  <c r="BI246" i="16"/>
  <c r="AZ253" i="16"/>
  <c r="CH254" i="16" s="1"/>
  <c r="AZ248" i="16"/>
  <c r="CH249" i="16" s="1"/>
  <c r="DB115" i="16"/>
  <c r="CN116" i="16"/>
  <c r="D25" i="10"/>
  <c r="C9" i="26"/>
  <c r="D61" i="26"/>
  <c r="AW246" i="16"/>
  <c r="CE247" i="16" s="1"/>
  <c r="BG387" i="16"/>
  <c r="BG385" i="16"/>
  <c r="CQ386" i="16" s="1"/>
  <c r="BG386" i="16"/>
  <c r="BD383" i="16"/>
  <c r="CN384" i="16" s="1"/>
  <c r="BI384" i="16"/>
  <c r="BD395" i="16"/>
  <c r="AT391" i="16"/>
  <c r="CC392" i="16" s="1"/>
  <c r="AW388" i="16"/>
  <c r="CE389" i="16" s="1"/>
  <c r="BF389" i="16"/>
  <c r="CP390" i="16" s="1"/>
  <c r="BH383" i="16"/>
  <c r="BA383" i="16"/>
  <c r="BB390" i="16"/>
  <c r="BG300" i="16"/>
  <c r="BG295" i="16"/>
  <c r="CQ296" i="16" s="1"/>
  <c r="AU292" i="16"/>
  <c r="CD293" i="16" s="1"/>
  <c r="AU294" i="16"/>
  <c r="CD295" i="16" s="1"/>
  <c r="AU297" i="16"/>
  <c r="CD298" i="16" s="1"/>
  <c r="AU300" i="16"/>
  <c r="BC302" i="16"/>
  <c r="CM303" i="16" s="1"/>
  <c r="AV290" i="16"/>
  <c r="AZ294" i="16"/>
  <c r="CH295" i="16" s="1"/>
  <c r="AZ296" i="16"/>
  <c r="CH297" i="16" s="1"/>
  <c r="AZ298" i="16"/>
  <c r="CH299" i="16" s="1"/>
  <c r="AZ300" i="16"/>
  <c r="CH301" i="16" s="1"/>
  <c r="AZ302" i="16"/>
  <c r="CH303" i="16" s="1"/>
  <c r="AS297" i="16"/>
  <c r="CB298" i="16" s="1"/>
  <c r="AW294" i="16"/>
  <c r="CE295" i="16" s="1"/>
  <c r="AW297" i="16"/>
  <c r="CE298" i="16" s="1"/>
  <c r="AW302" i="16"/>
  <c r="CE303" i="16" s="1"/>
  <c r="BI292" i="16"/>
  <c r="BI300" i="16"/>
  <c r="AT295" i="16"/>
  <c r="CC296" i="16" s="1"/>
  <c r="AT301" i="16"/>
  <c r="CC302" i="16" s="1"/>
  <c r="BG296" i="16"/>
  <c r="CQ297" i="16" s="1"/>
  <c r="BC291" i="16"/>
  <c r="CM292" i="16" s="1"/>
  <c r="BC293" i="16"/>
  <c r="CM294" i="16" s="1"/>
  <c r="AY296" i="16"/>
  <c r="CG297" i="16" s="1"/>
  <c r="BC299" i="16"/>
  <c r="CM300" i="16" s="1"/>
  <c r="AY302" i="16"/>
  <c r="AS300" i="16"/>
  <c r="CB301" i="16" s="1"/>
  <c r="AZ292" i="16"/>
  <c r="CH293" i="16" s="1"/>
  <c r="AV294" i="16"/>
  <c r="AV296" i="16"/>
  <c r="AV298" i="16"/>
  <c r="AV300" i="16"/>
  <c r="AV302" i="16"/>
  <c r="AS293" i="16"/>
  <c r="CB294" i="16" s="1"/>
  <c r="BE292" i="16"/>
  <c r="CO293" i="16" s="1"/>
  <c r="BE296" i="16"/>
  <c r="CO297" i="16" s="1"/>
  <c r="BE300" i="16"/>
  <c r="BI291" i="16"/>
  <c r="BI299" i="16"/>
  <c r="AT294" i="16"/>
  <c r="CC295" i="16" s="1"/>
  <c r="AT300" i="16"/>
  <c r="CC301" i="16" s="1"/>
  <c r="BF292" i="16"/>
  <c r="CP293" i="16" s="1"/>
  <c r="AX296" i="16"/>
  <c r="CF297" i="16" s="1"/>
  <c r="AU296" i="16"/>
  <c r="CD297" i="16" s="1"/>
  <c r="AY301" i="16"/>
  <c r="AZ295" i="16"/>
  <c r="CH296" i="16" s="1"/>
  <c r="AZ299" i="16"/>
  <c r="CH300" i="16" s="1"/>
  <c r="AZ303" i="16"/>
  <c r="CH304" i="16" s="1"/>
  <c r="BE295" i="16"/>
  <c r="CO296" i="16" s="1"/>
  <c r="AS294" i="16"/>
  <c r="CB295" i="16" s="1"/>
  <c r="AT291" i="16"/>
  <c r="CC292" i="16" s="1"/>
  <c r="BF297" i="16"/>
  <c r="CP298" i="16" s="1"/>
  <c r="BF301" i="16"/>
  <c r="CP302" i="16" s="1"/>
  <c r="BA292" i="16"/>
  <c r="BA300" i="16"/>
  <c r="BB293" i="16"/>
  <c r="BB301" i="16"/>
  <c r="BH290" i="16"/>
  <c r="BQ290" i="16" s="1"/>
  <c r="BC290" i="16"/>
  <c r="CM291" i="16" s="1"/>
  <c r="BG297" i="16"/>
  <c r="CQ298" i="16" s="1"/>
  <c r="BC292" i="16"/>
  <c r="CM293" i="16" s="1"/>
  <c r="AU298" i="16"/>
  <c r="CD299" i="16" s="1"/>
  <c r="BC303" i="16"/>
  <c r="CM304" i="16" s="1"/>
  <c r="AV293" i="16"/>
  <c r="AV297" i="16"/>
  <c r="AV301" i="16"/>
  <c r="AW291" i="16"/>
  <c r="CE292" i="16" s="1"/>
  <c r="BE298" i="16"/>
  <c r="BI295" i="16"/>
  <c r="AT297" i="16"/>
  <c r="CC298" i="16" s="1"/>
  <c r="AX294" i="16"/>
  <c r="CF295" i="16" s="1"/>
  <c r="AX299" i="16"/>
  <c r="CF300" i="16" s="1"/>
  <c r="AX303" i="16"/>
  <c r="CF304" i="16" s="1"/>
  <c r="BA295" i="16"/>
  <c r="BA303" i="16"/>
  <c r="BB296" i="16"/>
  <c r="AS299" i="16"/>
  <c r="CB300" i="16" s="1"/>
  <c r="AX136" i="16"/>
  <c r="CF137" i="16" s="1"/>
  <c r="C179" i="6"/>
  <c r="O103" i="16" s="1"/>
  <c r="AJ74" i="16" s="1"/>
  <c r="BD74" i="16" s="1"/>
  <c r="H118" i="16"/>
  <c r="AC97" i="16" s="1"/>
  <c r="AW97" i="16" s="1"/>
  <c r="CE98" i="16" s="1"/>
  <c r="N102" i="16"/>
  <c r="U102" i="16" s="1"/>
  <c r="D158" i="16"/>
  <c r="BE183" i="16"/>
  <c r="CO184" i="16" s="1"/>
  <c r="CF437" i="16"/>
  <c r="AX255" i="16"/>
  <c r="CF256" i="16" s="1"/>
  <c r="AS248" i="16"/>
  <c r="CB249" i="16" s="1"/>
  <c r="AU253" i="16"/>
  <c r="CD254" i="16" s="1"/>
  <c r="AU249" i="16"/>
  <c r="CD250" i="16" s="1"/>
  <c r="AY252" i="16"/>
  <c r="CG253" i="16" s="1"/>
  <c r="BF251" i="16"/>
  <c r="CP252" i="16" s="1"/>
  <c r="AT257" i="16"/>
  <c r="CC258" i="16" s="1"/>
  <c r="AT252" i="16"/>
  <c r="CC253" i="16" s="1"/>
  <c r="BI256" i="16"/>
  <c r="AW254" i="16"/>
  <c r="CE255" i="16" s="1"/>
  <c r="BE250" i="16"/>
  <c r="CO251" i="16" s="1"/>
  <c r="BE248" i="16"/>
  <c r="CO249" i="16" s="1"/>
  <c r="AS253" i="16"/>
  <c r="AZ255" i="16"/>
  <c r="CH256" i="16" s="1"/>
  <c r="AV253" i="16"/>
  <c r="AZ250" i="16"/>
  <c r="CH251" i="16" s="1"/>
  <c r="AZ247" i="16"/>
  <c r="BF394" i="16"/>
  <c r="CP395" i="16" s="1"/>
  <c r="BF392" i="16"/>
  <c r="CP393" i="16" s="1"/>
  <c r="BB386" i="16"/>
  <c r="AV383" i="16"/>
  <c r="AS385" i="16"/>
  <c r="CB386" i="16" s="1"/>
  <c r="BE380" i="16"/>
  <c r="CO381" i="16" s="1"/>
  <c r="BD379" i="16"/>
  <c r="BB292" i="16"/>
  <c r="BA291" i="16"/>
  <c r="AX297" i="16"/>
  <c r="CF298" i="16" s="1"/>
  <c r="BI303" i="16"/>
  <c r="AV299" i="16"/>
  <c r="BD291" i="16"/>
  <c r="CN292" i="16" s="1"/>
  <c r="AU295" i="16"/>
  <c r="CD296" i="16" s="1"/>
  <c r="BC139" i="16"/>
  <c r="BG254" i="16"/>
  <c r="DB73" i="16"/>
  <c r="S173" i="16"/>
  <c r="AN143" i="16" s="1"/>
  <c r="BH143" i="16" s="1"/>
  <c r="BP50" i="16"/>
  <c r="CL51" i="16" s="1"/>
  <c r="CH50" i="16"/>
  <c r="BX248" i="16"/>
  <c r="CY249" i="16" s="1"/>
  <c r="BX358" i="16"/>
  <c r="CY359" i="16" s="1"/>
  <c r="CY358" i="16"/>
  <c r="BX182" i="16"/>
  <c r="CY183" i="16" s="1"/>
  <c r="CY182" i="16"/>
  <c r="BX6" i="16"/>
  <c r="CY7" i="16" s="1"/>
  <c r="CY6" i="16"/>
  <c r="DE48" i="16"/>
  <c r="BU49" i="16"/>
  <c r="CV50" i="16" s="1"/>
  <c r="CP49" i="16"/>
  <c r="BD186" i="16"/>
  <c r="CN187" i="16" s="1"/>
  <c r="AX256" i="16"/>
  <c r="CF257" i="16" s="1"/>
  <c r="BC254" i="16"/>
  <c r="CM255" i="16" s="1"/>
  <c r="AT249" i="16"/>
  <c r="CC250" i="16" s="1"/>
  <c r="BI254" i="16"/>
  <c r="BI248" i="16"/>
  <c r="AZ256" i="16"/>
  <c r="CH257" i="16" s="1"/>
  <c r="AV251" i="16"/>
  <c r="S129" i="16"/>
  <c r="BX116" i="16"/>
  <c r="CY117" i="16" s="1"/>
  <c r="AS181" i="16"/>
  <c r="CB182" i="16" s="1"/>
  <c r="AU188" i="16"/>
  <c r="CD189" i="16" s="1"/>
  <c r="AX252" i="16"/>
  <c r="CF253" i="16" s="1"/>
  <c r="BC256" i="16"/>
  <c r="BC252" i="16"/>
  <c r="CM253" i="16" s="1"/>
  <c r="BC247" i="16"/>
  <c r="CM248" i="16" s="1"/>
  <c r="AY248" i="16"/>
  <c r="CG249" i="16" s="1"/>
  <c r="BF250" i="16"/>
  <c r="CP251" i="16" s="1"/>
  <c r="BB255" i="16"/>
  <c r="BB250" i="16"/>
  <c r="AT247" i="16"/>
  <c r="CC248" i="16" s="1"/>
  <c r="AW256" i="16"/>
  <c r="CE257" i="16" s="1"/>
  <c r="AW253" i="16"/>
  <c r="CE254" i="16" s="1"/>
  <c r="BA250" i="16"/>
  <c r="BI247" i="16"/>
  <c r="AZ257" i="16"/>
  <c r="CH258" i="16" s="1"/>
  <c r="AV255" i="16"/>
  <c r="AZ252" i="16"/>
  <c r="CH253" i="16" s="1"/>
  <c r="AZ249" i="16"/>
  <c r="CH250" i="16" s="1"/>
  <c r="AV247" i="16"/>
  <c r="AV392" i="16"/>
  <c r="BF384" i="16"/>
  <c r="CP385" i="16" s="1"/>
  <c r="AW391" i="16"/>
  <c r="CE392" i="16" s="1"/>
  <c r="AV381" i="16"/>
  <c r="AZ392" i="16"/>
  <c r="CH393" i="16" s="1"/>
  <c r="AX394" i="16"/>
  <c r="CF395" i="16" s="1"/>
  <c r="AS388" i="16"/>
  <c r="CB389" i="16" s="1"/>
  <c r="AS298" i="16"/>
  <c r="CB299" i="16" s="1"/>
  <c r="BF303" i="16"/>
  <c r="CP304" i="16" s="1"/>
  <c r="BF295" i="16"/>
  <c r="CP296" i="16" s="1"/>
  <c r="BI296" i="16"/>
  <c r="AZ297" i="16"/>
  <c r="CH298" i="16" s="1"/>
  <c r="AS292" i="16"/>
  <c r="CB293" i="16" s="1"/>
  <c r="AT138" i="16"/>
  <c r="CC139" i="16" s="1"/>
  <c r="BG257" i="16"/>
  <c r="BG139" i="16"/>
  <c r="CQ140" i="16" s="1"/>
  <c r="D60" i="26"/>
  <c r="BX402" i="16"/>
  <c r="CY403" i="16" s="1"/>
  <c r="CY402" i="16"/>
  <c r="BX226" i="16"/>
  <c r="CY226" i="16"/>
  <c r="BX50" i="16"/>
  <c r="CY51" i="16" s="1"/>
  <c r="CY50" i="16"/>
  <c r="AZ378" i="16"/>
  <c r="CH379" i="16" s="1"/>
  <c r="BU93" i="16"/>
  <c r="CV94" i="16" s="1"/>
  <c r="BT93" i="16"/>
  <c r="BT94" i="16" s="1"/>
  <c r="CO93" i="16"/>
  <c r="DE92" i="16"/>
  <c r="U53" i="16"/>
  <c r="AD97" i="16"/>
  <c r="AX97" i="16" s="1"/>
  <c r="CF98" i="16" s="1"/>
  <c r="AI143" i="16"/>
  <c r="BC143" i="16" s="1"/>
  <c r="CM144" i="16" s="1"/>
  <c r="U168" i="16"/>
  <c r="D20" i="33"/>
  <c r="D23" i="23"/>
  <c r="BX270" i="16"/>
  <c r="CY271" i="16" s="1"/>
  <c r="CY270" i="16"/>
  <c r="BX94" i="16"/>
  <c r="CY95" i="16" s="1"/>
  <c r="CY94" i="16"/>
  <c r="CD93" i="16"/>
  <c r="BN93" i="16"/>
  <c r="BN94" i="16" s="1"/>
  <c r="K33" i="16"/>
  <c r="U33" i="16" s="1"/>
  <c r="K165" i="16"/>
  <c r="U165" i="16" s="1"/>
  <c r="K121" i="16"/>
  <c r="K77" i="16"/>
  <c r="AA4" i="16"/>
  <c r="AU4" i="16" s="1"/>
  <c r="CD5" i="16" s="1"/>
  <c r="C5" i="10"/>
  <c r="C5" i="31" s="1"/>
  <c r="U96" i="16"/>
  <c r="DF50" i="16"/>
  <c r="D51" i="18"/>
  <c r="D49" i="10"/>
  <c r="D52" i="18" s="1"/>
  <c r="C24" i="26"/>
  <c r="C27" i="26" s="1"/>
  <c r="BX314" i="16"/>
  <c r="CY315" i="16" s="1"/>
  <c r="CY314" i="16"/>
  <c r="BX138" i="16"/>
  <c r="CY139" i="16" s="1"/>
  <c r="CY138" i="16"/>
  <c r="DC92" i="16"/>
  <c r="Q171" i="16"/>
  <c r="AL143" i="16" s="1"/>
  <c r="BF143" i="16" s="1"/>
  <c r="CP144" i="16" s="1"/>
  <c r="Q127" i="16"/>
  <c r="Q83" i="16"/>
  <c r="AL51" i="16" s="1"/>
  <c r="BF51" i="16" s="1"/>
  <c r="CP52" i="16" s="1"/>
  <c r="DJ26" i="16"/>
  <c r="DB71" i="16"/>
  <c r="DF93" i="16"/>
  <c r="AK51" i="16"/>
  <c r="BE51" i="16" s="1"/>
  <c r="CO52" i="16" s="1"/>
  <c r="U172" i="16"/>
  <c r="DC49" i="16"/>
  <c r="DJ48" i="16"/>
  <c r="CN72" i="16"/>
  <c r="D3" i="10"/>
  <c r="C191" i="6"/>
  <c r="O169" i="16" s="1"/>
  <c r="BA312" i="16"/>
  <c r="BM312" i="16" s="1"/>
  <c r="BD312" i="16"/>
  <c r="CN313" i="16" s="1"/>
  <c r="BF312" i="16"/>
  <c r="BU313" i="16" s="1"/>
  <c r="AT312" i="16"/>
  <c r="CC313" i="16" s="1"/>
  <c r="BC312" i="16"/>
  <c r="BG314" i="16"/>
  <c r="CQ315" i="16" s="1"/>
  <c r="BG315" i="16"/>
  <c r="CQ316" i="16" s="1"/>
  <c r="AU313" i="16"/>
  <c r="CD314" i="16" s="1"/>
  <c r="AY314" i="16"/>
  <c r="CG315" i="16" s="1"/>
  <c r="BC315" i="16"/>
  <c r="AU317" i="16"/>
  <c r="CD318" i="16" s="1"/>
  <c r="AY318" i="16"/>
  <c r="CG319" i="16" s="1"/>
  <c r="BC319" i="16"/>
  <c r="AU321" i="16"/>
  <c r="CD322" i="16" s="1"/>
  <c r="AU322" i="16"/>
  <c r="CD323" i="16" s="1"/>
  <c r="AU323" i="16"/>
  <c r="CD324" i="16" s="1"/>
  <c r="AU324" i="16"/>
  <c r="CD325" i="16" s="1"/>
  <c r="AU325" i="16"/>
  <c r="CD326" i="16" s="1"/>
  <c r="BD313" i="16"/>
  <c r="BD314" i="16"/>
  <c r="CN315" i="16" s="1"/>
  <c r="AZ315" i="16"/>
  <c r="CH316" i="16" s="1"/>
  <c r="AZ316" i="16"/>
  <c r="CH317" i="16" s="1"/>
  <c r="AZ317" i="16"/>
  <c r="CH318" i="16" s="1"/>
  <c r="AZ318" i="16"/>
  <c r="CH319" i="16" s="1"/>
  <c r="AZ319" i="16"/>
  <c r="CH320" i="16" s="1"/>
  <c r="AZ320" i="16"/>
  <c r="CH321" i="16" s="1"/>
  <c r="AZ321" i="16"/>
  <c r="CH322" i="16" s="1"/>
  <c r="AZ322" i="16"/>
  <c r="CH323" i="16" s="1"/>
  <c r="AZ323" i="16"/>
  <c r="CH324" i="16" s="1"/>
  <c r="AZ324" i="16"/>
  <c r="CH325" i="16" s="1"/>
  <c r="AZ325" i="16"/>
  <c r="CH326" i="16" s="1"/>
  <c r="AX313" i="16"/>
  <c r="CF314" i="16" s="1"/>
  <c r="BF315" i="16"/>
  <c r="CP316" i="16" s="1"/>
  <c r="AX317" i="16"/>
  <c r="CF318" i="16" s="1"/>
  <c r="AX319" i="16"/>
  <c r="CF320" i="16" s="1"/>
  <c r="AX321" i="16"/>
  <c r="CF322" i="16" s="1"/>
  <c r="AX323" i="16"/>
  <c r="AX325" i="16"/>
  <c r="CF326" i="16" s="1"/>
  <c r="BB326" i="16"/>
  <c r="BA313" i="16"/>
  <c r="BA315" i="16"/>
  <c r="BA317" i="16"/>
  <c r="BA319" i="16"/>
  <c r="BA321" i="16"/>
  <c r="BA323" i="16"/>
  <c r="AY325" i="16"/>
  <c r="BC326" i="16"/>
  <c r="AS326" i="16"/>
  <c r="CB327" i="16" s="1"/>
  <c r="BB315" i="16"/>
  <c r="BB319" i="16"/>
  <c r="BB323" i="16"/>
  <c r="BD326" i="16"/>
  <c r="AT316" i="16"/>
  <c r="AT324" i="16"/>
  <c r="CC325" i="16" s="1"/>
  <c r="AW316" i="16"/>
  <c r="CE317" i="16" s="1"/>
  <c r="AW324" i="16"/>
  <c r="CE325" i="16" s="1"/>
  <c r="BE318" i="16"/>
  <c r="CO319" i="16" s="1"/>
  <c r="BE321" i="16"/>
  <c r="BB325" i="16"/>
  <c r="AS324" i="16"/>
  <c r="CB325" i="16" s="1"/>
  <c r="AT317" i="16"/>
  <c r="AT323" i="16"/>
  <c r="CC324" i="16" s="1"/>
  <c r="AS319" i="16"/>
  <c r="CB320" i="16" s="1"/>
  <c r="AW317" i="16"/>
  <c r="CE318" i="16" s="1"/>
  <c r="AW325" i="16"/>
  <c r="CE326" i="16" s="1"/>
  <c r="BH312" i="16"/>
  <c r="BQ312" i="16" s="1"/>
  <c r="CR313" i="16" s="1"/>
  <c r="BE312" i="16"/>
  <c r="CO313" i="16" s="1"/>
  <c r="BG321" i="16"/>
  <c r="BG323" i="16"/>
  <c r="BG318" i="16"/>
  <c r="CQ319" i="16" s="1"/>
  <c r="BG320" i="16"/>
  <c r="AY313" i="16"/>
  <c r="BC314" i="16"/>
  <c r="AU316" i="16"/>
  <c r="CD317" i="16" s="1"/>
  <c r="AY317" i="16"/>
  <c r="CG318" i="16" s="1"/>
  <c r="BC318" i="16"/>
  <c r="CM319" i="16" s="1"/>
  <c r="AU320" i="16"/>
  <c r="AY321" i="16"/>
  <c r="AY322" i="16"/>
  <c r="AY323" i="16"/>
  <c r="AY324" i="16"/>
  <c r="AV312" i="16"/>
  <c r="BH313" i="16"/>
  <c r="BD315" i="16"/>
  <c r="CN316" i="16" s="1"/>
  <c r="BD316" i="16"/>
  <c r="CN317" i="16" s="1"/>
  <c r="BD317" i="16"/>
  <c r="CN318" i="16" s="1"/>
  <c r="BD318" i="16"/>
  <c r="CN319" i="16" s="1"/>
  <c r="BD319" i="16"/>
  <c r="CN320" i="16" s="1"/>
  <c r="BD320" i="16"/>
  <c r="BD321" i="16"/>
  <c r="BD322" i="16"/>
  <c r="BD323" i="16"/>
  <c r="BD324" i="16"/>
  <c r="BD325" i="16"/>
  <c r="AX314" i="16"/>
  <c r="CF315" i="16" s="1"/>
  <c r="AX316" i="16"/>
  <c r="CF317" i="16" s="1"/>
  <c r="BF317" i="16"/>
  <c r="CP318" i="16" s="1"/>
  <c r="BF319" i="16"/>
  <c r="BF321" i="16"/>
  <c r="CP322" i="16" s="1"/>
  <c r="BF323" i="16"/>
  <c r="CP324" i="16" s="1"/>
  <c r="BC325" i="16"/>
  <c r="BF326" i="16"/>
  <c r="AS321" i="16"/>
  <c r="CB322" i="16" s="1"/>
  <c r="BI313" i="16"/>
  <c r="BI315" i="16"/>
  <c r="BI317" i="16"/>
  <c r="BI319" i="16"/>
  <c r="BI321" i="16"/>
  <c r="BI323" i="16"/>
  <c r="BE325" i="16"/>
  <c r="AS314" i="16"/>
  <c r="BB312" i="16"/>
  <c r="BB316" i="16"/>
  <c r="BB320" i="16"/>
  <c r="BB324" i="16"/>
  <c r="AS315" i="16"/>
  <c r="CB316" i="16" s="1"/>
  <c r="AT318" i="16"/>
  <c r="BF325" i="16"/>
  <c r="CP326" i="16" s="1"/>
  <c r="AW318" i="16"/>
  <c r="CE319" i="16" s="1"/>
  <c r="BI326" i="16"/>
  <c r="BE315" i="16"/>
  <c r="BE322" i="16"/>
  <c r="AW326" i="16"/>
  <c r="CE327" i="16" s="1"/>
  <c r="AT314" i="16"/>
  <c r="AT325" i="16"/>
  <c r="AW313" i="16"/>
  <c r="CE314" i="16" s="1"/>
  <c r="AW319" i="16"/>
  <c r="CE320" i="16" s="1"/>
  <c r="BF313" i="16"/>
  <c r="CP314" i="16" s="1"/>
  <c r="BG313" i="16"/>
  <c r="CQ314" i="16" s="1"/>
  <c r="BG325" i="16"/>
  <c r="BG322" i="16"/>
  <c r="BC313" i="16"/>
  <c r="CM314" i="16" s="1"/>
  <c r="AU315" i="16"/>
  <c r="CD316" i="16" s="1"/>
  <c r="BC317" i="16"/>
  <c r="AY320" i="16"/>
  <c r="CG321" i="16" s="1"/>
  <c r="BC322" i="16"/>
  <c r="BC324" i="16"/>
  <c r="AV314" i="16"/>
  <c r="BH315" i="16"/>
  <c r="BH317" i="16"/>
  <c r="BH318" i="16"/>
  <c r="BH320" i="16"/>
  <c r="BH322" i="16"/>
  <c r="BH325" i="16"/>
  <c r="BF316" i="16"/>
  <c r="CP317" i="16" s="1"/>
  <c r="AX318" i="16"/>
  <c r="CF319" i="16" s="1"/>
  <c r="AX322" i="16"/>
  <c r="CF323" i="16" s="1"/>
  <c r="BI325" i="16"/>
  <c r="AS325" i="16"/>
  <c r="CB326" i="16" s="1"/>
  <c r="BA316" i="16"/>
  <c r="BA320" i="16"/>
  <c r="BA324" i="16"/>
  <c r="AS318" i="16"/>
  <c r="BB317" i="16"/>
  <c r="BA325" i="16"/>
  <c r="AT320" i="16"/>
  <c r="CC321" i="16" s="1"/>
  <c r="AW320" i="16"/>
  <c r="CE321" i="16" s="1"/>
  <c r="BE316" i="16"/>
  <c r="CO317" i="16" s="1"/>
  <c r="BE323" i="16"/>
  <c r="BE326" i="16"/>
  <c r="AT319" i="16"/>
  <c r="AW321" i="16"/>
  <c r="CE322" i="16" s="1"/>
  <c r="BG316" i="16"/>
  <c r="CQ317" i="16" s="1"/>
  <c r="AY316" i="16"/>
  <c r="CG317" i="16" s="1"/>
  <c r="AU319" i="16"/>
  <c r="CD320" i="16" s="1"/>
  <c r="BC321" i="16"/>
  <c r="BC323" i="16"/>
  <c r="CM324" i="16" s="1"/>
  <c r="AV313" i="16"/>
  <c r="BH314" i="16"/>
  <c r="BH316" i="16"/>
  <c r="BH319" i="16"/>
  <c r="BH321" i="16"/>
  <c r="BH323" i="16"/>
  <c r="BH324" i="16"/>
  <c r="BF314" i="16"/>
  <c r="AX320" i="16"/>
  <c r="CF321" i="16" s="1"/>
  <c r="AX324" i="16"/>
  <c r="CF325" i="16" s="1"/>
  <c r="AS313" i="16"/>
  <c r="CB314" i="16" s="1"/>
  <c r="BA314" i="16"/>
  <c r="BA318" i="16"/>
  <c r="BA322" i="16"/>
  <c r="AT326" i="16"/>
  <c r="CC327" i="16" s="1"/>
  <c r="BB313" i="16"/>
  <c r="BB321" i="16"/>
  <c r="AS323" i="16"/>
  <c r="BH326" i="16"/>
  <c r="BE313" i="16"/>
  <c r="CO314" i="16" s="1"/>
  <c r="BE319" i="16"/>
  <c r="CO320" i="16" s="1"/>
  <c r="BA326" i="16"/>
  <c r="BH202" i="16"/>
  <c r="BQ202" i="16" s="1"/>
  <c r="CR203" i="16" s="1"/>
  <c r="BC202" i="16"/>
  <c r="CM203" i="16" s="1"/>
  <c r="BG203" i="16"/>
  <c r="CQ204" i="16" s="1"/>
  <c r="BG209" i="16"/>
  <c r="CQ210" i="16" s="1"/>
  <c r="BE203" i="16"/>
  <c r="CO204" i="16" s="1"/>
  <c r="BE204" i="16"/>
  <c r="CO205" i="16" s="1"/>
  <c r="BI205" i="16"/>
  <c r="AW207" i="16"/>
  <c r="CE208" i="16" s="1"/>
  <c r="BA208" i="16"/>
  <c r="BE209" i="16"/>
  <c r="CO210" i="16" s="1"/>
  <c r="BI210" i="16"/>
  <c r="AS206" i="16"/>
  <c r="CB207" i="16" s="1"/>
  <c r="BC204" i="16"/>
  <c r="BC206" i="16"/>
  <c r="CM207" i="16" s="1"/>
  <c r="AU208" i="16"/>
  <c r="CD209" i="16" s="1"/>
  <c r="AY211" i="16"/>
  <c r="AX203" i="16"/>
  <c r="CF204" i="16" s="1"/>
  <c r="AT205" i="16"/>
  <c r="AT207" i="16"/>
  <c r="CC208" i="16" s="1"/>
  <c r="BB208" i="16"/>
  <c r="BF209" i="16"/>
  <c r="CP210" i="16" s="1"/>
  <c r="AT211" i="16"/>
  <c r="CC212" i="16" s="1"/>
  <c r="AS207" i="16"/>
  <c r="CB208" i="16" s="1"/>
  <c r="AY206" i="16"/>
  <c r="CG207" i="16" s="1"/>
  <c r="AU211" i="16"/>
  <c r="CD212" i="16" s="1"/>
  <c r="AV204" i="16"/>
  <c r="AV209" i="16"/>
  <c r="BH203" i="16"/>
  <c r="BH208" i="16"/>
  <c r="AZ204" i="16"/>
  <c r="AZ210" i="16"/>
  <c r="CH211" i="16" s="1"/>
  <c r="BD207" i="16"/>
  <c r="CN208" i="16" s="1"/>
  <c r="BG202" i="16"/>
  <c r="CQ203" i="16" s="1"/>
  <c r="BG206" i="16"/>
  <c r="CQ207" i="16" s="1"/>
  <c r="AW205" i="16"/>
  <c r="CE206" i="16" s="1"/>
  <c r="AW206" i="16"/>
  <c r="CE207" i="16" s="1"/>
  <c r="BE208" i="16"/>
  <c r="AW210" i="16"/>
  <c r="CE211" i="16" s="1"/>
  <c r="AW211" i="16"/>
  <c r="CE212" i="16" s="1"/>
  <c r="AU203" i="16"/>
  <c r="CD204" i="16" s="1"/>
  <c r="AU209" i="16"/>
  <c r="CD210" i="16" s="1"/>
  <c r="AS204" i="16"/>
  <c r="CB205" i="16" s="1"/>
  <c r="AT204" i="16"/>
  <c r="CC205" i="16" s="1"/>
  <c r="AT206" i="16"/>
  <c r="CC207" i="16" s="1"/>
  <c r="BB207" i="16"/>
  <c r="BF208" i="16"/>
  <c r="CP209" i="16" s="1"/>
  <c r="AT210" i="16"/>
  <c r="CC211" i="16" s="1"/>
  <c r="BB211" i="16"/>
  <c r="AS211" i="16"/>
  <c r="AY207" i="16"/>
  <c r="CG208" i="16" s="1"/>
  <c r="BC211" i="16"/>
  <c r="CM212" i="16" s="1"/>
  <c r="AV205" i="16"/>
  <c r="AV211" i="16"/>
  <c r="BH204" i="16"/>
  <c r="BH209" i="16"/>
  <c r="AZ205" i="16"/>
  <c r="AZ211" i="16"/>
  <c r="CH212" i="16" s="1"/>
  <c r="BD204" i="16"/>
  <c r="CN205" i="16" s="1"/>
  <c r="BD209" i="16"/>
  <c r="CN210" i="16" s="1"/>
  <c r="BE202" i="16"/>
  <c r="CO203" i="16" s="1"/>
  <c r="BG211" i="16"/>
  <c r="AW204" i="16"/>
  <c r="CE205" i="16" s="1"/>
  <c r="BA206" i="16"/>
  <c r="AW209" i="16"/>
  <c r="CE210" i="16" s="1"/>
  <c r="BA211" i="16"/>
  <c r="BC203" i="16"/>
  <c r="BC207" i="16"/>
  <c r="CM208" i="16" s="1"/>
  <c r="BB202" i="16"/>
  <c r="AX204" i="16"/>
  <c r="BB206" i="16"/>
  <c r="AT209" i="16"/>
  <c r="CC210" i="16" s="1"/>
  <c r="BF211" i="16"/>
  <c r="CP212" i="16" s="1"/>
  <c r="AY209" i="16"/>
  <c r="CG210" i="16" s="1"/>
  <c r="AV207" i="16"/>
  <c r="BH205" i="16"/>
  <c r="AZ207" i="16"/>
  <c r="CH208" i="16" s="1"/>
  <c r="BD205" i="16"/>
  <c r="CN206" i="16" s="1"/>
  <c r="BD210" i="16"/>
  <c r="BG208" i="16"/>
  <c r="CQ209" i="16" s="1"/>
  <c r="BI202" i="16"/>
  <c r="BA205" i="16"/>
  <c r="BE207" i="16"/>
  <c r="CO208" i="16" s="1"/>
  <c r="AU205" i="16"/>
  <c r="CD206" i="16" s="1"/>
  <c r="BC209" i="16"/>
  <c r="CM210" i="16" s="1"/>
  <c r="AX205" i="16"/>
  <c r="CF206" i="16" s="1"/>
  <c r="BF207" i="16"/>
  <c r="CP208" i="16" s="1"/>
  <c r="BB210" i="16"/>
  <c r="AY203" i="16"/>
  <c r="CG204" i="16" s="1"/>
  <c r="AS208" i="16"/>
  <c r="CB209" i="16" s="1"/>
  <c r="AS205" i="16"/>
  <c r="CB206" i="16" s="1"/>
  <c r="BH211" i="16"/>
  <c r="AS209" i="16"/>
  <c r="CB210" i="16" s="1"/>
  <c r="C4" i="13"/>
  <c r="D8" i="13" s="1"/>
  <c r="C4" i="10"/>
  <c r="BD211" i="16"/>
  <c r="AV203" i="16"/>
  <c r="BF205" i="16"/>
  <c r="BE205" i="16"/>
  <c r="CO206" i="16" s="1"/>
  <c r="AW323" i="16"/>
  <c r="CE324" i="16" s="1"/>
  <c r="BE317" i="16"/>
  <c r="CO318" i="16" s="1"/>
  <c r="BI324" i="16"/>
  <c r="AX326" i="16"/>
  <c r="CF327" i="16" s="1"/>
  <c r="AV325" i="16"/>
  <c r="AV317" i="16"/>
  <c r="BC316" i="16"/>
  <c r="CM317" i="16" s="1"/>
  <c r="CO51" i="16"/>
  <c r="DE50" i="16"/>
  <c r="CF391" i="16"/>
  <c r="BO49" i="16"/>
  <c r="BO50" i="16" s="1"/>
  <c r="CG49" i="16"/>
  <c r="BS49" i="16"/>
  <c r="CT50" i="16" s="1"/>
  <c r="CI49" i="16"/>
  <c r="C14" i="13"/>
  <c r="C19" i="25" s="1"/>
  <c r="AE4" i="16"/>
  <c r="AY4" i="16" s="1"/>
  <c r="C14" i="10"/>
  <c r="AC120" i="16"/>
  <c r="AW120" i="16" s="1"/>
  <c r="CE121" i="16" s="1"/>
  <c r="U140" i="16"/>
  <c r="CD257" i="16"/>
  <c r="AV384" i="16"/>
  <c r="AW385" i="16"/>
  <c r="CE386" i="16" s="1"/>
  <c r="BF388" i="16"/>
  <c r="CP389" i="16" s="1"/>
  <c r="BF380" i="16"/>
  <c r="CP381" i="16" s="1"/>
  <c r="AV380" i="16"/>
  <c r="AS387" i="16"/>
  <c r="CB388" i="16" s="1"/>
  <c r="BB380" i="16"/>
  <c r="AV387" i="16"/>
  <c r="AS382" i="16"/>
  <c r="CB383" i="16" s="1"/>
  <c r="BB385" i="16"/>
  <c r="AT395" i="16"/>
  <c r="BE389" i="16"/>
  <c r="BE384" i="16"/>
  <c r="CO385" i="16" s="1"/>
  <c r="BE379" i="16"/>
  <c r="BI392" i="16"/>
  <c r="BD387" i="16"/>
  <c r="AX382" i="16"/>
  <c r="BD206" i="16"/>
  <c r="CN207" i="16" s="1"/>
  <c r="BH207" i="16"/>
  <c r="BC210" i="16"/>
  <c r="CM211" i="16" s="1"/>
  <c r="BB209" i="16"/>
  <c r="BB204" i="16"/>
  <c r="AU206" i="16"/>
  <c r="CD207" i="16" s="1"/>
  <c r="BA209" i="16"/>
  <c r="BA204" i="16"/>
  <c r="AW315" i="16"/>
  <c r="CE316" i="16" s="1"/>
  <c r="AS316" i="16"/>
  <c r="CB317" i="16" s="1"/>
  <c r="BE314" i="16"/>
  <c r="CO315" i="16" s="1"/>
  <c r="AT313" i="16"/>
  <c r="BB314" i="16"/>
  <c r="BI322" i="16"/>
  <c r="BI314" i="16"/>
  <c r="BF324" i="16"/>
  <c r="CP325" i="16" s="1"/>
  <c r="AV324" i="16"/>
  <c r="AV320" i="16"/>
  <c r="AV316" i="16"/>
  <c r="BC320" i="16"/>
  <c r="CM321" i="16" s="1"/>
  <c r="AY315" i="16"/>
  <c r="CG316" i="16" s="1"/>
  <c r="BG205" i="16"/>
  <c r="CQ206" i="16" s="1"/>
  <c r="BG326" i="16"/>
  <c r="DE94" i="16"/>
  <c r="CO95" i="16"/>
  <c r="D55" i="10"/>
  <c r="C10" i="26"/>
  <c r="D37" i="10"/>
  <c r="E55" i="10" s="1"/>
  <c r="CM115" i="16"/>
  <c r="DF114" i="16"/>
  <c r="CM49" i="16"/>
  <c r="DG48" i="16"/>
  <c r="CQ27" i="16"/>
  <c r="BW27" i="16"/>
  <c r="CX28" i="16" s="1"/>
  <c r="AY312" i="16"/>
  <c r="BV94" i="16"/>
  <c r="CW95" i="16" s="1"/>
  <c r="CK94" i="16"/>
  <c r="CF93" i="16"/>
  <c r="BM93" i="16"/>
  <c r="BM94" i="16" s="1"/>
  <c r="BM95" i="16" s="1"/>
  <c r="CC119" i="16"/>
  <c r="DB118" i="16"/>
  <c r="CD300" i="16"/>
  <c r="S216" i="16"/>
  <c r="CO27" i="16"/>
  <c r="BT27" i="16"/>
  <c r="BT28" i="16" s="1"/>
  <c r="CU29" i="16" s="1"/>
  <c r="DE26" i="16"/>
  <c r="U48" i="16"/>
  <c r="CE370" i="16"/>
  <c r="AZ203" i="16"/>
  <c r="BF210" i="16"/>
  <c r="CP211" i="16" s="1"/>
  <c r="BA210" i="16"/>
  <c r="AT315" i="16"/>
  <c r="CC316" i="16" s="1"/>
  <c r="AT322" i="16"/>
  <c r="CC323" i="16" s="1"/>
  <c r="BB318" i="16"/>
  <c r="BI316" i="16"/>
  <c r="BF318" i="16"/>
  <c r="CP319" i="16" s="1"/>
  <c r="AV321" i="16"/>
  <c r="AZ313" i="16"/>
  <c r="BG204" i="16"/>
  <c r="CQ205" i="16" s="1"/>
  <c r="BG317" i="16"/>
  <c r="CQ318" i="16" s="1"/>
  <c r="CB72" i="16"/>
  <c r="DC71" i="16"/>
  <c r="AX378" i="16"/>
  <c r="CF379" i="16" s="1"/>
  <c r="BG378" i="16"/>
  <c r="CQ379" i="16" s="1"/>
  <c r="AW378" i="16"/>
  <c r="CE379" i="16" s="1"/>
  <c r="BF379" i="16"/>
  <c r="CP380" i="16" s="1"/>
  <c r="BG394" i="16"/>
  <c r="BG389" i="16"/>
  <c r="CQ390" i="16" s="1"/>
  <c r="BG391" i="16"/>
  <c r="CQ392" i="16" s="1"/>
  <c r="BG393" i="16"/>
  <c r="AU379" i="16"/>
  <c r="CD380" i="16" s="1"/>
  <c r="AU380" i="16"/>
  <c r="CD381" i="16" s="1"/>
  <c r="AU381" i="16"/>
  <c r="CD382" i="16" s="1"/>
  <c r="AU382" i="16"/>
  <c r="CD383" i="16" s="1"/>
  <c r="AU383" i="16"/>
  <c r="CD384" i="16" s="1"/>
  <c r="AU384" i="16"/>
  <c r="CD385" i="16" s="1"/>
  <c r="AU385" i="16"/>
  <c r="CD386" i="16" s="1"/>
  <c r="AU386" i="16"/>
  <c r="CD387" i="16" s="1"/>
  <c r="AU387" i="16"/>
  <c r="CD388" i="16" s="1"/>
  <c r="AU388" i="16"/>
  <c r="CD389" i="16" s="1"/>
  <c r="AU389" i="16"/>
  <c r="CD390" i="16" s="1"/>
  <c r="AU390" i="16"/>
  <c r="CD391" i="16" s="1"/>
  <c r="AU391" i="16"/>
  <c r="CD392" i="16" s="1"/>
  <c r="AU392" i="16"/>
  <c r="CD393" i="16" s="1"/>
  <c r="AU393" i="16"/>
  <c r="CD394" i="16" s="1"/>
  <c r="AU394" i="16"/>
  <c r="AU395" i="16"/>
  <c r="CD396" i="16" s="1"/>
  <c r="AS380" i="16"/>
  <c r="AS392" i="16"/>
  <c r="BI379" i="16"/>
  <c r="AX381" i="16"/>
  <c r="CF382" i="16" s="1"/>
  <c r="BD382" i="16"/>
  <c r="CN383" i="16" s="1"/>
  <c r="BI383" i="16"/>
  <c r="AX385" i="16"/>
  <c r="CF386" i="16" s="1"/>
  <c r="BD386" i="16"/>
  <c r="BI387" i="16"/>
  <c r="AX389" i="16"/>
  <c r="CF390" i="16" s="1"/>
  <c r="BD390" i="16"/>
  <c r="BI391" i="16"/>
  <c r="AX393" i="16"/>
  <c r="CF394" i="16" s="1"/>
  <c r="BD394" i="16"/>
  <c r="BI395" i="16"/>
  <c r="AV378" i="16"/>
  <c r="AT381" i="16"/>
  <c r="AZ382" i="16"/>
  <c r="CH383" i="16" s="1"/>
  <c r="BE383" i="16"/>
  <c r="CO384" i="16" s="1"/>
  <c r="AT385" i="16"/>
  <c r="AT386" i="16"/>
  <c r="CC387" i="16" s="1"/>
  <c r="AZ387" i="16"/>
  <c r="CH388" i="16" s="1"/>
  <c r="BE388" i="16"/>
  <c r="AT390" i="16"/>
  <c r="CC391" i="16" s="1"/>
  <c r="AZ391" i="16"/>
  <c r="CH392" i="16" s="1"/>
  <c r="BE392" i="16"/>
  <c r="AT394" i="16"/>
  <c r="CC395" i="16" s="1"/>
  <c r="AZ395" i="16"/>
  <c r="CH396" i="16" s="1"/>
  <c r="AS390" i="16"/>
  <c r="CB391" i="16" s="1"/>
  <c r="BH380" i="16"/>
  <c r="BB383" i="16"/>
  <c r="AW386" i="16"/>
  <c r="CE387" i="16" s="1"/>
  <c r="BH388" i="16"/>
  <c r="BB391" i="16"/>
  <c r="AW394" i="16"/>
  <c r="AS393" i="16"/>
  <c r="CB394" i="16" s="1"/>
  <c r="BF381" i="16"/>
  <c r="CP382" i="16" s="1"/>
  <c r="BF383" i="16"/>
  <c r="CP384" i="16" s="1"/>
  <c r="BF385" i="16"/>
  <c r="BF387" i="16"/>
  <c r="CP388" i="16" s="1"/>
  <c r="BA390" i="16"/>
  <c r="AV393" i="16"/>
  <c r="BF395" i="16"/>
  <c r="CP396" i="16" s="1"/>
  <c r="BH381" i="16"/>
  <c r="AW387" i="16"/>
  <c r="CE388" i="16" s="1"/>
  <c r="BB392" i="16"/>
  <c r="BH379" i="16"/>
  <c r="AW389" i="16"/>
  <c r="CE390" i="16" s="1"/>
  <c r="BF382" i="16"/>
  <c r="CP383" i="16" s="1"/>
  <c r="BA393" i="16"/>
  <c r="AV390" i="16"/>
  <c r="BA395" i="16"/>
  <c r="BF386" i="16"/>
  <c r="CP387" i="16" s="1"/>
  <c r="BH378" i="16"/>
  <c r="BQ378" i="16" s="1"/>
  <c r="CR379" i="16" s="1"/>
  <c r="AT378" i="16"/>
  <c r="CC379" i="16" s="1"/>
  <c r="BC378" i="16"/>
  <c r="CM379" i="16" s="1"/>
  <c r="BG380" i="16"/>
  <c r="CQ381" i="16" s="1"/>
  <c r="BG379" i="16"/>
  <c r="CQ380" i="16" s="1"/>
  <c r="BG384" i="16"/>
  <c r="CQ385" i="16" s="1"/>
  <c r="AY379" i="16"/>
  <c r="AY380" i="16"/>
  <c r="CG381" i="16" s="1"/>
  <c r="AY381" i="16"/>
  <c r="CG382" i="16" s="1"/>
  <c r="AY382" i="16"/>
  <c r="CG383" i="16" s="1"/>
  <c r="AY383" i="16"/>
  <c r="AY384" i="16"/>
  <c r="AY385" i="16"/>
  <c r="CG386" i="16" s="1"/>
  <c r="AY386" i="16"/>
  <c r="AY387" i="16"/>
  <c r="AY388" i="16"/>
  <c r="AY389" i="16"/>
  <c r="AY390" i="16"/>
  <c r="AY391" i="16"/>
  <c r="AY392" i="16"/>
  <c r="CG393" i="16" s="1"/>
  <c r="AY393" i="16"/>
  <c r="AY394" i="16"/>
  <c r="AY395" i="16"/>
  <c r="AS384" i="16"/>
  <c r="CB385" i="16" s="1"/>
  <c r="BI378" i="16"/>
  <c r="AX380" i="16"/>
  <c r="CF381" i="16" s="1"/>
  <c r="BD381" i="16"/>
  <c r="CN382" i="16" s="1"/>
  <c r="BI382" i="16"/>
  <c r="AX384" i="16"/>
  <c r="CF385" i="16" s="1"/>
  <c r="BD385" i="16"/>
  <c r="CN386" i="16" s="1"/>
  <c r="BI386" i="16"/>
  <c r="AX388" i="16"/>
  <c r="CF389" i="16" s="1"/>
  <c r="BD389" i="16"/>
  <c r="BI390" i="16"/>
  <c r="AX392" i="16"/>
  <c r="CF393" i="16" s="1"/>
  <c r="BD393" i="16"/>
  <c r="BI394" i="16"/>
  <c r="AS383" i="16"/>
  <c r="CB384" i="16" s="1"/>
  <c r="AT379" i="16"/>
  <c r="AT380" i="16"/>
  <c r="AZ381" i="16"/>
  <c r="BE382" i="16"/>
  <c r="AT384" i="16"/>
  <c r="CC385" i="16" s="1"/>
  <c r="AZ385" i="16"/>
  <c r="CH386" i="16" s="1"/>
  <c r="AZ386" i="16"/>
  <c r="CH387" i="16" s="1"/>
  <c r="BE387" i="16"/>
  <c r="AT389" i="16"/>
  <c r="CC390" i="16" s="1"/>
  <c r="AZ390" i="16"/>
  <c r="CH391" i="16" s="1"/>
  <c r="BE391" i="16"/>
  <c r="AT393" i="16"/>
  <c r="CC394" i="16" s="1"/>
  <c r="AZ394" i="16"/>
  <c r="CH395" i="16" s="1"/>
  <c r="BE395" i="16"/>
  <c r="AS395" i="16"/>
  <c r="CB396" i="16" s="1"/>
  <c r="BB381" i="16"/>
  <c r="AW384" i="16"/>
  <c r="CE385" i="16" s="1"/>
  <c r="BH386" i="16"/>
  <c r="BB389" i="16"/>
  <c r="AW392" i="16"/>
  <c r="BH394" i="16"/>
  <c r="AV379" i="16"/>
  <c r="BA388" i="16"/>
  <c r="AV391" i="16"/>
  <c r="BF393" i="16"/>
  <c r="CP394" i="16" s="1"/>
  <c r="AS386" i="16"/>
  <c r="CB387" i="16" s="1"/>
  <c r="AW383" i="16"/>
  <c r="CE384" i="16" s="1"/>
  <c r="BB388" i="16"/>
  <c r="BH393" i="16"/>
  <c r="AW381" i="16"/>
  <c r="CE382" i="16" s="1"/>
  <c r="BH391" i="16"/>
  <c r="BA385" i="16"/>
  <c r="AS381" i="16"/>
  <c r="AV382" i="16"/>
  <c r="AV386" i="16"/>
  <c r="BA391" i="16"/>
  <c r="AS391" i="16"/>
  <c r="CB392" i="16" s="1"/>
  <c r="BH387" i="16"/>
  <c r="BH395" i="16"/>
  <c r="BA389" i="16"/>
  <c r="AS378" i="16"/>
  <c r="CB379" i="16" s="1"/>
  <c r="BG388" i="16"/>
  <c r="BC379" i="16"/>
  <c r="CM380" i="16" s="1"/>
  <c r="BC381" i="16"/>
  <c r="BC383" i="16"/>
  <c r="BC384" i="16"/>
  <c r="BC386" i="16"/>
  <c r="BC388" i="16"/>
  <c r="BC390" i="16"/>
  <c r="CM391" i="16" s="1"/>
  <c r="BC392" i="16"/>
  <c r="BC394" i="16"/>
  <c r="CM395" i="16" s="1"/>
  <c r="BD380" i="16"/>
  <c r="CN381" i="16" s="1"/>
  <c r="AX383" i="16"/>
  <c r="CF384" i="16" s="1"/>
  <c r="BD384" i="16"/>
  <c r="CN385" i="16" s="1"/>
  <c r="AX387" i="16"/>
  <c r="BI389" i="16"/>
  <c r="BD392" i="16"/>
  <c r="AX395" i="16"/>
  <c r="CF396" i="16" s="1"/>
  <c r="AS389" i="16"/>
  <c r="CB390" i="16" s="1"/>
  <c r="AZ380" i="16"/>
  <c r="CH381" i="16" s="1"/>
  <c r="AT383" i="16"/>
  <c r="BE385" i="16"/>
  <c r="AT388" i="16"/>
  <c r="CC389" i="16" s="1"/>
  <c r="BE390" i="16"/>
  <c r="AZ393" i="16"/>
  <c r="CH394" i="16" s="1"/>
  <c r="AS379" i="16"/>
  <c r="AW382" i="16"/>
  <c r="CE383" i="16" s="1"/>
  <c r="BB387" i="16"/>
  <c r="AW390" i="16"/>
  <c r="CE391" i="16" s="1"/>
  <c r="BB395" i="16"/>
  <c r="BA382" i="16"/>
  <c r="BA386" i="16"/>
  <c r="BF391" i="16"/>
  <c r="CP392" i="16" s="1"/>
  <c r="AW379" i="16"/>
  <c r="CE380" i="16" s="1"/>
  <c r="BH389" i="16"/>
  <c r="BG382" i="16"/>
  <c r="CQ383" i="16" s="1"/>
  <c r="BG383" i="16"/>
  <c r="CQ384" i="16" s="1"/>
  <c r="BC380" i="16"/>
  <c r="CM381" i="16" s="1"/>
  <c r="BC382" i="16"/>
  <c r="CM383" i="16" s="1"/>
  <c r="BC385" i="16"/>
  <c r="BC387" i="16"/>
  <c r="BC389" i="16"/>
  <c r="BC391" i="16"/>
  <c r="BC393" i="16"/>
  <c r="BC395" i="16"/>
  <c r="CM396" i="16" s="1"/>
  <c r="AX379" i="16"/>
  <c r="CF380" i="16" s="1"/>
  <c r="BI381" i="16"/>
  <c r="BI385" i="16"/>
  <c r="BD388" i="16"/>
  <c r="AX391" i="16"/>
  <c r="CF392" i="16" s="1"/>
  <c r="BI393" i="16"/>
  <c r="AZ379" i="16"/>
  <c r="BE381" i="16"/>
  <c r="AZ384" i="16"/>
  <c r="CH385" i="16" s="1"/>
  <c r="BE386" i="16"/>
  <c r="AZ389" i="16"/>
  <c r="CH390" i="16" s="1"/>
  <c r="AT392" i="16"/>
  <c r="CC393" i="16" s="1"/>
  <c r="BE394" i="16"/>
  <c r="BB379" i="16"/>
  <c r="BH384" i="16"/>
  <c r="BH392" i="16"/>
  <c r="BA380" i="16"/>
  <c r="BA384" i="16"/>
  <c r="AV389" i="16"/>
  <c r="BA394" i="16"/>
  <c r="BB384" i="16"/>
  <c r="U37" i="16"/>
  <c r="CD395" i="16"/>
  <c r="BA381" i="16"/>
  <c r="BB382" i="16"/>
  <c r="BA387" i="16"/>
  <c r="BA379" i="16"/>
  <c r="BB394" i="16"/>
  <c r="AW395" i="16"/>
  <c r="CE396" i="16" s="1"/>
  <c r="AV395" i="16"/>
  <c r="AV385" i="16"/>
  <c r="BB393" i="16"/>
  <c r="BH382" i="16"/>
  <c r="BE393" i="16"/>
  <c r="AZ388" i="16"/>
  <c r="CH389" i="16" s="1"/>
  <c r="AZ383" i="16"/>
  <c r="CH384" i="16" s="1"/>
  <c r="AS394" i="16"/>
  <c r="BD391" i="16"/>
  <c r="AX386" i="16"/>
  <c r="CF387" i="16" s="1"/>
  <c r="BI380" i="16"/>
  <c r="BB378" i="16"/>
  <c r="CD301" i="16"/>
  <c r="BD203" i="16"/>
  <c r="CN204" i="16" s="1"/>
  <c r="AY205" i="16"/>
  <c r="CG206" i="16" s="1"/>
  <c r="AT208" i="16"/>
  <c r="CC209" i="16" s="1"/>
  <c r="AT203" i="16"/>
  <c r="CC204" i="16" s="1"/>
  <c r="BI207" i="16"/>
  <c r="BA203" i="16"/>
  <c r="AZ326" i="16"/>
  <c r="BE324" i="16"/>
  <c r="AW322" i="16"/>
  <c r="CE323" i="16" s="1"/>
  <c r="AU326" i="16"/>
  <c r="CD327" i="16" s="1"/>
  <c r="AS322" i="16"/>
  <c r="BI320" i="16"/>
  <c r="BI312" i="16"/>
  <c r="BF322" i="16"/>
  <c r="CP323" i="16" s="1"/>
  <c r="AX315" i="16"/>
  <c r="CF316" i="16" s="1"/>
  <c r="AV323" i="16"/>
  <c r="AV319" i="16"/>
  <c r="AV315" i="16"/>
  <c r="AY319" i="16"/>
  <c r="CG320" i="16" s="1"/>
  <c r="AU314" i="16"/>
  <c r="CD315" i="16" s="1"/>
  <c r="BG381" i="16"/>
  <c r="CQ382" i="16" s="1"/>
  <c r="BG324" i="16"/>
  <c r="CQ325" i="16" s="1"/>
  <c r="DE116" i="16"/>
  <c r="CC96" i="16"/>
  <c r="DB95" i="16"/>
  <c r="CL446" i="16"/>
  <c r="E33" i="20" s="1"/>
  <c r="E36" i="23" s="1"/>
  <c r="CF27" i="16"/>
  <c r="BW93" i="16"/>
  <c r="CX94" i="16" s="1"/>
  <c r="CQ93" i="16"/>
  <c r="BN115" i="16"/>
  <c r="CD115" i="16"/>
  <c r="CD344" i="16"/>
  <c r="U80" i="16"/>
  <c r="U104" i="16"/>
  <c r="U159" i="16"/>
  <c r="AO143" i="16"/>
  <c r="BI143" i="16" s="1"/>
  <c r="DF95" i="16"/>
  <c r="DJ94" i="16"/>
  <c r="U36" i="16"/>
  <c r="DD26" i="16"/>
  <c r="DF48" i="16"/>
  <c r="C183" i="6"/>
  <c r="O125" i="16" s="1"/>
  <c r="AJ97" i="16" s="1"/>
  <c r="BD97" i="16" s="1"/>
  <c r="CN98" i="16" s="1"/>
  <c r="U31" i="16"/>
  <c r="CQ235" i="16"/>
  <c r="AU365" i="16"/>
  <c r="CD366" i="16" s="1"/>
  <c r="AT370" i="16"/>
  <c r="CC371" i="16" s="1"/>
  <c r="AY367" i="16"/>
  <c r="CG368" i="16" s="1"/>
  <c r="BE366" i="16"/>
  <c r="AZ370" i="16"/>
  <c r="CH371" i="16" s="1"/>
  <c r="BH359" i="16"/>
  <c r="CD277" i="16"/>
  <c r="AX184" i="16"/>
  <c r="CF185" i="16" s="1"/>
  <c r="BH182" i="16"/>
  <c r="AU184" i="16"/>
  <c r="CD185" i="16" s="1"/>
  <c r="AS440" i="16"/>
  <c r="CB441" i="16" s="1"/>
  <c r="AU427" i="16"/>
  <c r="CD428" i="16" s="1"/>
  <c r="BB440" i="16"/>
  <c r="BB430" i="16"/>
  <c r="AU438" i="16"/>
  <c r="CD439" i="16" s="1"/>
  <c r="AU430" i="16"/>
  <c r="CD431" i="16" s="1"/>
  <c r="BB437" i="16"/>
  <c r="BB427" i="16"/>
  <c r="AS423" i="16"/>
  <c r="CB424" i="16" s="1"/>
  <c r="AT437" i="16"/>
  <c r="AT433" i="16"/>
  <c r="AT423" i="16"/>
  <c r="CC424" i="16" s="1"/>
  <c r="BC433" i="16"/>
  <c r="CM434" i="16" s="1"/>
  <c r="BC429" i="16"/>
  <c r="CM430" i="16" s="1"/>
  <c r="BC423" i="16"/>
  <c r="CM424" i="16" s="1"/>
  <c r="AY439" i="16"/>
  <c r="AY434" i="16"/>
  <c r="CG435" i="16" s="1"/>
  <c r="AY428" i="16"/>
  <c r="CG429" i="16" s="1"/>
  <c r="AY423" i="16"/>
  <c r="AX441" i="16"/>
  <c r="AX438" i="16"/>
  <c r="CF439" i="16" s="1"/>
  <c r="BF435" i="16"/>
  <c r="CP436" i="16" s="1"/>
  <c r="AX433" i="16"/>
  <c r="CF434" i="16" s="1"/>
  <c r="AX430" i="16"/>
  <c r="CF431" i="16" s="1"/>
  <c r="AX428" i="16"/>
  <c r="AX424" i="16"/>
  <c r="AS429" i="16"/>
  <c r="CB430" i="16" s="1"/>
  <c r="AZ441" i="16"/>
  <c r="AV440" i="16"/>
  <c r="BD438" i="16"/>
  <c r="AZ437" i="16"/>
  <c r="CH438" i="16" s="1"/>
  <c r="AV436" i="16"/>
  <c r="BD434" i="16"/>
  <c r="AZ433" i="16"/>
  <c r="CH434" i="16" s="1"/>
  <c r="AV432" i="16"/>
  <c r="BD430" i="16"/>
  <c r="AZ429" i="16"/>
  <c r="CH430" i="16" s="1"/>
  <c r="BH427" i="16"/>
  <c r="BH426" i="16"/>
  <c r="AZ425" i="16"/>
  <c r="CH426" i="16" s="1"/>
  <c r="AZ424" i="16"/>
  <c r="AZ423" i="16"/>
  <c r="AS426" i="16"/>
  <c r="CB427" i="16" s="1"/>
  <c r="BE440" i="16"/>
  <c r="BA439" i="16"/>
  <c r="BI437" i="16"/>
  <c r="BE436" i="16"/>
  <c r="BE435" i="16"/>
  <c r="BA434" i="16"/>
  <c r="AW433" i="16"/>
  <c r="CE434" i="16" s="1"/>
  <c r="AW432" i="16"/>
  <c r="CE433" i="16" s="1"/>
  <c r="BE430" i="16"/>
  <c r="BA429" i="16"/>
  <c r="BA427" i="16"/>
  <c r="BI425" i="16"/>
  <c r="BI424" i="16"/>
  <c r="BI423" i="16"/>
  <c r="AS251" i="16"/>
  <c r="CB252" i="16" s="1"/>
  <c r="AX254" i="16"/>
  <c r="AX250" i="16"/>
  <c r="CF251" i="16" s="1"/>
  <c r="AS256" i="16"/>
  <c r="CB257" i="16" s="1"/>
  <c r="BC255" i="16"/>
  <c r="CM256" i="16" s="1"/>
  <c r="AU252" i="16"/>
  <c r="CD253" i="16" s="1"/>
  <c r="AU250" i="16"/>
  <c r="CD251" i="16" s="1"/>
  <c r="BC248" i="16"/>
  <c r="CM249" i="16" s="1"/>
  <c r="AS252" i="16"/>
  <c r="CB253" i="16" s="1"/>
  <c r="AY254" i="16"/>
  <c r="AY250" i="16"/>
  <c r="CG251" i="16" s="1"/>
  <c r="BF257" i="16"/>
  <c r="CP258" i="16" s="1"/>
  <c r="BF253" i="16"/>
  <c r="CP254" i="16" s="1"/>
  <c r="BF249" i="16"/>
  <c r="CP250" i="16" s="1"/>
  <c r="AS247" i="16"/>
  <c r="CB248" i="16" s="1"/>
  <c r="BB256" i="16"/>
  <c r="BB254" i="16"/>
  <c r="AT253" i="16"/>
  <c r="BB249" i="16"/>
  <c r="AT248" i="16"/>
  <c r="CC249" i="16" s="1"/>
  <c r="BB246" i="16"/>
  <c r="BE257" i="16"/>
  <c r="BE256" i="16"/>
  <c r="BE255" i="16"/>
  <c r="BE254" i="16"/>
  <c r="BE253" i="16"/>
  <c r="CO254" i="16" s="1"/>
  <c r="BE252" i="16"/>
  <c r="CO253" i="16" s="1"/>
  <c r="BI251" i="16"/>
  <c r="AW251" i="16"/>
  <c r="CE252" i="16" s="1"/>
  <c r="AW250" i="16"/>
  <c r="CE251" i="16" s="1"/>
  <c r="BA249" i="16"/>
  <c r="BA248" i="16"/>
  <c r="BA247" i="16"/>
  <c r="AS257" i="16"/>
  <c r="CB258" i="16" s="1"/>
  <c r="BH257" i="16"/>
  <c r="BH256" i="16"/>
  <c r="BH255" i="16"/>
  <c r="BH254" i="16"/>
  <c r="BH253" i="16"/>
  <c r="BH252" i="16"/>
  <c r="BH251" i="16"/>
  <c r="BH250" i="16"/>
  <c r="BH249" i="16"/>
  <c r="BH248" i="16"/>
  <c r="BH247" i="16"/>
  <c r="AV246" i="16"/>
  <c r="AV165" i="16"/>
  <c r="AZ162" i="16"/>
  <c r="CH163" i="16" s="1"/>
  <c r="BB303" i="16"/>
  <c r="BB299" i="16"/>
  <c r="BB295" i="16"/>
  <c r="BB291" i="16"/>
  <c r="BA302" i="16"/>
  <c r="BA298" i="16"/>
  <c r="BA294" i="16"/>
  <c r="AS303" i="16"/>
  <c r="CB304" i="16" s="1"/>
  <c r="BF302" i="16"/>
  <c r="CP303" i="16" s="1"/>
  <c r="BF300" i="16"/>
  <c r="BF298" i="16"/>
  <c r="AX295" i="16"/>
  <c r="CF296" i="16" s="1"/>
  <c r="BF293" i="16"/>
  <c r="CP294" i="16" s="1"/>
  <c r="AX292" i="16"/>
  <c r="AT303" i="16"/>
  <c r="CC304" i="16" s="1"/>
  <c r="AT299" i="16"/>
  <c r="CC300" i="16" s="1"/>
  <c r="AT296" i="16"/>
  <c r="CC297" i="16" s="1"/>
  <c r="AT293" i="16"/>
  <c r="CC294" i="16" s="1"/>
  <c r="BI302" i="16"/>
  <c r="BI298" i="16"/>
  <c r="BI294" i="16"/>
  <c r="BI290" i="16"/>
  <c r="AW303" i="16"/>
  <c r="CE304" i="16" s="1"/>
  <c r="BE301" i="16"/>
  <c r="BE299" i="16"/>
  <c r="AW298" i="16"/>
  <c r="CE299" i="16" s="1"/>
  <c r="AW295" i="16"/>
  <c r="CE296" i="16" s="1"/>
  <c r="BE293" i="16"/>
  <c r="CO294" i="16" s="1"/>
  <c r="AW292" i="16"/>
  <c r="CE293" i="16" s="1"/>
  <c r="AS301" i="16"/>
  <c r="CB302" i="16" s="1"/>
  <c r="BH303" i="16"/>
  <c r="BH302" i="16"/>
  <c r="BH301" i="16"/>
  <c r="BH300" i="16"/>
  <c r="BH299" i="16"/>
  <c r="BH298" i="16"/>
  <c r="BH297" i="16"/>
  <c r="BH296" i="16"/>
  <c r="BH295" i="16"/>
  <c r="BH294" i="16"/>
  <c r="BH293" i="16"/>
  <c r="BH292" i="16"/>
  <c r="AV292" i="16"/>
  <c r="AZ291" i="16"/>
  <c r="AS296" i="16"/>
  <c r="CB297" i="16" s="1"/>
  <c r="AY303" i="16"/>
  <c r="AU302" i="16"/>
  <c r="CD303" i="16" s="1"/>
  <c r="BC300" i="16"/>
  <c r="AY299" i="16"/>
  <c r="BC298" i="16"/>
  <c r="BC297" i="16"/>
  <c r="CM298" i="16" s="1"/>
  <c r="BC296" i="16"/>
  <c r="BC295" i="16"/>
  <c r="CM296" i="16" s="1"/>
  <c r="BC294" i="16"/>
  <c r="AY293" i="16"/>
  <c r="CG294" i="16" s="1"/>
  <c r="AY292" i="16"/>
  <c r="CG293" i="16" s="1"/>
  <c r="AY291" i="16"/>
  <c r="CG292" i="16" s="1"/>
  <c r="BG299" i="16"/>
  <c r="BG303" i="16"/>
  <c r="BG294" i="16"/>
  <c r="CQ295" i="16" s="1"/>
  <c r="BG292" i="16"/>
  <c r="CQ293" i="16" s="1"/>
  <c r="BG424" i="16"/>
  <c r="CQ425" i="16" s="1"/>
  <c r="BG430" i="16"/>
  <c r="BG437" i="16"/>
  <c r="CQ438" i="16" s="1"/>
  <c r="BG248" i="16"/>
  <c r="BG249" i="16"/>
  <c r="CQ250" i="16" s="1"/>
  <c r="DD70" i="16"/>
  <c r="AF166" i="16"/>
  <c r="AZ166" i="16" s="1"/>
  <c r="CH167" i="16" s="1"/>
  <c r="U187" i="16"/>
  <c r="DG71" i="16"/>
  <c r="DB96" i="16"/>
  <c r="DE95" i="16"/>
  <c r="DE117" i="16"/>
  <c r="BF423" i="16"/>
  <c r="CP424" i="16" s="1"/>
  <c r="BF291" i="16"/>
  <c r="CP292" i="16" s="1"/>
  <c r="AZ246" i="16"/>
  <c r="CH247" i="16" s="1"/>
  <c r="AW422" i="16"/>
  <c r="CE423" i="16" s="1"/>
  <c r="BF422" i="16"/>
  <c r="BU423" i="16" s="1"/>
  <c r="CV424" i="16" s="1"/>
  <c r="DD48" i="16"/>
  <c r="BF370" i="16"/>
  <c r="CP371" i="16" s="1"/>
  <c r="BB365" i="16"/>
  <c r="AS372" i="16"/>
  <c r="CB373" i="16" s="1"/>
  <c r="AW364" i="16"/>
  <c r="CE365" i="16" s="1"/>
  <c r="BH367" i="16"/>
  <c r="AV357" i="16"/>
  <c r="BA188" i="16"/>
  <c r="AU429" i="16"/>
  <c r="CD430" i="16" s="1"/>
  <c r="AU439" i="16"/>
  <c r="CD440" i="16" s="1"/>
  <c r="AU423" i="16"/>
  <c r="CD424" i="16" s="1"/>
  <c r="BB424" i="16"/>
  <c r="BB426" i="16"/>
  <c r="AU436" i="16"/>
  <c r="CD437" i="16" s="1"/>
  <c r="AU426" i="16"/>
  <c r="CD427" i="16" s="1"/>
  <c r="BB435" i="16"/>
  <c r="BB425" i="16"/>
  <c r="AT440" i="16"/>
  <c r="CC441" i="16" s="1"/>
  <c r="AT436" i="16"/>
  <c r="AT431" i="16"/>
  <c r="CC432" i="16" s="1"/>
  <c r="AT427" i="16"/>
  <c r="CC428" i="16" s="1"/>
  <c r="BC441" i="16"/>
  <c r="BC437" i="16"/>
  <c r="CM438" i="16" s="1"/>
  <c r="BC426" i="16"/>
  <c r="CM427" i="16" s="1"/>
  <c r="AS436" i="16"/>
  <c r="CB437" i="16" s="1"/>
  <c r="AY438" i="16"/>
  <c r="CG439" i="16" s="1"/>
  <c r="AY432" i="16"/>
  <c r="AY427" i="16"/>
  <c r="CG428" i="16" s="1"/>
  <c r="AS441" i="16"/>
  <c r="AX440" i="16"/>
  <c r="CF441" i="16" s="1"/>
  <c r="BF437" i="16"/>
  <c r="CP438" i="16" s="1"/>
  <c r="AX435" i="16"/>
  <c r="AX432" i="16"/>
  <c r="BF429" i="16"/>
  <c r="CP430" i="16" s="1"/>
  <c r="BF427" i="16"/>
  <c r="BF425" i="16"/>
  <c r="CP426" i="16" s="1"/>
  <c r="AX423" i="16"/>
  <c r="CF424" i="16" s="1"/>
  <c r="AV441" i="16"/>
  <c r="BD439" i="16"/>
  <c r="AZ438" i="16"/>
  <c r="CH439" i="16" s="1"/>
  <c r="AV437" i="16"/>
  <c r="BD435" i="16"/>
  <c r="AZ434" i="16"/>
  <c r="CH435" i="16" s="1"/>
  <c r="AV433" i="16"/>
  <c r="BD431" i="16"/>
  <c r="AZ430" i="16"/>
  <c r="CH431" i="16" s="1"/>
  <c r="BH428" i="16"/>
  <c r="BD426" i="16"/>
  <c r="CN427" i="16" s="1"/>
  <c r="AV425" i="16"/>
  <c r="AV424" i="16"/>
  <c r="AV422" i="16"/>
  <c r="BE441" i="16"/>
  <c r="BA440" i="16"/>
  <c r="BI438" i="16"/>
  <c r="BE437" i="16"/>
  <c r="BA436" i="16"/>
  <c r="AW434" i="16"/>
  <c r="CE435" i="16" s="1"/>
  <c r="BI432" i="16"/>
  <c r="BE431" i="16"/>
  <c r="BA430" i="16"/>
  <c r="AW429" i="16"/>
  <c r="CE430" i="16" s="1"/>
  <c r="AW428" i="16"/>
  <c r="CE429" i="16" s="1"/>
  <c r="AW427" i="16"/>
  <c r="CE428" i="16" s="1"/>
  <c r="BE425" i="16"/>
  <c r="BE424" i="16"/>
  <c r="CO425" i="16" s="1"/>
  <c r="BE423" i="16"/>
  <c r="CO424" i="16" s="1"/>
  <c r="AX257" i="16"/>
  <c r="CF258" i="16" s="1"/>
  <c r="AX253" i="16"/>
  <c r="CF254" i="16" s="1"/>
  <c r="AX249" i="16"/>
  <c r="CF250" i="16" s="1"/>
  <c r="AU257" i="16"/>
  <c r="CD258" i="16" s="1"/>
  <c r="AU255" i="16"/>
  <c r="CD256" i="16" s="1"/>
  <c r="BC253" i="16"/>
  <c r="CM254" i="16" s="1"/>
  <c r="BC251" i="16"/>
  <c r="AU248" i="16"/>
  <c r="CD249" i="16" s="1"/>
  <c r="AY257" i="16"/>
  <c r="AY253" i="16"/>
  <c r="CG254" i="16" s="1"/>
  <c r="AY249" i="16"/>
  <c r="BF256" i="16"/>
  <c r="BF252" i="16"/>
  <c r="CP253" i="16" s="1"/>
  <c r="BB257" i="16"/>
  <c r="AT256" i="16"/>
  <c r="CC257" i="16" s="1"/>
  <c r="CC255" i="16"/>
  <c r="BB252" i="16"/>
  <c r="AT251" i="16"/>
  <c r="BB247" i="16"/>
  <c r="AS254" i="16"/>
  <c r="CB255" i="16" s="1"/>
  <c r="BA257" i="16"/>
  <c r="BA256" i="16"/>
  <c r="BA255" i="16"/>
  <c r="BA254" i="16"/>
  <c r="BA253" i="16"/>
  <c r="BA252" i="16"/>
  <c r="BE251" i="16"/>
  <c r="BI250" i="16"/>
  <c r="BI249" i="16"/>
  <c r="AW249" i="16"/>
  <c r="CE250" i="16" s="1"/>
  <c r="AW248" i="16"/>
  <c r="CE249" i="16" s="1"/>
  <c r="BD257" i="16"/>
  <c r="BD256" i="16"/>
  <c r="BD255" i="16"/>
  <c r="BD254" i="16"/>
  <c r="BD253" i="16"/>
  <c r="CN254" i="16" s="1"/>
  <c r="BD252" i="16"/>
  <c r="BD251" i="16"/>
  <c r="CN252" i="16" s="1"/>
  <c r="BD250" i="16"/>
  <c r="BD249" i="16"/>
  <c r="CN250" i="16" s="1"/>
  <c r="BD248" i="16"/>
  <c r="CN249" i="16" s="1"/>
  <c r="BD247" i="16"/>
  <c r="CN248" i="16" s="1"/>
  <c r="BA162" i="16"/>
  <c r="AV160" i="16"/>
  <c r="AX165" i="16"/>
  <c r="CF166" i="16" s="1"/>
  <c r="BH411" i="16"/>
  <c r="BC405" i="16"/>
  <c r="AU417" i="16"/>
  <c r="CD418" i="16" s="1"/>
  <c r="AY418" i="16"/>
  <c r="AV418" i="16"/>
  <c r="AV407" i="16"/>
  <c r="AS401" i="16"/>
  <c r="CB402" i="16" s="1"/>
  <c r="BB413" i="16"/>
  <c r="AX408" i="16"/>
  <c r="CF409" i="16" s="1"/>
  <c r="BF402" i="16"/>
  <c r="CP403" i="16" s="1"/>
  <c r="BI416" i="16"/>
  <c r="BI411" i="16"/>
  <c r="BB302" i="16"/>
  <c r="BB298" i="16"/>
  <c r="BB294" i="16"/>
  <c r="BB290" i="16"/>
  <c r="BA301" i="16"/>
  <c r="BA297" i="16"/>
  <c r="BA293" i="16"/>
  <c r="AS295" i="16"/>
  <c r="CB296" i="16" s="1"/>
  <c r="AX302" i="16"/>
  <c r="CF303" i="16" s="1"/>
  <c r="AX300" i="16"/>
  <c r="AX298" i="16"/>
  <c r="BF296" i="16"/>
  <c r="BF294" i="16"/>
  <c r="CP295" i="16" s="1"/>
  <c r="AX293" i="16"/>
  <c r="CF294" i="16" s="1"/>
  <c r="AX291" i="16"/>
  <c r="AT302" i="16"/>
  <c r="CC303" i="16" s="1"/>
  <c r="AT298" i="16"/>
  <c r="CC299" i="16" s="1"/>
  <c r="AT292" i="16"/>
  <c r="BI301" i="16"/>
  <c r="BI297" i="16"/>
  <c r="BI293" i="16"/>
  <c r="AS302" i="16"/>
  <c r="CB303" i="16" s="1"/>
  <c r="BE302" i="16"/>
  <c r="CO303" i="16" s="1"/>
  <c r="AW301" i="16"/>
  <c r="CE302" i="16" s="1"/>
  <c r="AW299" i="16"/>
  <c r="CE300" i="16" s="1"/>
  <c r="BE297" i="16"/>
  <c r="AW296" i="16"/>
  <c r="CE297" i="16" s="1"/>
  <c r="BE294" i="16"/>
  <c r="CO295" i="16" s="1"/>
  <c r="AW293" i="16"/>
  <c r="CE294" i="16" s="1"/>
  <c r="BE291" i="16"/>
  <c r="CO292" i="16" s="1"/>
  <c r="BD303" i="16"/>
  <c r="BD302" i="16"/>
  <c r="BD301" i="16"/>
  <c r="BD300" i="16"/>
  <c r="BD299" i="16"/>
  <c r="BD298" i="16"/>
  <c r="BD297" i="16"/>
  <c r="BD296" i="16"/>
  <c r="CN297" i="16" s="1"/>
  <c r="BD295" i="16"/>
  <c r="CN296" i="16" s="1"/>
  <c r="BD294" i="16"/>
  <c r="BD293" i="16"/>
  <c r="BD292" i="16"/>
  <c r="CN293" i="16" s="1"/>
  <c r="BH291" i="16"/>
  <c r="AV291" i="16"/>
  <c r="AU303" i="16"/>
  <c r="CD304" i="16" s="1"/>
  <c r="BC301" i="16"/>
  <c r="CM302" i="16" s="1"/>
  <c r="AY300" i="16"/>
  <c r="CG301" i="16" s="1"/>
  <c r="AY298" i="16"/>
  <c r="AY297" i="16"/>
  <c r="CG298" i="16" s="1"/>
  <c r="AY295" i="16"/>
  <c r="CG296" i="16" s="1"/>
  <c r="AY294" i="16"/>
  <c r="AU293" i="16"/>
  <c r="CD294" i="16" s="1"/>
  <c r="AU291" i="16"/>
  <c r="CD292" i="16" s="1"/>
  <c r="AW336" i="16"/>
  <c r="CE337" i="16" s="1"/>
  <c r="BE335" i="16"/>
  <c r="CO336" i="16" s="1"/>
  <c r="BB340" i="16"/>
  <c r="BA343" i="16"/>
  <c r="BF349" i="16"/>
  <c r="CP350" i="16" s="1"/>
  <c r="AX337" i="16"/>
  <c r="CF338" i="16" s="1"/>
  <c r="AV346" i="16"/>
  <c r="AZ339" i="16"/>
  <c r="CH340" i="16" s="1"/>
  <c r="AU348" i="16"/>
  <c r="CD349" i="16" s="1"/>
  <c r="AZ140" i="16"/>
  <c r="CH141" i="16" s="1"/>
  <c r="BF142" i="16"/>
  <c r="CP143" i="16" s="1"/>
  <c r="BG298" i="16"/>
  <c r="BG364" i="16"/>
  <c r="BG439" i="16"/>
  <c r="CQ440" i="16" s="1"/>
  <c r="BG428" i="16"/>
  <c r="CQ429" i="16" s="1"/>
  <c r="BG429" i="16"/>
  <c r="CQ430" i="16" s="1"/>
  <c r="BG251" i="16"/>
  <c r="CQ252" i="16" s="1"/>
  <c r="BG255" i="16"/>
  <c r="CQ256" i="16" s="1"/>
  <c r="AB74" i="16"/>
  <c r="AV74" i="16" s="1"/>
  <c r="U126" i="16"/>
  <c r="DE71" i="16"/>
  <c r="DB117" i="16"/>
  <c r="DF116" i="16"/>
  <c r="DJ115" i="16"/>
  <c r="C15" i="18"/>
  <c r="BF247" i="16"/>
  <c r="CP248" i="16" s="1"/>
  <c r="CF115" i="16"/>
  <c r="AS246" i="16"/>
  <c r="CB247" i="16" s="1"/>
  <c r="BM49" i="16"/>
  <c r="CI50" i="16" s="1"/>
  <c r="CF232" i="16"/>
  <c r="CC341" i="16"/>
  <c r="DE118" i="16"/>
  <c r="CO119" i="16"/>
  <c r="CH118" i="16"/>
  <c r="DD117" i="16"/>
  <c r="D61" i="10"/>
  <c r="C51" i="10"/>
  <c r="C53" i="10" s="1"/>
  <c r="BU5" i="16"/>
  <c r="CV6" i="16" s="1"/>
  <c r="CP5" i="16"/>
  <c r="CN357" i="16"/>
  <c r="BO115" i="16"/>
  <c r="BO116" i="16" s="1"/>
  <c r="CG115" i="16"/>
  <c r="BA356" i="16"/>
  <c r="BM356" i="16" s="1"/>
  <c r="BG356" i="16"/>
  <c r="BW357" i="16" s="1"/>
  <c r="BG358" i="16"/>
  <c r="CQ359" i="16" s="1"/>
  <c r="BG366" i="16"/>
  <c r="CQ367" i="16" s="1"/>
  <c r="BG368" i="16"/>
  <c r="CQ369" i="16" s="1"/>
  <c r="BG371" i="16"/>
  <c r="BH356" i="16"/>
  <c r="BQ356" i="16" s="1"/>
  <c r="CR357" i="16" s="1"/>
  <c r="AY356" i="16"/>
  <c r="BO357" i="16" s="1"/>
  <c r="BG370" i="16"/>
  <c r="CQ371" i="16" s="1"/>
  <c r="BG365" i="16"/>
  <c r="BG367" i="16"/>
  <c r="BG369" i="16"/>
  <c r="CQ370" i="16" s="1"/>
  <c r="BD357" i="16"/>
  <c r="BD358" i="16"/>
  <c r="CN359" i="16" s="1"/>
  <c r="BD359" i="16"/>
  <c r="CN360" i="16" s="1"/>
  <c r="BD360" i="16"/>
  <c r="CN361" i="16" s="1"/>
  <c r="BD361" i="16"/>
  <c r="CN362" i="16" s="1"/>
  <c r="BD362" i="16"/>
  <c r="CN363" i="16" s="1"/>
  <c r="BD363" i="16"/>
  <c r="CN364" i="16" s="1"/>
  <c r="BD364" i="16"/>
  <c r="BD365" i="16"/>
  <c r="BD366" i="16"/>
  <c r="BD367" i="16"/>
  <c r="BD368" i="16"/>
  <c r="BD369" i="16"/>
  <c r="BD370" i="16"/>
  <c r="BD371" i="16"/>
  <c r="BD372" i="16"/>
  <c r="BI356" i="16"/>
  <c r="BA358" i="16"/>
  <c r="AW359" i="16"/>
  <c r="CE360" i="16" s="1"/>
  <c r="BI359" i="16"/>
  <c r="BE360" i="16"/>
  <c r="BA361" i="16"/>
  <c r="AW362" i="16"/>
  <c r="CE363" i="16" s="1"/>
  <c r="BI362" i="16"/>
  <c r="BI363" i="16"/>
  <c r="BI364" i="16"/>
  <c r="BI365" i="16"/>
  <c r="BI366" i="16"/>
  <c r="BE367" i="16"/>
  <c r="BE368" i="16"/>
  <c r="BE369" i="16"/>
  <c r="BE370" i="16"/>
  <c r="BE371" i="16"/>
  <c r="BA372" i="16"/>
  <c r="AY357" i="16"/>
  <c r="AY361" i="16"/>
  <c r="AY365" i="16"/>
  <c r="CG366" i="16" s="1"/>
  <c r="AY369" i="16"/>
  <c r="AS362" i="16"/>
  <c r="AT359" i="16"/>
  <c r="BB360" i="16"/>
  <c r="AT362" i="16"/>
  <c r="BB363" i="16"/>
  <c r="AT365" i="16"/>
  <c r="BB366" i="16"/>
  <c r="AT368" i="16"/>
  <c r="CC369" i="16" s="1"/>
  <c r="BB369" i="16"/>
  <c r="AS357" i="16"/>
  <c r="CB358" i="16" s="1"/>
  <c r="BC357" i="16"/>
  <c r="BC359" i="16"/>
  <c r="BC361" i="16"/>
  <c r="BC363" i="16"/>
  <c r="CM364" i="16" s="1"/>
  <c r="BC365" i="16"/>
  <c r="BC367" i="16"/>
  <c r="BC369" i="16"/>
  <c r="BC371" i="16"/>
  <c r="CM372" i="16" s="1"/>
  <c r="AS366" i="16"/>
  <c r="CB367" i="16" s="1"/>
  <c r="AU362" i="16"/>
  <c r="CD363" i="16" s="1"/>
  <c r="AU368" i="16"/>
  <c r="CD369" i="16" s="1"/>
  <c r="AX357" i="16"/>
  <c r="CF358" i="16" s="1"/>
  <c r="AX365" i="16"/>
  <c r="CF366" i="16" s="1"/>
  <c r="AS361" i="16"/>
  <c r="CB362" i="16" s="1"/>
  <c r="BF359" i="16"/>
  <c r="CP360" i="16" s="1"/>
  <c r="BF361" i="16"/>
  <c r="CP362" i="16" s="1"/>
  <c r="BF363" i="16"/>
  <c r="CP364" i="16" s="1"/>
  <c r="AX356" i="16"/>
  <c r="CF357" i="16" s="1"/>
  <c r="BE356" i="16"/>
  <c r="BF356" i="16"/>
  <c r="AT356" i="16"/>
  <c r="CC357" i="16" s="1"/>
  <c r="BC356" i="16"/>
  <c r="BF357" i="16"/>
  <c r="BG360" i="16"/>
  <c r="CQ361" i="16" s="1"/>
  <c r="BG363" i="16"/>
  <c r="CQ364" i="16" s="1"/>
  <c r="BG361" i="16"/>
  <c r="CQ362" i="16" s="1"/>
  <c r="BH357" i="16"/>
  <c r="AV359" i="16"/>
  <c r="AZ360" i="16"/>
  <c r="CH361" i="16" s="1"/>
  <c r="BH361" i="16"/>
  <c r="AV363" i="16"/>
  <c r="AZ364" i="16"/>
  <c r="CH365" i="16" s="1"/>
  <c r="BH365" i="16"/>
  <c r="DF365" i="16" s="1"/>
  <c r="AV367" i="16"/>
  <c r="AZ368" i="16"/>
  <c r="CH369" i="16" s="1"/>
  <c r="BH369" i="16"/>
  <c r="AV371" i="16"/>
  <c r="AZ372" i="16"/>
  <c r="CH373" i="16" s="1"/>
  <c r="AS367" i="16"/>
  <c r="CB368" i="16" s="1"/>
  <c r="BA357" i="16"/>
  <c r="BA359" i="16"/>
  <c r="AW361" i="16"/>
  <c r="CE362" i="16" s="1"/>
  <c r="BA362" i="16"/>
  <c r="BA363" i="16"/>
  <c r="BE364" i="16"/>
  <c r="AW366" i="16"/>
  <c r="CE367" i="16" s="1"/>
  <c r="BA368" i="16"/>
  <c r="BI369" i="16"/>
  <c r="AW371" i="16"/>
  <c r="CE372" i="16" s="1"/>
  <c r="AS364" i="16"/>
  <c r="AY359" i="16"/>
  <c r="AY364" i="16"/>
  <c r="CG365" i="16" s="1"/>
  <c r="AY370" i="16"/>
  <c r="CG371" i="16" s="1"/>
  <c r="BB356" i="16"/>
  <c r="BB358" i="16"/>
  <c r="AT361" i="16"/>
  <c r="AT363" i="16"/>
  <c r="CC364" i="16" s="1"/>
  <c r="BB364" i="16"/>
  <c r="AT367" i="16"/>
  <c r="BB368" i="16"/>
  <c r="AT371" i="16"/>
  <c r="CC372" i="16" s="1"/>
  <c r="BC358" i="16"/>
  <c r="BC366" i="16"/>
  <c r="AU358" i="16"/>
  <c r="CD359" i="16" s="1"/>
  <c r="AX359" i="16"/>
  <c r="CF360" i="16" s="1"/>
  <c r="AX369" i="16"/>
  <c r="CF370" i="16" s="1"/>
  <c r="BF364" i="16"/>
  <c r="CP365" i="16" s="1"/>
  <c r="BF368" i="16"/>
  <c r="CP369" i="16" s="1"/>
  <c r="BF372" i="16"/>
  <c r="CP373" i="16" s="1"/>
  <c r="AU361" i="16"/>
  <c r="CD362" i="16" s="1"/>
  <c r="AU367" i="16"/>
  <c r="CD368" i="16" s="1"/>
  <c r="AX358" i="16"/>
  <c r="CF359" i="16" s="1"/>
  <c r="AX366" i="16"/>
  <c r="CF367" i="16" s="1"/>
  <c r="AV356" i="16"/>
  <c r="AV358" i="16"/>
  <c r="AZ359" i="16"/>
  <c r="CH360" i="16" s="1"/>
  <c r="BH360" i="16"/>
  <c r="AV362" i="16"/>
  <c r="AZ363" i="16"/>
  <c r="CH364" i="16" s="1"/>
  <c r="BH364" i="16"/>
  <c r="AV366" i="16"/>
  <c r="AZ367" i="16"/>
  <c r="CH368" i="16" s="1"/>
  <c r="BH368" i="16"/>
  <c r="AV370" i="16"/>
  <c r="AZ371" i="16"/>
  <c r="CH372" i="16" s="1"/>
  <c r="BH372" i="16"/>
  <c r="AS371" i="16"/>
  <c r="CB372" i="16" s="1"/>
  <c r="BE357" i="16"/>
  <c r="BE358" i="16"/>
  <c r="BE359" i="16"/>
  <c r="BA360" i="16"/>
  <c r="BE361" i="16"/>
  <c r="BE362" i="16"/>
  <c r="BE363" i="16"/>
  <c r="CO364" i="16" s="1"/>
  <c r="AW365" i="16"/>
  <c r="CE366" i="16" s="1"/>
  <c r="BA366" i="16"/>
  <c r="BA367" i="16"/>
  <c r="BI368" i="16"/>
  <c r="AW370" i="16"/>
  <c r="CE371" i="16" s="1"/>
  <c r="BA371" i="16"/>
  <c r="BE372" i="16"/>
  <c r="AS368" i="16"/>
  <c r="CB369" i="16" s="1"/>
  <c r="AY360" i="16"/>
  <c r="CG361" i="16" s="1"/>
  <c r="AY366" i="16"/>
  <c r="CG367" i="16" s="1"/>
  <c r="AY371" i="16"/>
  <c r="AT357" i="16"/>
  <c r="BB359" i="16"/>
  <c r="AT369" i="16"/>
  <c r="CC370" i="16" s="1"/>
  <c r="BB371" i="16"/>
  <c r="AS365" i="16"/>
  <c r="CB366" i="16" s="1"/>
  <c r="BC364" i="16"/>
  <c r="BC372" i="16"/>
  <c r="AU360" i="16"/>
  <c r="CD361" i="16" s="1"/>
  <c r="AX361" i="16"/>
  <c r="CF362" i="16" s="1"/>
  <c r="AX371" i="16"/>
  <c r="CF372" i="16" s="1"/>
  <c r="BF362" i="16"/>
  <c r="CP363" i="16" s="1"/>
  <c r="BF365" i="16"/>
  <c r="CP366" i="16" s="1"/>
  <c r="BF369" i="16"/>
  <c r="AS369" i="16"/>
  <c r="AU363" i="16"/>
  <c r="CD364" i="16" s="1"/>
  <c r="AU369" i="16"/>
  <c r="CD370" i="16" s="1"/>
  <c r="AX360" i="16"/>
  <c r="CF361" i="16" s="1"/>
  <c r="AX368" i="16"/>
  <c r="AY180" i="16"/>
  <c r="BG181" i="16"/>
  <c r="BA180" i="16"/>
  <c r="BM180" i="16" s="1"/>
  <c r="BG180" i="16"/>
  <c r="AT180" i="16"/>
  <c r="CC181" i="16" s="1"/>
  <c r="BF181" i="16"/>
  <c r="CP182" i="16" s="1"/>
  <c r="BG182" i="16"/>
  <c r="CQ183" i="16" s="1"/>
  <c r="BG185" i="16"/>
  <c r="CQ186" i="16" s="1"/>
  <c r="AU182" i="16"/>
  <c r="CD183" i="16" s="1"/>
  <c r="BC183" i="16"/>
  <c r="BC185" i="16"/>
  <c r="CM186" i="16" s="1"/>
  <c r="BC188" i="16"/>
  <c r="AW181" i="16"/>
  <c r="CE182" i="16" s="1"/>
  <c r="BE182" i="16"/>
  <c r="CO183" i="16" s="1"/>
  <c r="AW184" i="16"/>
  <c r="CE185" i="16" s="1"/>
  <c r="BE187" i="16"/>
  <c r="CO188" i="16" s="1"/>
  <c r="AV181" i="16"/>
  <c r="AV182" i="16"/>
  <c r="AV183" i="16"/>
  <c r="BD184" i="16"/>
  <c r="CN185" i="16" s="1"/>
  <c r="BH185" i="16"/>
  <c r="AZ187" i="16"/>
  <c r="CH188" i="16" s="1"/>
  <c r="BD188" i="16"/>
  <c r="BA181" i="16"/>
  <c r="BI183" i="16"/>
  <c r="BA186" i="16"/>
  <c r="AS188" i="16"/>
  <c r="CB189" i="16" s="1"/>
  <c r="BB184" i="16"/>
  <c r="AX182" i="16"/>
  <c r="CF183" i="16" s="1"/>
  <c r="AX187" i="16"/>
  <c r="CF188" i="16" s="1"/>
  <c r="AT181" i="16"/>
  <c r="CC182" i="16" s="1"/>
  <c r="AT184" i="16"/>
  <c r="CC185" i="16" s="1"/>
  <c r="AT187" i="16"/>
  <c r="BD180" i="16"/>
  <c r="CN181" i="16" s="1"/>
  <c r="BC182" i="16"/>
  <c r="BC184" i="16"/>
  <c r="CM185" i="16" s="1"/>
  <c r="BC186" i="16"/>
  <c r="AW186" i="16"/>
  <c r="CE187" i="16" s="1"/>
  <c r="BE188" i="16"/>
  <c r="BH181" i="16"/>
  <c r="BD183" i="16"/>
  <c r="CN184" i="16" s="1"/>
  <c r="AZ185" i="16"/>
  <c r="CH186" i="16" s="1"/>
  <c r="BH186" i="16"/>
  <c r="BH188" i="16"/>
  <c r="BA182" i="16"/>
  <c r="BI185" i="16"/>
  <c r="BB180" i="16"/>
  <c r="BB187" i="16"/>
  <c r="AX186" i="16"/>
  <c r="CF187" i="16" s="1"/>
  <c r="BF186" i="16"/>
  <c r="CP187" i="16" s="1"/>
  <c r="AT186" i="16"/>
  <c r="CC187" i="16" s="1"/>
  <c r="AU181" i="16"/>
  <c r="CD182" i="16" s="1"/>
  <c r="AU185" i="16"/>
  <c r="CD186" i="16" s="1"/>
  <c r="AU187" i="16"/>
  <c r="CD188" i="16" s="1"/>
  <c r="AS182" i="16"/>
  <c r="CB183" i="16" s="1"/>
  <c r="AW182" i="16"/>
  <c r="CE183" i="16" s="1"/>
  <c r="BE184" i="16"/>
  <c r="CO185" i="16" s="1"/>
  <c r="BE186" i="16"/>
  <c r="AS184" i="16"/>
  <c r="CB185" i="16" s="1"/>
  <c r="AZ182" i="16"/>
  <c r="BH183" i="16"/>
  <c r="BD185" i="16"/>
  <c r="CN186" i="16" s="1"/>
  <c r="BD187" i="16"/>
  <c r="CN188" i="16" s="1"/>
  <c r="AS187" i="16"/>
  <c r="CB188" i="16" s="1"/>
  <c r="BA183" i="16"/>
  <c r="BA187" i="16"/>
  <c r="BB182" i="16"/>
  <c r="BB188" i="16"/>
  <c r="AX188" i="16"/>
  <c r="CF189" i="16" s="1"/>
  <c r="AT183" i="16"/>
  <c r="CC184" i="16" s="1"/>
  <c r="AT188" i="16"/>
  <c r="CC189" i="16" s="1"/>
  <c r="BA158" i="16"/>
  <c r="BM158" i="16" s="1"/>
  <c r="AU158" i="16"/>
  <c r="BN159" i="16" s="1"/>
  <c r="BH158" i="16"/>
  <c r="BQ158" i="16" s="1"/>
  <c r="CR159" i="16" s="1"/>
  <c r="BF158" i="16"/>
  <c r="AS158" i="16"/>
  <c r="CB159" i="16" s="1"/>
  <c r="BC158" i="16"/>
  <c r="BG162" i="16"/>
  <c r="CQ163" i="16" s="1"/>
  <c r="BG165" i="16"/>
  <c r="CQ166" i="16" s="1"/>
  <c r="AX158" i="16"/>
  <c r="CF159" i="16" s="1"/>
  <c r="AY158" i="16"/>
  <c r="BD158" i="16"/>
  <c r="BE158" i="16"/>
  <c r="BG161" i="16"/>
  <c r="CQ162" i="16" s="1"/>
  <c r="BG164" i="16"/>
  <c r="CQ165" i="16" s="1"/>
  <c r="AT159" i="16"/>
  <c r="CC160" i="16" s="1"/>
  <c r="AT160" i="16"/>
  <c r="CC161" i="16" s="1"/>
  <c r="BF160" i="16"/>
  <c r="CP161" i="16" s="1"/>
  <c r="BB161" i="16"/>
  <c r="BB162" i="16"/>
  <c r="BB163" i="16"/>
  <c r="BB164" i="16"/>
  <c r="BB165" i="16"/>
  <c r="AZ159" i="16"/>
  <c r="AZ161" i="16"/>
  <c r="CH162" i="16" s="1"/>
  <c r="AZ163" i="16"/>
  <c r="CH164" i="16" s="1"/>
  <c r="AZ165" i="16"/>
  <c r="CH166" i="16" s="1"/>
  <c r="AU159" i="16"/>
  <c r="CD160" i="16" s="1"/>
  <c r="AU160" i="16"/>
  <c r="CD161" i="16" s="1"/>
  <c r="AU161" i="16"/>
  <c r="CD162" i="16" s="1"/>
  <c r="AU162" i="16"/>
  <c r="CD163" i="16" s="1"/>
  <c r="AU163" i="16"/>
  <c r="CD164" i="16" s="1"/>
  <c r="AU164" i="16"/>
  <c r="CD165" i="16" s="1"/>
  <c r="AU165" i="16"/>
  <c r="CD166" i="16" s="1"/>
  <c r="AS160" i="16"/>
  <c r="CB161" i="16" s="1"/>
  <c r="BD159" i="16"/>
  <c r="CN160" i="16" s="1"/>
  <c r="BD161" i="16"/>
  <c r="CN162" i="16" s="1"/>
  <c r="BD163" i="16"/>
  <c r="CN164" i="16" s="1"/>
  <c r="BD165" i="16"/>
  <c r="CN166" i="16" s="1"/>
  <c r="BI160" i="16"/>
  <c r="BI164" i="16"/>
  <c r="AW164" i="16"/>
  <c r="CE165" i="16" s="1"/>
  <c r="BE165" i="16"/>
  <c r="AW163" i="16"/>
  <c r="CE164" i="16" s="1"/>
  <c r="BA159" i="16"/>
  <c r="BA163" i="16"/>
  <c r="BB159" i="16"/>
  <c r="AT162" i="16"/>
  <c r="AX163" i="16"/>
  <c r="CF164" i="16" s="1"/>
  <c r="BF164" i="16"/>
  <c r="CP165" i="16" s="1"/>
  <c r="AS159" i="16"/>
  <c r="CB160" i="16" s="1"/>
  <c r="BH160" i="16"/>
  <c r="BH163" i="16"/>
  <c r="AS165" i="16"/>
  <c r="AY161" i="16"/>
  <c r="BC162" i="16"/>
  <c r="AY165" i="16"/>
  <c r="AV158" i="16"/>
  <c r="AV161" i="16"/>
  <c r="AV164" i="16"/>
  <c r="BI158" i="16"/>
  <c r="BI163" i="16"/>
  <c r="BE159" i="16"/>
  <c r="BE163" i="16"/>
  <c r="AW162" i="16"/>
  <c r="CE163" i="16" s="1"/>
  <c r="BA160" i="16"/>
  <c r="BA165" i="16"/>
  <c r="AW158" i="16"/>
  <c r="CE159" i="16" s="1"/>
  <c r="AZ158" i="16"/>
  <c r="CH159" i="16" s="1"/>
  <c r="BF159" i="16"/>
  <c r="BG160" i="16"/>
  <c r="CQ161" i="16" s="1"/>
  <c r="BB158" i="16"/>
  <c r="AT161" i="16"/>
  <c r="CC162" i="16" s="1"/>
  <c r="AX162" i="16"/>
  <c r="CF163" i="16" s="1"/>
  <c r="BF163" i="16"/>
  <c r="CP164" i="16" s="1"/>
  <c r="AT165" i="16"/>
  <c r="AS163" i="16"/>
  <c r="CB164" i="16" s="1"/>
  <c r="BH161" i="16"/>
  <c r="AZ164" i="16"/>
  <c r="CH165" i="16" s="1"/>
  <c r="AY160" i="16"/>
  <c r="BC161" i="16"/>
  <c r="AY164" i="16"/>
  <c r="CG165" i="16" s="1"/>
  <c r="BC165" i="16"/>
  <c r="AV159" i="16"/>
  <c r="AV162" i="16"/>
  <c r="BD164" i="16"/>
  <c r="CN165" i="16" s="1"/>
  <c r="BI159" i="16"/>
  <c r="BI165" i="16"/>
  <c r="BE160" i="16"/>
  <c r="CO161" i="16" s="1"/>
  <c r="BE164" i="16"/>
  <c r="BA161" i="16"/>
  <c r="D50" i="31"/>
  <c r="E68" i="13"/>
  <c r="C40" i="31"/>
  <c r="C43" i="18"/>
  <c r="D47" i="13"/>
  <c r="D58" i="13"/>
  <c r="D18" i="13"/>
  <c r="E31" i="13" s="1"/>
  <c r="C30" i="25"/>
  <c r="D9" i="13"/>
  <c r="D46" i="25" s="1"/>
  <c r="Y97" i="16"/>
  <c r="AS97" i="16" s="1"/>
  <c r="U114" i="16"/>
  <c r="AX372" i="16"/>
  <c r="CF373" i="16" s="1"/>
  <c r="AS358" i="16"/>
  <c r="CB359" i="16" s="1"/>
  <c r="AU359" i="16"/>
  <c r="CD360" i="16" s="1"/>
  <c r="BF367" i="16"/>
  <c r="CP368" i="16" s="1"/>
  <c r="AX367" i="16"/>
  <c r="CF368" i="16" s="1"/>
  <c r="AU366" i="16"/>
  <c r="CD367" i="16" s="1"/>
  <c r="BC360" i="16"/>
  <c r="BB372" i="16"/>
  <c r="AS370" i="16"/>
  <c r="CB371" i="16" s="1"/>
  <c r="AY363" i="16"/>
  <c r="CG364" i="16" s="1"/>
  <c r="AS360" i="16"/>
  <c r="CB361" i="16" s="1"/>
  <c r="BI370" i="16"/>
  <c r="AW368" i="16"/>
  <c r="CE369" i="16" s="1"/>
  <c r="BE365" i="16"/>
  <c r="AW363" i="16"/>
  <c r="CE364" i="16" s="1"/>
  <c r="BI360" i="16"/>
  <c r="BI358" i="16"/>
  <c r="AW357" i="16"/>
  <c r="CE358" i="16" s="1"/>
  <c r="AV372" i="16"/>
  <c r="AZ369" i="16"/>
  <c r="CH370" i="16" s="1"/>
  <c r="BH366" i="16"/>
  <c r="AV364" i="16"/>
  <c r="AZ361" i="16"/>
  <c r="CH362" i="16" s="1"/>
  <c r="BH358" i="16"/>
  <c r="BF188" i="16"/>
  <c r="CP189" i="16" s="1"/>
  <c r="AX183" i="16"/>
  <c r="CF184" i="16" s="1"/>
  <c r="BI187" i="16"/>
  <c r="AZ186" i="16"/>
  <c r="CH187" i="16" s="1"/>
  <c r="BD182" i="16"/>
  <c r="CN183" i="16" s="1"/>
  <c r="AW187" i="16"/>
  <c r="CE188" i="16" s="1"/>
  <c r="AW183" i="16"/>
  <c r="CE184" i="16" s="1"/>
  <c r="BC187" i="16"/>
  <c r="CM188" i="16" s="1"/>
  <c r="AU183" i="16"/>
  <c r="CD184" i="16" s="1"/>
  <c r="AS162" i="16"/>
  <c r="CB163" i="16" s="1"/>
  <c r="BE162" i="16"/>
  <c r="CO163" i="16" s="1"/>
  <c r="BI162" i="16"/>
  <c r="AV163" i="16"/>
  <c r="AS164" i="16"/>
  <c r="CB165" i="16" s="1"/>
  <c r="BC163" i="16"/>
  <c r="BH165" i="16"/>
  <c r="AZ160" i="16"/>
  <c r="CH161" i="16" s="1"/>
  <c r="AX164" i="16"/>
  <c r="CF165" i="16" s="1"/>
  <c r="BF161" i="16"/>
  <c r="CP162" i="16" s="1"/>
  <c r="AX159" i="16"/>
  <c r="CF160" i="16" s="1"/>
  <c r="BG359" i="16"/>
  <c r="CQ360" i="16" s="1"/>
  <c r="BG187" i="16"/>
  <c r="CQ188" i="16" s="1"/>
  <c r="BG159" i="16"/>
  <c r="CQ160" i="16" s="1"/>
  <c r="CH93" i="16"/>
  <c r="DD92" i="16"/>
  <c r="CS50" i="16"/>
  <c r="CS446" i="16" s="1"/>
  <c r="E62" i="20" s="1"/>
  <c r="BR445" i="16"/>
  <c r="D44" i="20" s="1"/>
  <c r="CD27" i="16"/>
  <c r="BN27" i="16"/>
  <c r="BA400" i="16"/>
  <c r="BM400" i="16" s="1"/>
  <c r="AY400" i="16"/>
  <c r="CG401" i="16" s="1"/>
  <c r="BF400" i="16"/>
  <c r="BU401" i="16" s="1"/>
  <c r="AT400" i="16"/>
  <c r="CC401" i="16" s="1"/>
  <c r="BC400" i="16"/>
  <c r="CM401" i="16" s="1"/>
  <c r="BG407" i="16"/>
  <c r="CQ408" i="16" s="1"/>
  <c r="BG409" i="16"/>
  <c r="CQ410" i="16" s="1"/>
  <c r="BG404" i="16"/>
  <c r="CQ405" i="16" s="1"/>
  <c r="BG416" i="16"/>
  <c r="BH400" i="16"/>
  <c r="BQ400" i="16" s="1"/>
  <c r="CR401" i="16" s="1"/>
  <c r="BG400" i="16"/>
  <c r="BF401" i="16"/>
  <c r="CP402" i="16" s="1"/>
  <c r="BG411" i="16"/>
  <c r="BG406" i="16"/>
  <c r="CQ407" i="16" s="1"/>
  <c r="BG412" i="16"/>
  <c r="CQ413" i="16" s="1"/>
  <c r="BG410" i="16"/>
  <c r="BA401" i="16"/>
  <c r="AW402" i="16"/>
  <c r="CE403" i="16" s="1"/>
  <c r="AW403" i="16"/>
  <c r="CE404" i="16" s="1"/>
  <c r="BE404" i="16"/>
  <c r="BA405" i="16"/>
  <c r="AW406" i="16"/>
  <c r="CE407" i="16" s="1"/>
  <c r="AW407" i="16"/>
  <c r="CE408" i="16" s="1"/>
  <c r="AW408" i="16"/>
  <c r="CE409" i="16" s="1"/>
  <c r="AW409" i="16"/>
  <c r="CE410" i="16" s="1"/>
  <c r="AW410" i="16"/>
  <c r="CE411" i="16" s="1"/>
  <c r="BI410" i="16"/>
  <c r="BE411" i="16"/>
  <c r="BE412" i="16"/>
  <c r="BE413" i="16"/>
  <c r="BE414" i="16"/>
  <c r="BA415" i="16"/>
  <c r="BA416" i="16"/>
  <c r="BA417" i="16"/>
  <c r="AS404" i="16"/>
  <c r="CB405" i="16" s="1"/>
  <c r="BB400" i="16"/>
  <c r="AT402" i="16"/>
  <c r="AT403" i="16"/>
  <c r="BF403" i="16"/>
  <c r="CP404" i="16" s="1"/>
  <c r="BB404" i="16"/>
  <c r="AX405" i="16"/>
  <c r="CF406" i="16" s="1"/>
  <c r="AT406" i="16"/>
  <c r="AT407" i="16"/>
  <c r="BF407" i="16"/>
  <c r="CP408" i="16" s="1"/>
  <c r="BB408" i="16"/>
  <c r="BB409" i="16"/>
  <c r="BB410" i="16"/>
  <c r="AX411" i="16"/>
  <c r="CF412" i="16" s="1"/>
  <c r="AX412" i="16"/>
  <c r="CF413" i="16" s="1"/>
  <c r="AX413" i="16"/>
  <c r="CF414" i="16" s="1"/>
  <c r="AT415" i="16"/>
  <c r="AT416" i="16"/>
  <c r="CC417" i="16" s="1"/>
  <c r="BF416" i="16"/>
  <c r="CP417" i="16" s="1"/>
  <c r="BF417" i="16"/>
  <c r="CP418" i="16" s="1"/>
  <c r="BB418" i="16"/>
  <c r="AS409" i="16"/>
  <c r="BD403" i="16"/>
  <c r="CN404" i="16" s="1"/>
  <c r="BD405" i="16"/>
  <c r="CN406" i="16" s="1"/>
  <c r="BD407" i="16"/>
  <c r="CN408" i="16" s="1"/>
  <c r="BD409" i="16"/>
  <c r="BD411" i="16"/>
  <c r="BD413" i="16"/>
  <c r="BD415" i="16"/>
  <c r="BD417" i="16"/>
  <c r="AS411" i="16"/>
  <c r="CB412" i="16" s="1"/>
  <c r="AY404" i="16"/>
  <c r="CG405" i="16" s="1"/>
  <c r="AY408" i="16"/>
  <c r="CG409" i="16" s="1"/>
  <c r="AY412" i="16"/>
  <c r="AY416" i="16"/>
  <c r="AU403" i="16"/>
  <c r="CD404" i="16" s="1"/>
  <c r="AU407" i="16"/>
  <c r="CD408" i="16" s="1"/>
  <c r="AU410" i="16"/>
  <c r="CD411" i="16" s="1"/>
  <c r="AU414" i="16"/>
  <c r="CD415" i="16" s="1"/>
  <c r="AU418" i="16"/>
  <c r="CD419" i="16" s="1"/>
  <c r="AZ401" i="16"/>
  <c r="AZ404" i="16"/>
  <c r="CH405" i="16" s="1"/>
  <c r="AZ408" i="16"/>
  <c r="CH409" i="16" s="1"/>
  <c r="AZ412" i="16"/>
  <c r="CH413" i="16" s="1"/>
  <c r="AZ416" i="16"/>
  <c r="CH417" i="16" s="1"/>
  <c r="BC401" i="16"/>
  <c r="BC413" i="16"/>
  <c r="CM414" i="16" s="1"/>
  <c r="AS410" i="16"/>
  <c r="CB411" i="16" s="1"/>
  <c r="BC410" i="16"/>
  <c r="BH406" i="16"/>
  <c r="BH401" i="16"/>
  <c r="BH409" i="16"/>
  <c r="BH417" i="16"/>
  <c r="BC408" i="16"/>
  <c r="BH408" i="16"/>
  <c r="BG415" i="16"/>
  <c r="CQ416" i="16" s="1"/>
  <c r="BG402" i="16"/>
  <c r="BI400" i="16"/>
  <c r="BI401" i="16"/>
  <c r="AW404" i="16"/>
  <c r="CE405" i="16" s="1"/>
  <c r="AW405" i="16"/>
  <c r="CE406" i="16" s="1"/>
  <c r="BA406" i="16"/>
  <c r="BE407" i="16"/>
  <c r="BI408" i="16"/>
  <c r="BA412" i="16"/>
  <c r="BI413" i="16"/>
  <c r="AW415" i="16"/>
  <c r="CE416" i="16" s="1"/>
  <c r="AW416" i="16"/>
  <c r="CE417" i="16" s="1"/>
  <c r="BE417" i="16"/>
  <c r="BE418" i="16"/>
  <c r="AS416" i="16"/>
  <c r="CB417" i="16" s="1"/>
  <c r="AX402" i="16"/>
  <c r="CF403" i="16" s="1"/>
  <c r="AX403" i="16"/>
  <c r="CF404" i="16" s="1"/>
  <c r="AX404" i="16"/>
  <c r="BB405" i="16"/>
  <c r="BB406" i="16"/>
  <c r="BB407" i="16"/>
  <c r="BF408" i="16"/>
  <c r="CP409" i="16" s="1"/>
  <c r="AT410" i="16"/>
  <c r="CC411" i="16" s="1"/>
  <c r="BB412" i="16"/>
  <c r="BF413" i="16"/>
  <c r="CP414" i="16" s="1"/>
  <c r="BF414" i="16"/>
  <c r="CP415" i="16" s="1"/>
  <c r="AX417" i="16"/>
  <c r="CF418" i="16" s="1"/>
  <c r="AX418" i="16"/>
  <c r="CF419" i="16" s="1"/>
  <c r="AV401" i="16"/>
  <c r="AV403" i="16"/>
  <c r="AV406" i="16"/>
  <c r="BD408" i="16"/>
  <c r="AV411" i="16"/>
  <c r="AV414" i="16"/>
  <c r="BD416" i="16"/>
  <c r="AS403" i="16"/>
  <c r="CB404" i="16" s="1"/>
  <c r="AY405" i="16"/>
  <c r="AY410" i="16"/>
  <c r="AY415" i="16"/>
  <c r="AS414" i="16"/>
  <c r="CB415" i="16" s="1"/>
  <c r="AU405" i="16"/>
  <c r="CD406" i="16" s="1"/>
  <c r="AU415" i="16"/>
  <c r="CD416" i="16" s="1"/>
  <c r="AS418" i="16"/>
  <c r="CB419" i="16" s="1"/>
  <c r="AZ403" i="16"/>
  <c r="AZ409" i="16"/>
  <c r="CH410" i="16" s="1"/>
  <c r="AZ414" i="16"/>
  <c r="CH415" i="16" s="1"/>
  <c r="AS407" i="16"/>
  <c r="CB408" i="16" s="1"/>
  <c r="BC407" i="16"/>
  <c r="BC406" i="16"/>
  <c r="CM407" i="16" s="1"/>
  <c r="BH410" i="16"/>
  <c r="BH405" i="16"/>
  <c r="BH415" i="16"/>
  <c r="BC412" i="16"/>
  <c r="BH416" i="16"/>
  <c r="BE400" i="16"/>
  <c r="BG401" i="16"/>
  <c r="BG408" i="16"/>
  <c r="CQ409" i="16" s="1"/>
  <c r="BG418" i="16"/>
  <c r="AW401" i="16"/>
  <c r="CE402" i="16" s="1"/>
  <c r="BA402" i="16"/>
  <c r="BA403" i="16"/>
  <c r="BA404" i="16"/>
  <c r="BE405" i="16"/>
  <c r="BE406" i="16"/>
  <c r="CO407" i="16" s="1"/>
  <c r="BI407" i="16"/>
  <c r="BA409" i="16"/>
  <c r="BA410" i="16"/>
  <c r="BA411" i="16"/>
  <c r="BI412" i="16"/>
  <c r="AW414" i="16"/>
  <c r="CE415" i="16" s="1"/>
  <c r="BE416" i="16"/>
  <c r="DE416" i="16" s="1"/>
  <c r="BI417" i="16"/>
  <c r="BI418" i="16"/>
  <c r="AT401" i="16"/>
  <c r="BB402" i="16"/>
  <c r="BB403" i="16"/>
  <c r="BF404" i="16"/>
  <c r="CP405" i="16" s="1"/>
  <c r="BF405" i="16"/>
  <c r="CP406" i="16" s="1"/>
  <c r="BF406" i="16"/>
  <c r="CP407" i="16" s="1"/>
  <c r="AT409" i="16"/>
  <c r="CC410" i="16" s="1"/>
  <c r="AX410" i="16"/>
  <c r="BB411" i="16"/>
  <c r="BF412" i="16"/>
  <c r="CP413" i="16" s="1"/>
  <c r="AT414" i="16"/>
  <c r="CC415" i="16" s="1"/>
  <c r="AX415" i="16"/>
  <c r="CF416" i="16" s="1"/>
  <c r="AX416" i="16"/>
  <c r="CF417" i="16" s="1"/>
  <c r="BB417" i="16"/>
  <c r="BF418" i="16"/>
  <c r="CP419" i="16" s="1"/>
  <c r="AS413" i="16"/>
  <c r="BD401" i="16"/>
  <c r="AV404" i="16"/>
  <c r="BD406" i="16"/>
  <c r="CN407" i="16" s="1"/>
  <c r="AV409" i="16"/>
  <c r="AV412" i="16"/>
  <c r="BD414" i="16"/>
  <c r="AV417" i="16"/>
  <c r="AY401" i="16"/>
  <c r="AY406" i="16"/>
  <c r="AY411" i="16"/>
  <c r="AY417" i="16"/>
  <c r="AU401" i="16"/>
  <c r="CD402" i="16" s="1"/>
  <c r="AU406" i="16"/>
  <c r="CD407" i="16" s="1"/>
  <c r="AU411" i="16"/>
  <c r="CD412" i="16" s="1"/>
  <c r="AU416" i="16"/>
  <c r="CD417" i="16" s="1"/>
  <c r="AZ405" i="16"/>
  <c r="CH406" i="16" s="1"/>
  <c r="AZ410" i="16"/>
  <c r="CH411" i="16" s="1"/>
  <c r="AZ415" i="16"/>
  <c r="CH416" i="16" s="1"/>
  <c r="BC409" i="16"/>
  <c r="CM410" i="16" s="1"/>
  <c r="BC417" i="16"/>
  <c r="CM418" i="16" s="1"/>
  <c r="BC414" i="16"/>
  <c r="BH414" i="16"/>
  <c r="BH407" i="16"/>
  <c r="AS415" i="16"/>
  <c r="CB416" i="16" s="1"/>
  <c r="BC416" i="16"/>
  <c r="CM417" i="16" s="1"/>
  <c r="BA334" i="16"/>
  <c r="BM334" i="16" s="1"/>
  <c r="BS335" i="16" s="1"/>
  <c r="CT336" i="16" s="1"/>
  <c r="BF334" i="16"/>
  <c r="BC334" i="16"/>
  <c r="BF335" i="16"/>
  <c r="BG343" i="16"/>
  <c r="BG345" i="16"/>
  <c r="CQ346" i="16" s="1"/>
  <c r="BG346" i="16"/>
  <c r="CQ347" i="16" s="1"/>
  <c r="BG344" i="16"/>
  <c r="BG342" i="16"/>
  <c r="AY335" i="16"/>
  <c r="AY337" i="16"/>
  <c r="AU338" i="16"/>
  <c r="CD339" i="16" s="1"/>
  <c r="AY339" i="16"/>
  <c r="CG340" i="16" s="1"/>
  <c r="AY340" i="16"/>
  <c r="AY341" i="16"/>
  <c r="AY342" i="16"/>
  <c r="AY343" i="16"/>
  <c r="AY345" i="16"/>
  <c r="AY346" i="16"/>
  <c r="CG347" i="16" s="1"/>
  <c r="AY348" i="16"/>
  <c r="BC349" i="16"/>
  <c r="CM350" i="16" s="1"/>
  <c r="AS348" i="16"/>
  <c r="CB349" i="16" s="1"/>
  <c r="BD335" i="16"/>
  <c r="CN336" i="16" s="1"/>
  <c r="BD336" i="16"/>
  <c r="CN337" i="16" s="1"/>
  <c r="BD337" i="16"/>
  <c r="CN338" i="16" s="1"/>
  <c r="BD338" i="16"/>
  <c r="CN339" i="16" s="1"/>
  <c r="BD339" i="16"/>
  <c r="CN340" i="16" s="1"/>
  <c r="BD340" i="16"/>
  <c r="CN341" i="16" s="1"/>
  <c r="BD341" i="16"/>
  <c r="BD342" i="16"/>
  <c r="BD343" i="16"/>
  <c r="BD344" i="16"/>
  <c r="AZ345" i="16"/>
  <c r="CH346" i="16" s="1"/>
  <c r="AZ346" i="16"/>
  <c r="AZ347" i="16"/>
  <c r="CH348" i="16" s="1"/>
  <c r="AZ348" i="16"/>
  <c r="CH349" i="16" s="1"/>
  <c r="AZ349" i="16"/>
  <c r="CH350" i="16" s="1"/>
  <c r="AX334" i="16"/>
  <c r="AS334" i="16"/>
  <c r="AW334" i="16"/>
  <c r="CE335" i="16" s="1"/>
  <c r="AU334" i="16"/>
  <c r="CD335" i="16" s="1"/>
  <c r="BD334" i="16"/>
  <c r="AZ334" i="16"/>
  <c r="CH335" i="16" s="1"/>
  <c r="BG347" i="16"/>
  <c r="BG338" i="16"/>
  <c r="CQ339" i="16" s="1"/>
  <c r="BC335" i="16"/>
  <c r="CM336" i="16" s="1"/>
  <c r="AU337" i="16"/>
  <c r="CD338" i="16" s="1"/>
  <c r="AY338" i="16"/>
  <c r="AU341" i="16"/>
  <c r="CD342" i="16" s="1"/>
  <c r="BC342" i="16"/>
  <c r="CM343" i="16" s="1"/>
  <c r="AU345" i="16"/>
  <c r="CD346" i="16" s="1"/>
  <c r="BC346" i="16"/>
  <c r="BC347" i="16"/>
  <c r="CM348" i="16" s="1"/>
  <c r="AY349" i="16"/>
  <c r="AV334" i="16"/>
  <c r="AV336" i="16"/>
  <c r="AZ337" i="16"/>
  <c r="CH338" i="16" s="1"/>
  <c r="BH338" i="16"/>
  <c r="AV340" i="16"/>
  <c r="AZ341" i="16"/>
  <c r="CH342" i="16" s="1"/>
  <c r="BH342" i="16"/>
  <c r="AV344" i="16"/>
  <c r="AV345" i="16"/>
  <c r="BD346" i="16"/>
  <c r="BH347" i="16"/>
  <c r="AV349" i="16"/>
  <c r="AS341" i="16"/>
  <c r="CB342" i="16" s="1"/>
  <c r="AX338" i="16"/>
  <c r="CF339" i="16" s="1"/>
  <c r="BF339" i="16"/>
  <c r="CP340" i="16" s="1"/>
  <c r="AX341" i="16"/>
  <c r="CF342" i="16" s="1"/>
  <c r="AX343" i="16"/>
  <c r="CF344" i="16" s="1"/>
  <c r="AX345" i="16"/>
  <c r="CF346" i="16" s="1"/>
  <c r="AX347" i="16"/>
  <c r="CF348" i="16" s="1"/>
  <c r="AX349" i="16"/>
  <c r="CF350" i="16" s="1"/>
  <c r="BA336" i="16"/>
  <c r="BA338" i="16"/>
  <c r="BA340" i="16"/>
  <c r="BA342" i="16"/>
  <c r="BA344" i="16"/>
  <c r="BA346" i="16"/>
  <c r="BA348" i="16"/>
  <c r="AS342" i="16"/>
  <c r="CB343" i="16" s="1"/>
  <c r="BB337" i="16"/>
  <c r="BB341" i="16"/>
  <c r="BB345" i="16"/>
  <c r="BB349" i="16"/>
  <c r="AT338" i="16"/>
  <c r="AT348" i="16"/>
  <c r="CC349" i="16" s="1"/>
  <c r="AW337" i="16"/>
  <c r="CE338" i="16" s="1"/>
  <c r="AW347" i="16"/>
  <c r="CE348" i="16" s="1"/>
  <c r="BE336" i="16"/>
  <c r="BE341" i="16"/>
  <c r="BE345" i="16"/>
  <c r="BE349" i="16"/>
  <c r="AT337" i="16"/>
  <c r="AT347" i="16"/>
  <c r="AW338" i="16"/>
  <c r="CE339" i="16" s="1"/>
  <c r="AW348" i="16"/>
  <c r="CE349" i="16" s="1"/>
  <c r="BG341" i="16"/>
  <c r="CQ342" i="16" s="1"/>
  <c r="AY336" i="16"/>
  <c r="AU340" i="16"/>
  <c r="CD341" i="16" s="1"/>
  <c r="BC343" i="16"/>
  <c r="CM344" i="16" s="1"/>
  <c r="BC345" i="16"/>
  <c r="CM346" i="16" s="1"/>
  <c r="AU347" i="16"/>
  <c r="CD348" i="16" s="1"/>
  <c r="AU349" i="16"/>
  <c r="CD350" i="16" s="1"/>
  <c r="AV335" i="16"/>
  <c r="BH336" i="16"/>
  <c r="AZ338" i="16"/>
  <c r="CH339" i="16" s="1"/>
  <c r="AZ340" i="16"/>
  <c r="CH341" i="16" s="1"/>
  <c r="AV342" i="16"/>
  <c r="BH343" i="16"/>
  <c r="BD345" i="16"/>
  <c r="AV347" i="16"/>
  <c r="BH348" i="16"/>
  <c r="AX336" i="16"/>
  <c r="AX340" i="16"/>
  <c r="CF341" i="16" s="1"/>
  <c r="AX342" i="16"/>
  <c r="CF343" i="16" s="1"/>
  <c r="BF344" i="16"/>
  <c r="CP345" i="16" s="1"/>
  <c r="BF347" i="16"/>
  <c r="CP348" i="16" s="1"/>
  <c r="AS339" i="16"/>
  <c r="CB340" i="16" s="1"/>
  <c r="BI335" i="16"/>
  <c r="BI338" i="16"/>
  <c r="BA341" i="16"/>
  <c r="BI343" i="16"/>
  <c r="BI346" i="16"/>
  <c r="BA349" i="16"/>
  <c r="BB336" i="16"/>
  <c r="BB342" i="16"/>
  <c r="BB347" i="16"/>
  <c r="AT336" i="16"/>
  <c r="AT344" i="16"/>
  <c r="CC345" i="16" s="1"/>
  <c r="AW341" i="16"/>
  <c r="CE342" i="16" s="1"/>
  <c r="AW349" i="16"/>
  <c r="CE350" i="16" s="1"/>
  <c r="BE337" i="16"/>
  <c r="BE346" i="16"/>
  <c r="AT341" i="16"/>
  <c r="AT349" i="16"/>
  <c r="AW340" i="16"/>
  <c r="CE341" i="16" s="1"/>
  <c r="AY334" i="16"/>
  <c r="BG337" i="16"/>
  <c r="CQ338" i="16" s="1"/>
  <c r="BG336" i="16"/>
  <c r="CQ337" i="16" s="1"/>
  <c r="AU335" i="16"/>
  <c r="CD336" i="16" s="1"/>
  <c r="BC336" i="16"/>
  <c r="BC338" i="16"/>
  <c r="BC340" i="16"/>
  <c r="CM341" i="16" s="1"/>
  <c r="AU342" i="16"/>
  <c r="CD343" i="16" s="1"/>
  <c r="AU344" i="16"/>
  <c r="CD345" i="16" s="1"/>
  <c r="AY347" i="16"/>
  <c r="AS336" i="16"/>
  <c r="CB337" i="16" s="1"/>
  <c r="AZ335" i="16"/>
  <c r="AV337" i="16"/>
  <c r="AV339" i="16"/>
  <c r="BH340" i="16"/>
  <c r="AZ342" i="16"/>
  <c r="CH343" i="16" s="1"/>
  <c r="AZ344" i="16"/>
  <c r="CH345" i="16" s="1"/>
  <c r="BH345" i="16"/>
  <c r="BD347" i="16"/>
  <c r="BD349" i="16"/>
  <c r="AS345" i="16"/>
  <c r="BF336" i="16"/>
  <c r="BF338" i="16"/>
  <c r="CP339" i="16" s="1"/>
  <c r="BF340" i="16"/>
  <c r="CP341" i="16" s="1"/>
  <c r="BF342" i="16"/>
  <c r="CP343" i="16" s="1"/>
  <c r="BF345" i="16"/>
  <c r="CP346" i="16" s="1"/>
  <c r="AX348" i="16"/>
  <c r="CF349" i="16" s="1"/>
  <c r="AS347" i="16"/>
  <c r="CB348" i="16" s="1"/>
  <c r="BI336" i="16"/>
  <c r="BA339" i="16"/>
  <c r="BI341" i="16"/>
  <c r="BI344" i="16"/>
  <c r="BA347" i="16"/>
  <c r="BI349" i="16"/>
  <c r="BB338" i="16"/>
  <c r="BB343" i="16"/>
  <c r="BB348" i="16"/>
  <c r="AT346" i="16"/>
  <c r="AW335" i="16"/>
  <c r="CE336" i="16" s="1"/>
  <c r="AW343" i="16"/>
  <c r="CE344" i="16" s="1"/>
  <c r="BE338" i="16"/>
  <c r="BE342" i="16"/>
  <c r="BE347" i="16"/>
  <c r="AT335" i="16"/>
  <c r="CC336" i="16" s="1"/>
  <c r="AT343" i="16"/>
  <c r="DB343" i="16" s="1"/>
  <c r="AW342" i="16"/>
  <c r="CE343" i="16" s="1"/>
  <c r="AS338" i="16"/>
  <c r="CB339" i="16" s="1"/>
  <c r="AY136" i="16"/>
  <c r="BD136" i="16"/>
  <c r="CN137" i="16" s="1"/>
  <c r="BE136" i="16"/>
  <c r="BT137" i="16" s="1"/>
  <c r="CU138" i="16" s="1"/>
  <c r="BG136" i="16"/>
  <c r="BG137" i="16"/>
  <c r="AX137" i="16"/>
  <c r="CF138" i="16" s="1"/>
  <c r="BF138" i="16"/>
  <c r="CP139" i="16" s="1"/>
  <c r="BF139" i="16"/>
  <c r="CP140" i="16" s="1"/>
  <c r="BF140" i="16"/>
  <c r="CP141" i="16" s="1"/>
  <c r="BB141" i="16"/>
  <c r="AX142" i="16"/>
  <c r="CF143" i="16" s="1"/>
  <c r="AS141" i="16"/>
  <c r="CB142" i="16" s="1"/>
  <c r="AV138" i="16"/>
  <c r="AV141" i="16"/>
  <c r="AY138" i="16"/>
  <c r="CG139" i="16" s="1"/>
  <c r="AY140" i="16"/>
  <c r="CG141" i="16" s="1"/>
  <c r="BC141" i="16"/>
  <c r="AS142" i="16"/>
  <c r="CB143" i="16" s="1"/>
  <c r="AZ139" i="16"/>
  <c r="CH140" i="16" s="1"/>
  <c r="BH141" i="16"/>
  <c r="BA139" i="16"/>
  <c r="BE141" i="16"/>
  <c r="AW139" i="16"/>
  <c r="CE140" i="16" s="1"/>
  <c r="AW142" i="16"/>
  <c r="CE143" i="16" s="1"/>
  <c r="BE138" i="16"/>
  <c r="BI136" i="16"/>
  <c r="BI141" i="16"/>
  <c r="BH136" i="16"/>
  <c r="BQ136" i="16" s="1"/>
  <c r="CR137" i="16" s="1"/>
  <c r="BG141" i="16"/>
  <c r="CQ142" i="16" s="1"/>
  <c r="AT137" i="16"/>
  <c r="AX138" i="16"/>
  <c r="CF139" i="16" s="1"/>
  <c r="AT140" i="16"/>
  <c r="CC141" i="16" s="1"/>
  <c r="AT141" i="16"/>
  <c r="BD139" i="16"/>
  <c r="CN140" i="16" s="1"/>
  <c r="AS139" i="16"/>
  <c r="CB140" i="16" s="1"/>
  <c r="BC138" i="16"/>
  <c r="CM139" i="16" s="1"/>
  <c r="BC142" i="16"/>
  <c r="CM143" i="16" s="1"/>
  <c r="BH139" i="16"/>
  <c r="BA137" i="16"/>
  <c r="BE139" i="16"/>
  <c r="CO140" i="16" s="1"/>
  <c r="AW140" i="16"/>
  <c r="CE141" i="16" s="1"/>
  <c r="AS140" i="16"/>
  <c r="CB141" i="16" s="1"/>
  <c r="BE142" i="16"/>
  <c r="CO143" i="16" s="1"/>
  <c r="BI142" i="16"/>
  <c r="BG138" i="16"/>
  <c r="BF141" i="16"/>
  <c r="CP142" i="16" s="1"/>
  <c r="AS137" i="16"/>
  <c r="CB138" i="16" s="1"/>
  <c r="AV140" i="16"/>
  <c r="BC137" i="16"/>
  <c r="BC140" i="16"/>
  <c r="CM141" i="16" s="1"/>
  <c r="BH137" i="16"/>
  <c r="AZ141" i="16"/>
  <c r="CH142" i="16" s="1"/>
  <c r="BA142" i="16"/>
  <c r="BE140" i="16"/>
  <c r="CO141" i="16" s="1"/>
  <c r="BI140" i="16"/>
  <c r="AT139" i="16"/>
  <c r="CC140" i="16" s="1"/>
  <c r="AX140" i="16"/>
  <c r="CF141" i="16" s="1"/>
  <c r="AT142" i="16"/>
  <c r="CC143" i="16" s="1"/>
  <c r="AV136" i="16"/>
  <c r="BD141" i="16"/>
  <c r="CN142" i="16" s="1"/>
  <c r="AY141" i="16"/>
  <c r="CG142" i="16" s="1"/>
  <c r="AZ138" i="16"/>
  <c r="CH139" i="16" s="1"/>
  <c r="AZ142" i="16"/>
  <c r="CH143" i="16" s="1"/>
  <c r="AW137" i="16"/>
  <c r="CE138" i="16" s="1"/>
  <c r="AW141" i="16"/>
  <c r="CE142" i="16" s="1"/>
  <c r="C175" i="6"/>
  <c r="O81" i="16" s="1"/>
  <c r="E67" i="13"/>
  <c r="C12" i="31"/>
  <c r="C9" i="25"/>
  <c r="AC143" i="16"/>
  <c r="AW143" i="16" s="1"/>
  <c r="CE144" i="16" s="1"/>
  <c r="AX370" i="16"/>
  <c r="CF371" i="16" s="1"/>
  <c r="AU371" i="16"/>
  <c r="CD372" i="16" s="1"/>
  <c r="AU357" i="16"/>
  <c r="CD358" i="16" s="1"/>
  <c r="BF366" i="16"/>
  <c r="CP367" i="16" s="1"/>
  <c r="BF360" i="16"/>
  <c r="CP361" i="16" s="1"/>
  <c r="AX363" i="16"/>
  <c r="CF364" i="16" s="1"/>
  <c r="AU364" i="16"/>
  <c r="CD365" i="16" s="1"/>
  <c r="BC370" i="16"/>
  <c r="AT372" i="16"/>
  <c r="BB367" i="16"/>
  <c r="AT364" i="16"/>
  <c r="AT360" i="16"/>
  <c r="CC361" i="16" s="1"/>
  <c r="AY372" i="16"/>
  <c r="AY362" i="16"/>
  <c r="BI372" i="16"/>
  <c r="BA370" i="16"/>
  <c r="BI367" i="16"/>
  <c r="BA365" i="16"/>
  <c r="BH371" i="16"/>
  <c r="AV369" i="16"/>
  <c r="AZ366" i="16"/>
  <c r="CH367" i="16" s="1"/>
  <c r="BH363" i="16"/>
  <c r="AV361" i="16"/>
  <c r="AZ358" i="16"/>
  <c r="CH359" i="16" s="1"/>
  <c r="AT185" i="16"/>
  <c r="CC186" i="16" s="1"/>
  <c r="BF184" i="16"/>
  <c r="CP185" i="16" s="1"/>
  <c r="BB186" i="16"/>
  <c r="BA185" i="16"/>
  <c r="AZ188" i="16"/>
  <c r="CH189" i="16" s="1"/>
  <c r="BH184" i="16"/>
  <c r="BD181" i="16"/>
  <c r="CN182" i="16" s="1"/>
  <c r="BE185" i="16"/>
  <c r="CO186" i="16" s="1"/>
  <c r="BE181" i="16"/>
  <c r="AU186" i="16"/>
  <c r="CD187" i="16" s="1"/>
  <c r="BC181" i="16"/>
  <c r="CM182" i="16" s="1"/>
  <c r="AW165" i="16"/>
  <c r="CE166" i="16" s="1"/>
  <c r="BE161" i="16"/>
  <c r="CO162" i="16" s="1"/>
  <c r="BI161" i="16"/>
  <c r="BD162" i="16"/>
  <c r="CN163" i="16" s="1"/>
  <c r="AY163" i="16"/>
  <c r="CG164" i="16" s="1"/>
  <c r="BC160" i="16"/>
  <c r="BH164" i="16"/>
  <c r="BH159" i="16"/>
  <c r="AT164" i="16"/>
  <c r="CC165" i="16" s="1"/>
  <c r="AX161" i="16"/>
  <c r="CF162" i="16" s="1"/>
  <c r="BC404" i="16"/>
  <c r="BH418" i="16"/>
  <c r="BC402" i="16"/>
  <c r="BC403" i="16"/>
  <c r="AZ411" i="16"/>
  <c r="CH412" i="16" s="1"/>
  <c r="AZ402" i="16"/>
  <c r="CH403" i="16" s="1"/>
  <c r="AU412" i="16"/>
  <c r="CD413" i="16" s="1"/>
  <c r="AU402" i="16"/>
  <c r="CD403" i="16" s="1"/>
  <c r="AY413" i="16"/>
  <c r="AY402" i="16"/>
  <c r="AV415" i="16"/>
  <c r="AV410" i="16"/>
  <c r="BD404" i="16"/>
  <c r="CN405" i="16" s="1"/>
  <c r="AS417" i="16"/>
  <c r="CB418" i="16" s="1"/>
  <c r="AT418" i="16"/>
  <c r="BB415" i="16"/>
  <c r="AT413" i="16"/>
  <c r="BF410" i="16"/>
  <c r="CP411" i="16" s="1"/>
  <c r="AT408" i="16"/>
  <c r="AX401" i="16"/>
  <c r="CF402" i="16" s="1"/>
  <c r="AW418" i="16"/>
  <c r="CE419" i="16" s="1"/>
  <c r="BE415" i="16"/>
  <c r="AW413" i="16"/>
  <c r="CE414" i="16" s="1"/>
  <c r="BE410" i="16"/>
  <c r="BA408" i="16"/>
  <c r="BE403" i="16"/>
  <c r="BE401" i="16"/>
  <c r="AW344" i="16"/>
  <c r="CE345" i="16" s="1"/>
  <c r="AT345" i="16"/>
  <c r="CC346" i="16" s="1"/>
  <c r="BE348" i="16"/>
  <c r="BE339" i="16"/>
  <c r="CO340" i="16" s="1"/>
  <c r="AW345" i="16"/>
  <c r="CE346" i="16" s="1"/>
  <c r="AS343" i="16"/>
  <c r="CB344" i="16" s="1"/>
  <c r="BB339" i="16"/>
  <c r="BI347" i="16"/>
  <c r="BI342" i="16"/>
  <c r="BA337" i="16"/>
  <c r="BF348" i="16"/>
  <c r="CP349" i="16" s="1"/>
  <c r="BF343" i="16"/>
  <c r="CP344" i="16" s="1"/>
  <c r="AS349" i="16"/>
  <c r="CB350" i="16" s="1"/>
  <c r="AV348" i="16"/>
  <c r="AV341" i="16"/>
  <c r="BH337" i="16"/>
  <c r="AS340" i="16"/>
  <c r="CB341" i="16" s="1"/>
  <c r="AU346" i="16"/>
  <c r="CD347" i="16" s="1"/>
  <c r="AU339" i="16"/>
  <c r="CD340" i="16" s="1"/>
  <c r="BI137" i="16"/>
  <c r="AW138" i="16"/>
  <c r="CE139" i="16" s="1"/>
  <c r="AY139" i="16"/>
  <c r="BD137" i="16"/>
  <c r="CN138" i="16" s="1"/>
  <c r="BG357" i="16"/>
  <c r="CQ358" i="16" s="1"/>
  <c r="BG186" i="16"/>
  <c r="CQ187" i="16" s="1"/>
  <c r="BG417" i="16"/>
  <c r="CQ418" i="16" s="1"/>
  <c r="CQ226" i="16"/>
  <c r="O39" i="11"/>
  <c r="C291" i="6" s="1"/>
  <c r="C199" i="6"/>
  <c r="F73" i="11" s="1"/>
  <c r="CC28" i="16"/>
  <c r="DC27" i="16"/>
  <c r="DB27" i="16"/>
  <c r="DF115" i="16"/>
  <c r="CM116" i="16"/>
  <c r="CG116" i="16"/>
  <c r="CD116" i="16"/>
  <c r="CO74" i="16"/>
  <c r="DD73" i="16"/>
  <c r="CP73" i="16"/>
  <c r="DE72" i="16"/>
  <c r="CT445" i="16"/>
  <c r="D63" i="20" s="1"/>
  <c r="D69" i="18"/>
  <c r="D66" i="31"/>
  <c r="D62" i="31"/>
  <c r="D65" i="18"/>
  <c r="BC136" i="16"/>
  <c r="CM71" i="16"/>
  <c r="DG70" i="16"/>
  <c r="DF70" i="16"/>
  <c r="AT334" i="16"/>
  <c r="BG334" i="16"/>
  <c r="BG158" i="16"/>
  <c r="BW159" i="16" s="1"/>
  <c r="BD400" i="16"/>
  <c r="U190" i="16"/>
  <c r="U141" i="16"/>
  <c r="AX364" i="16"/>
  <c r="CF365" i="16" s="1"/>
  <c r="BF371" i="16"/>
  <c r="CP372" i="16" s="1"/>
  <c r="BF358" i="16"/>
  <c r="CP359" i="16" s="1"/>
  <c r="AU372" i="16"/>
  <c r="CD373" i="16" s="1"/>
  <c r="BC368" i="16"/>
  <c r="BB370" i="16"/>
  <c r="AT366" i="16"/>
  <c r="BB362" i="16"/>
  <c r="AT358" i="16"/>
  <c r="AY368" i="16"/>
  <c r="AY358" i="16"/>
  <c r="CG359" i="16" s="1"/>
  <c r="AW372" i="16"/>
  <c r="CE373" i="16" s="1"/>
  <c r="BA369" i="16"/>
  <c r="AW367" i="16"/>
  <c r="CE368" i="16" s="1"/>
  <c r="BA364" i="16"/>
  <c r="BI361" i="16"/>
  <c r="AW360" i="16"/>
  <c r="CE361" i="16" s="1"/>
  <c r="AW358" i="16"/>
  <c r="CE359" i="16" s="1"/>
  <c r="AS363" i="16"/>
  <c r="CB364" i="16" s="1"/>
  <c r="BH370" i="16"/>
  <c r="AV368" i="16"/>
  <c r="AZ365" i="16"/>
  <c r="CH366" i="16" s="1"/>
  <c r="BH362" i="16"/>
  <c r="AV360" i="16"/>
  <c r="AZ357" i="16"/>
  <c r="BP358" i="16" s="1"/>
  <c r="BF182" i="16"/>
  <c r="CP183" i="16" s="1"/>
  <c r="BB183" i="16"/>
  <c r="BA184" i="16"/>
  <c r="BH187" i="16"/>
  <c r="AZ184" i="16"/>
  <c r="CH185" i="16" s="1"/>
  <c r="AZ181" i="16"/>
  <c r="CH182" i="16" s="1"/>
  <c r="AW185" i="16"/>
  <c r="CE186" i="16" s="1"/>
  <c r="AS186" i="16"/>
  <c r="CB187" i="16" s="1"/>
  <c r="AY181" i="16"/>
  <c r="CM428" i="16"/>
  <c r="CB429" i="16"/>
  <c r="BA164" i="16"/>
  <c r="AW161" i="16"/>
  <c r="CE162" i="16" s="1"/>
  <c r="AS161" i="16"/>
  <c r="BD160" i="16"/>
  <c r="CN161" i="16" s="1"/>
  <c r="AY162" i="16"/>
  <c r="CG163" i="16" s="1"/>
  <c r="BC159" i="16"/>
  <c r="BH162" i="16"/>
  <c r="BF165" i="16"/>
  <c r="CP166" i="16" s="1"/>
  <c r="AT163" i="16"/>
  <c r="BB160" i="16"/>
  <c r="BH412" i="16"/>
  <c r="BH413" i="16"/>
  <c r="BH402" i="16"/>
  <c r="BC415" i="16"/>
  <c r="AZ418" i="16"/>
  <c r="AZ407" i="16"/>
  <c r="CH408" i="16" s="1"/>
  <c r="AS402" i="16"/>
  <c r="CB403" i="16" s="1"/>
  <c r="AU409" i="16"/>
  <c r="CD410" i="16" s="1"/>
  <c r="AS406" i="16"/>
  <c r="CB407" i="16" s="1"/>
  <c r="AY409" i="16"/>
  <c r="BD418" i="16"/>
  <c r="AV413" i="16"/>
  <c r="AV408" i="16"/>
  <c r="BD402" i="16"/>
  <c r="AS405" i="16"/>
  <c r="CB406" i="16" s="1"/>
  <c r="AT417" i="16"/>
  <c r="CC418" i="16" s="1"/>
  <c r="BB414" i="16"/>
  <c r="AT412" i="16"/>
  <c r="CC413" i="16" s="1"/>
  <c r="BF409" i="16"/>
  <c r="CP410" i="16" s="1"/>
  <c r="AX407" i="16"/>
  <c r="CF408" i="16" s="1"/>
  <c r="AS412" i="16"/>
  <c r="CB413" i="16" s="1"/>
  <c r="AW417" i="16"/>
  <c r="CE418" i="16" s="1"/>
  <c r="BI414" i="16"/>
  <c r="AW412" i="16"/>
  <c r="CE413" i="16" s="1"/>
  <c r="BI409" i="16"/>
  <c r="BA407" i="16"/>
  <c r="BI404" i="16"/>
  <c r="BI402" i="16"/>
  <c r="AT339" i="16"/>
  <c r="BE344" i="16"/>
  <c r="AW339" i="16"/>
  <c r="CE340" i="16" s="1"/>
  <c r="AT342" i="16"/>
  <c r="CC343" i="16" s="1"/>
  <c r="BB346" i="16"/>
  <c r="BB335" i="16"/>
  <c r="BI345" i="16"/>
  <c r="BI340" i="16"/>
  <c r="BA335" i="16"/>
  <c r="BF346" i="16"/>
  <c r="CP347" i="16" s="1"/>
  <c r="BF341" i="16"/>
  <c r="CP342" i="16" s="1"/>
  <c r="BF337" i="16"/>
  <c r="AS337" i="16"/>
  <c r="CB338" i="16" s="1"/>
  <c r="BH346" i="16"/>
  <c r="AZ343" i="16"/>
  <c r="CH344" i="16" s="1"/>
  <c r="BH339" i="16"/>
  <c r="AZ336" i="16"/>
  <c r="CH337" i="16" s="1"/>
  <c r="BC348" i="16"/>
  <c r="CM349" i="16" s="1"/>
  <c r="BC344" i="16"/>
  <c r="BC341" i="16"/>
  <c r="CM342" i="16" s="1"/>
  <c r="BC337" i="16"/>
  <c r="BE137" i="16"/>
  <c r="CO138" i="16" s="1"/>
  <c r="BA141" i="16"/>
  <c r="AY142" i="16"/>
  <c r="CG143" i="16" s="1"/>
  <c r="AU137" i="16"/>
  <c r="CD138" i="16" s="1"/>
  <c r="BB139" i="16"/>
  <c r="BG372" i="16"/>
  <c r="BG348" i="16"/>
  <c r="BG339" i="16"/>
  <c r="CQ340" i="16" s="1"/>
  <c r="BG405" i="16"/>
  <c r="CQ406" i="16" s="1"/>
  <c r="BG403" i="16"/>
  <c r="CQ404" i="16" s="1"/>
  <c r="DE73" i="16"/>
  <c r="DB94" i="16"/>
  <c r="DD95" i="16"/>
  <c r="CN117" i="16"/>
  <c r="DB116" i="16"/>
  <c r="DG115" i="16"/>
  <c r="D53" i="18"/>
  <c r="CB347" i="16"/>
  <c r="CB277" i="16"/>
  <c r="F203" i="16"/>
  <c r="CY445" i="16"/>
  <c r="D68" i="20" s="1"/>
  <c r="CX445" i="16"/>
  <c r="D67" i="20" s="1"/>
  <c r="D67" i="32" s="1"/>
  <c r="D28" i="31"/>
  <c r="D31" i="18"/>
  <c r="AT158" i="16"/>
  <c r="DC48" i="16"/>
  <c r="DC114" i="16"/>
  <c r="DB26" i="16"/>
  <c r="DG26" i="16"/>
  <c r="BO71" i="16"/>
  <c r="CK72" i="16" s="1"/>
  <c r="CG71" i="16"/>
  <c r="U184" i="16"/>
  <c r="AH166" i="16"/>
  <c r="BB166" i="16" s="1"/>
  <c r="DG50" i="16"/>
  <c r="CM51" i="16"/>
  <c r="CG51" i="16"/>
  <c r="DD50" i="16"/>
  <c r="CO50" i="16"/>
  <c r="DE49" i="16"/>
  <c r="CM95" i="16"/>
  <c r="DF94" i="16"/>
  <c r="G203" i="16"/>
  <c r="E65" i="18"/>
  <c r="E62" i="31"/>
  <c r="CL445" i="16"/>
  <c r="D33" i="20" s="1"/>
  <c r="D33" i="33" s="1"/>
  <c r="CQ115" i="16"/>
  <c r="BW115" i="16"/>
  <c r="CX116" i="16" s="1"/>
  <c r="CN115" i="16"/>
  <c r="DG114" i="16"/>
  <c r="AX268" i="16"/>
  <c r="BM269" i="16" s="1"/>
  <c r="AT268" i="16"/>
  <c r="BC268" i="16"/>
  <c r="CM269" i="16" s="1"/>
  <c r="BG280" i="16"/>
  <c r="BG269" i="16"/>
  <c r="CQ270" i="16" s="1"/>
  <c r="BG270" i="16"/>
  <c r="CQ271" i="16" s="1"/>
  <c r="AY268" i="16"/>
  <c r="BE268" i="16"/>
  <c r="CO269" i="16" s="1"/>
  <c r="BG274" i="16"/>
  <c r="CQ275" i="16" s="1"/>
  <c r="BG273" i="16"/>
  <c r="BG271" i="16"/>
  <c r="CQ272" i="16" s="1"/>
  <c r="BI268" i="16"/>
  <c r="BE269" i="16"/>
  <c r="CO270" i="16" s="1"/>
  <c r="BA270" i="16"/>
  <c r="AW271" i="16"/>
  <c r="CE272" i="16" s="1"/>
  <c r="BI271" i="16"/>
  <c r="BE272" i="16"/>
  <c r="CO273" i="16" s="1"/>
  <c r="BA273" i="16"/>
  <c r="BA274" i="16"/>
  <c r="AW276" i="16"/>
  <c r="CE277" i="16" s="1"/>
  <c r="AW277" i="16"/>
  <c r="CE278" i="16" s="1"/>
  <c r="AW278" i="16"/>
  <c r="AW279" i="16"/>
  <c r="CE280" i="16" s="1"/>
  <c r="BI279" i="16"/>
  <c r="BI280" i="16"/>
  <c r="AS280" i="16"/>
  <c r="AX269" i="16"/>
  <c r="AX270" i="16"/>
  <c r="CF271" i="16" s="1"/>
  <c r="AT271" i="16"/>
  <c r="AT272" i="16"/>
  <c r="AT273" i="16"/>
  <c r="AT274" i="16"/>
  <c r="CC275" i="16" s="1"/>
  <c r="AT275" i="16"/>
  <c r="CC276" i="16" s="1"/>
  <c r="AT276" i="16"/>
  <c r="AT277" i="16"/>
  <c r="CC278" i="16" s="1"/>
  <c r="BF277" i="16"/>
  <c r="CP278" i="16" s="1"/>
  <c r="BF278" i="16"/>
  <c r="BB279" i="16"/>
  <c r="BB280" i="16"/>
  <c r="AY270" i="16"/>
  <c r="CG271" i="16" s="1"/>
  <c r="AY273" i="16"/>
  <c r="CG274" i="16" s="1"/>
  <c r="AY279" i="16"/>
  <c r="BC270" i="16"/>
  <c r="BC273" i="16"/>
  <c r="BC277" i="16"/>
  <c r="AV269" i="16"/>
  <c r="AV273" i="16"/>
  <c r="AV277" i="16"/>
  <c r="AS271" i="16"/>
  <c r="CB272" i="16" s="1"/>
  <c r="AZ270" i="16"/>
  <c r="BH271" i="16"/>
  <c r="BH273" i="16"/>
  <c r="BH275" i="16"/>
  <c r="BH277" i="16"/>
  <c r="BH279" i="16"/>
  <c r="AU269" i="16"/>
  <c r="CD270" i="16" s="1"/>
  <c r="AU273" i="16"/>
  <c r="CD274" i="16" s="1"/>
  <c r="AU277" i="16"/>
  <c r="CD278" i="16" s="1"/>
  <c r="AS270" i="16"/>
  <c r="BD271" i="16"/>
  <c r="BD275" i="16"/>
  <c r="CN276" i="16" s="1"/>
  <c r="BD279" i="16"/>
  <c r="C43" i="13"/>
  <c r="C51" i="13" s="1"/>
  <c r="AN4" i="16"/>
  <c r="BH4" i="16" s="1"/>
  <c r="BQ4" i="16" s="1"/>
  <c r="CR5" i="16" s="1"/>
  <c r="C3" i="31"/>
  <c r="D3" i="13"/>
  <c r="D12" i="13"/>
  <c r="E25" i="13" s="1"/>
  <c r="C8" i="25"/>
  <c r="U30" i="16"/>
  <c r="U92" i="16"/>
  <c r="U97" i="16"/>
  <c r="U119" i="16"/>
  <c r="CH432" i="16"/>
  <c r="AS279" i="16"/>
  <c r="CB280" i="16" s="1"/>
  <c r="BD277" i="16"/>
  <c r="BD272" i="16"/>
  <c r="CN273" i="16" s="1"/>
  <c r="AU280" i="16"/>
  <c r="CD281" i="16" s="1"/>
  <c r="AU275" i="16"/>
  <c r="CD276" i="16" s="1"/>
  <c r="AU270" i="16"/>
  <c r="CD271" i="16" s="1"/>
  <c r="AZ279" i="16"/>
  <c r="CH280" i="16" s="1"/>
  <c r="BH276" i="16"/>
  <c r="AZ274" i="16"/>
  <c r="CH275" i="16" s="1"/>
  <c r="AZ271" i="16"/>
  <c r="AZ269" i="16"/>
  <c r="AV278" i="16"/>
  <c r="AV272" i="16"/>
  <c r="AS278" i="16"/>
  <c r="CB279" i="16" s="1"/>
  <c r="BC272" i="16"/>
  <c r="AS274" i="16"/>
  <c r="CB275" i="16" s="1"/>
  <c r="AY276" i="16"/>
  <c r="AY272" i="16"/>
  <c r="CG273" i="16" s="1"/>
  <c r="AY269" i="16"/>
  <c r="BF280" i="16"/>
  <c r="AX279" i="16"/>
  <c r="CF280" i="16" s="1"/>
  <c r="AX278" i="16"/>
  <c r="CF279" i="16" s="1"/>
  <c r="BF275" i="16"/>
  <c r="BB274" i="16"/>
  <c r="AX273" i="16"/>
  <c r="CF274" i="16" s="1"/>
  <c r="BF271" i="16"/>
  <c r="CP272" i="16" s="1"/>
  <c r="BF270" i="16"/>
  <c r="BB269" i="16"/>
  <c r="BA280" i="16"/>
  <c r="BI277" i="16"/>
  <c r="BE276" i="16"/>
  <c r="BA275" i="16"/>
  <c r="AW274" i="16"/>
  <c r="CE275" i="16" s="1"/>
  <c r="AW273" i="16"/>
  <c r="CE274" i="16" s="1"/>
  <c r="AW272" i="16"/>
  <c r="CE273" i="16" s="1"/>
  <c r="BI270" i="16"/>
  <c r="AW270" i="16"/>
  <c r="CE271" i="16" s="1"/>
  <c r="AW269" i="16"/>
  <c r="CE270" i="16" s="1"/>
  <c r="BG277" i="16"/>
  <c r="BG276" i="16"/>
  <c r="DG94" i="16"/>
  <c r="AK74" i="16"/>
  <c r="BE74" i="16" s="1"/>
  <c r="CO75" i="16" s="1"/>
  <c r="AH74" i="16"/>
  <c r="BB74" i="16" s="1"/>
  <c r="AO74" i="16"/>
  <c r="BI74" i="16" s="1"/>
  <c r="AH97" i="16"/>
  <c r="BB97" i="16" s="1"/>
  <c r="U120" i="16"/>
  <c r="CC51" i="16"/>
  <c r="DB50" i="16"/>
  <c r="DJ93" i="16"/>
  <c r="DD96" i="16"/>
  <c r="CO94" i="16"/>
  <c r="DE93" i="16"/>
  <c r="DB93" i="16"/>
  <c r="CC94" i="16"/>
  <c r="CM120" i="16"/>
  <c r="DG119" i="16"/>
  <c r="DF119" i="16"/>
  <c r="DJ119" i="16"/>
  <c r="BF269" i="16"/>
  <c r="CP270" i="16" s="1"/>
  <c r="BU72" i="16"/>
  <c r="CV73" i="16" s="1"/>
  <c r="CV72" i="16"/>
  <c r="BD268" i="16"/>
  <c r="BG422" i="16"/>
  <c r="AZ422" i="16"/>
  <c r="CH423" i="16" s="1"/>
  <c r="BG433" i="16"/>
  <c r="CQ434" i="16" s="1"/>
  <c r="BG426" i="16"/>
  <c r="CQ427" i="16" s="1"/>
  <c r="BG423" i="16"/>
  <c r="BG432" i="16"/>
  <c r="AX422" i="16"/>
  <c r="CF423" i="16" s="1"/>
  <c r="AU422" i="16"/>
  <c r="CD423" i="16" s="1"/>
  <c r="BC422" i="16"/>
  <c r="BE422" i="16"/>
  <c r="AS422" i="16"/>
  <c r="CB423" i="16" s="1"/>
  <c r="BG425" i="16"/>
  <c r="CQ426" i="16" s="1"/>
  <c r="BG441" i="16"/>
  <c r="BG436" i="16"/>
  <c r="BG431" i="16"/>
  <c r="CQ432" i="16" s="1"/>
  <c r="BI422" i="16"/>
  <c r="BA424" i="16"/>
  <c r="AW426" i="16"/>
  <c r="CE427" i="16" s="1"/>
  <c r="BI426" i="16"/>
  <c r="BA428" i="16"/>
  <c r="AW430" i="16"/>
  <c r="AW431" i="16"/>
  <c r="CE432" i="16" s="1"/>
  <c r="BI431" i="16"/>
  <c r="BE432" i="16"/>
  <c r="BE433" i="16"/>
  <c r="BE434" i="16"/>
  <c r="BA435" i="16"/>
  <c r="AW437" i="16"/>
  <c r="CE438" i="16" s="1"/>
  <c r="AW438" i="16"/>
  <c r="CE439" i="16" s="1"/>
  <c r="AW439" i="16"/>
  <c r="CE440" i="16" s="1"/>
  <c r="AW440" i="16"/>
  <c r="CE441" i="16" s="1"/>
  <c r="BI440" i="16"/>
  <c r="BI441" i="16"/>
  <c r="AS434" i="16"/>
  <c r="AV423" i="16"/>
  <c r="BH423" i="16"/>
  <c r="BD424" i="16"/>
  <c r="CN425" i="16" s="1"/>
  <c r="BD425" i="16"/>
  <c r="AZ426" i="16"/>
  <c r="CH427" i="16" s="1"/>
  <c r="AZ427" i="16"/>
  <c r="AV428" i="16"/>
  <c r="AV429" i="16"/>
  <c r="BH429" i="16"/>
  <c r="BH430" i="16"/>
  <c r="BH431" i="16"/>
  <c r="BH432" i="16"/>
  <c r="BH433" i="16"/>
  <c r="BH434" i="16"/>
  <c r="BH435" i="16"/>
  <c r="BH436" i="16"/>
  <c r="BH437" i="16"/>
  <c r="BH438" i="16"/>
  <c r="BH439" i="16"/>
  <c r="BH440" i="16"/>
  <c r="BH441" i="16"/>
  <c r="AX425" i="16"/>
  <c r="CF426" i="16" s="1"/>
  <c r="BF426" i="16"/>
  <c r="CP427" i="16" s="1"/>
  <c r="AX429" i="16"/>
  <c r="CF430" i="16" s="1"/>
  <c r="BF430" i="16"/>
  <c r="BF432" i="16"/>
  <c r="CP433" i="16" s="1"/>
  <c r="BF434" i="16"/>
  <c r="CP435" i="16" s="1"/>
  <c r="BF436" i="16"/>
  <c r="BF438" i="16"/>
  <c r="BF440" i="16"/>
  <c r="CP441" i="16" s="1"/>
  <c r="AS435" i="16"/>
  <c r="CB436" i="16" s="1"/>
  <c r="AY425" i="16"/>
  <c r="CG426" i="16" s="1"/>
  <c r="AY429" i="16"/>
  <c r="AY433" i="16"/>
  <c r="AY437" i="16"/>
  <c r="AY441" i="16"/>
  <c r="BC432" i="16"/>
  <c r="BC436" i="16"/>
  <c r="BC439" i="16"/>
  <c r="AS432" i="16"/>
  <c r="CB433" i="16" s="1"/>
  <c r="AT426" i="16"/>
  <c r="AT429" i="16"/>
  <c r="CC430" i="16" s="1"/>
  <c r="AT432" i="16"/>
  <c r="CC433" i="16" s="1"/>
  <c r="AT435" i="16"/>
  <c r="AT441" i="16"/>
  <c r="BB423" i="16"/>
  <c r="BB431" i="16"/>
  <c r="BB439" i="16"/>
  <c r="AU428" i="16"/>
  <c r="CD429" i="16" s="1"/>
  <c r="AU434" i="16"/>
  <c r="CD435" i="16" s="1"/>
  <c r="AS424" i="16"/>
  <c r="BB434" i="16"/>
  <c r="BB432" i="16"/>
  <c r="AU441" i="16"/>
  <c r="AU437" i="16"/>
  <c r="CD438" i="16" s="1"/>
  <c r="AX202" i="16"/>
  <c r="CF203" i="16" s="1"/>
  <c r="AT202" i="16"/>
  <c r="CC203" i="16" s="1"/>
  <c r="AW202" i="16"/>
  <c r="CE203" i="16" s="1"/>
  <c r="AZ202" i="16"/>
  <c r="CH203" i="16" s="1"/>
  <c r="BF203" i="16"/>
  <c r="CP204" i="16" s="1"/>
  <c r="BG210" i="16"/>
  <c r="CQ211" i="16" s="1"/>
  <c r="BD202" i="16"/>
  <c r="AS202" i="16"/>
  <c r="CB203" i="16" s="1"/>
  <c r="AU202" i="16"/>
  <c r="BG207" i="16"/>
  <c r="AW203" i="16"/>
  <c r="BI203" i="16"/>
  <c r="BI204" i="16"/>
  <c r="BE206" i="16"/>
  <c r="CO207" i="16" s="1"/>
  <c r="BA207" i="16"/>
  <c r="AW208" i="16"/>
  <c r="CE209" i="16" s="1"/>
  <c r="BI208" i="16"/>
  <c r="BI209" i="16"/>
  <c r="BE210" i="16"/>
  <c r="BE211" i="16"/>
  <c r="AS210" i="16"/>
  <c r="CB211" i="16" s="1"/>
  <c r="AU204" i="16"/>
  <c r="CD205" i="16" s="1"/>
  <c r="BC205" i="16"/>
  <c r="AU207" i="16"/>
  <c r="CD208" i="16" s="1"/>
  <c r="BC208" i="16"/>
  <c r="AU210" i="16"/>
  <c r="CD211" i="16" s="1"/>
  <c r="BB203" i="16"/>
  <c r="BF204" i="16"/>
  <c r="CP205" i="16" s="1"/>
  <c r="BB205" i="16"/>
  <c r="AX206" i="16"/>
  <c r="CF207" i="16" s="1"/>
  <c r="AX207" i="16"/>
  <c r="AX208" i="16"/>
  <c r="CF209" i="16" s="1"/>
  <c r="AX209" i="16"/>
  <c r="CF210" i="16" s="1"/>
  <c r="AX210" i="16"/>
  <c r="CF211" i="16" s="1"/>
  <c r="AX211" i="16"/>
  <c r="AY204" i="16"/>
  <c r="CG205" i="16" s="1"/>
  <c r="AY208" i="16"/>
  <c r="AV202" i="16"/>
  <c r="AV206" i="16"/>
  <c r="AV210" i="16"/>
  <c r="AZ206" i="16"/>
  <c r="CH207" i="16" s="1"/>
  <c r="BH206" i="16"/>
  <c r="BH210" i="16"/>
  <c r="AZ209" i="16"/>
  <c r="CH210" i="16" s="1"/>
  <c r="BD208" i="16"/>
  <c r="CN209" i="16" s="1"/>
  <c r="AH28" i="16"/>
  <c r="BB28" i="16" s="1"/>
  <c r="U60" i="16"/>
  <c r="U61" i="16"/>
  <c r="AE51" i="16"/>
  <c r="AY51" i="16" s="1"/>
  <c r="CG52" i="16" s="1"/>
  <c r="AH51" i="16"/>
  <c r="BB51" i="16" s="1"/>
  <c r="U170" i="16"/>
  <c r="U192" i="16"/>
  <c r="DJ27" i="16"/>
  <c r="DJ72" i="16"/>
  <c r="CC120" i="16"/>
  <c r="DB119" i="16"/>
  <c r="CG117" i="16"/>
  <c r="DD116" i="16"/>
  <c r="D68" i="31"/>
  <c r="D64" i="31"/>
  <c r="CG27" i="16"/>
  <c r="BO27" i="16"/>
  <c r="CD71" i="16"/>
  <c r="BN71" i="16"/>
  <c r="BN72" i="16" s="1"/>
  <c r="BN73" i="16" s="1"/>
  <c r="BE290" i="16"/>
  <c r="BG290" i="16"/>
  <c r="AS290" i="16"/>
  <c r="CB291" i="16" s="1"/>
  <c r="AW290" i="16"/>
  <c r="CE291" i="16" s="1"/>
  <c r="BG302" i="16"/>
  <c r="BG293" i="16"/>
  <c r="BG291" i="16"/>
  <c r="AX290" i="16"/>
  <c r="CF291" i="16" s="1"/>
  <c r="AU290" i="16"/>
  <c r="BD290" i="16"/>
  <c r="AT290" i="16"/>
  <c r="CC291" i="16" s="1"/>
  <c r="AZ290" i="16"/>
  <c r="CH291" i="16" s="1"/>
  <c r="AX246" i="16"/>
  <c r="CF247" i="16" s="1"/>
  <c r="AY246" i="16"/>
  <c r="BH246" i="16"/>
  <c r="BQ246" i="16" s="1"/>
  <c r="CR247" i="16" s="1"/>
  <c r="BG253" i="16"/>
  <c r="BG250" i="16"/>
  <c r="CQ251" i="16" s="1"/>
  <c r="BG252" i="16"/>
  <c r="BD246" i="16"/>
  <c r="BF246" i="16"/>
  <c r="BG246" i="16"/>
  <c r="D44" i="31"/>
  <c r="D67" i="31"/>
  <c r="D70" i="18"/>
  <c r="D66" i="18"/>
  <c r="D63" i="31"/>
  <c r="CP28" i="16"/>
  <c r="DE27" i="16"/>
  <c r="DB92" i="16"/>
  <c r="CC93" i="16"/>
  <c r="AU378" i="16"/>
  <c r="BD378" i="16"/>
  <c r="BE378" i="16"/>
  <c r="BG390" i="16"/>
  <c r="BG392" i="16"/>
  <c r="BG395" i="16"/>
  <c r="CQ396" i="16" s="1"/>
  <c r="BD224" i="16"/>
  <c r="BE224" i="16"/>
  <c r="BG224" i="16"/>
  <c r="BG227" i="16"/>
  <c r="BG228" i="16"/>
  <c r="C41" i="31"/>
  <c r="AB143" i="16"/>
  <c r="AV143" i="16" s="1"/>
  <c r="AM143" i="16"/>
  <c r="BG143" i="16" s="1"/>
  <c r="U27" i="16"/>
  <c r="AK120" i="16"/>
  <c r="BE120" i="16" s="1"/>
  <c r="CO121" i="16" s="1"/>
  <c r="E69" i="18"/>
  <c r="E66" i="31"/>
  <c r="D68" i="18"/>
  <c r="D65" i="31"/>
  <c r="DD49" i="16"/>
  <c r="C187" i="6"/>
  <c r="O147" i="16" s="1"/>
  <c r="D48" i="31"/>
  <c r="C17" i="13"/>
  <c r="AG4" i="16"/>
  <c r="C17" i="10"/>
  <c r="CM436" i="16"/>
  <c r="AI74" i="16"/>
  <c r="BC74" i="16" s="1"/>
  <c r="Y51" i="16"/>
  <c r="CB432" i="16"/>
  <c r="CC425" i="16"/>
  <c r="R215" i="16"/>
  <c r="T215" i="16"/>
  <c r="CP234" i="16"/>
  <c r="CO316" i="16"/>
  <c r="CP163" i="16"/>
  <c r="CP116" i="16"/>
  <c r="DD115" i="16"/>
  <c r="AS28" i="16"/>
  <c r="U136" i="16"/>
  <c r="Y120" i="16"/>
  <c r="CO226" i="16"/>
  <c r="AS74" i="16"/>
  <c r="U146" i="16"/>
  <c r="AI120" i="16"/>
  <c r="BC120" i="16" s="1"/>
  <c r="AD28" i="16"/>
  <c r="AX28" i="16" s="1"/>
  <c r="AB28" i="16"/>
  <c r="AO51" i="16"/>
  <c r="BI51" i="16" s="1"/>
  <c r="U82" i="16"/>
  <c r="AC74" i="16"/>
  <c r="AW74" i="16" s="1"/>
  <c r="CE75" i="16" s="1"/>
  <c r="AV4" i="16"/>
  <c r="CR27" i="16"/>
  <c r="CN5" i="16"/>
  <c r="S210" i="16"/>
  <c r="AK28" i="16"/>
  <c r="BE28" i="16" s="1"/>
  <c r="CV445" i="16"/>
  <c r="D65" i="20" s="1"/>
  <c r="CS445" i="16"/>
  <c r="D62" i="20" s="1"/>
  <c r="D62" i="32" s="1"/>
  <c r="C39" i="13"/>
  <c r="C39" i="10"/>
  <c r="AK4" i="16"/>
  <c r="BE4" i="16" s="1"/>
  <c r="U105" i="16"/>
  <c r="AL74" i="16"/>
  <c r="BF74" i="16" s="1"/>
  <c r="CG72" i="16"/>
  <c r="DD71" i="16"/>
  <c r="CD72" i="16"/>
  <c r="DJ92" i="16"/>
  <c r="DJ96" i="16"/>
  <c r="CN97" i="16"/>
  <c r="DC96" i="16"/>
  <c r="CM119" i="16"/>
  <c r="DG118" i="16"/>
  <c r="CG119" i="16"/>
  <c r="DC118" i="16"/>
  <c r="DD118" i="16"/>
  <c r="DJ118" i="16"/>
  <c r="CE117" i="16"/>
  <c r="DG116" i="16"/>
  <c r="DC116" i="16"/>
  <c r="BP116" i="16"/>
  <c r="DC115" i="16"/>
  <c r="CN73" i="16"/>
  <c r="DF72" i="16"/>
  <c r="DB72" i="16"/>
  <c r="CH73" i="16"/>
  <c r="DD72" i="16"/>
  <c r="CQ95" i="16"/>
  <c r="CW445" i="16"/>
  <c r="D66" i="20" s="1"/>
  <c r="D66" i="32" s="1"/>
  <c r="BX446" i="16"/>
  <c r="E50" i="20" s="1"/>
  <c r="D50" i="20"/>
  <c r="D50" i="33" s="1"/>
  <c r="CO430" i="16"/>
  <c r="D7" i="10"/>
  <c r="CQ97" i="16"/>
  <c r="DE96" i="16"/>
  <c r="CQ116" i="16"/>
  <c r="G202" i="16"/>
  <c r="CB439" i="16"/>
  <c r="M206" i="16"/>
  <c r="CK445" i="16"/>
  <c r="D32" i="20" s="1"/>
  <c r="D32" i="33" s="1"/>
  <c r="CJ445" i="16"/>
  <c r="D31" i="20" s="1"/>
  <c r="D31" i="33" s="1"/>
  <c r="CC27" i="16"/>
  <c r="DC26" i="16"/>
  <c r="DE70" i="16"/>
  <c r="BW71" i="16"/>
  <c r="BW5" i="16"/>
  <c r="CQ5" i="16"/>
  <c r="BQ93" i="16"/>
  <c r="CR94" i="16" s="1"/>
  <c r="CN93" i="16"/>
  <c r="DF92" i="16"/>
  <c r="BQ27" i="16"/>
  <c r="BM71" i="16"/>
  <c r="CF71" i="16"/>
  <c r="DC70" i="16"/>
  <c r="DB70" i="16"/>
  <c r="CG160" i="16"/>
  <c r="CP51" i="16"/>
  <c r="DC50" i="16"/>
  <c r="CM27" i="16"/>
  <c r="DF26" i="16"/>
  <c r="CC5" i="16"/>
  <c r="DB4" i="16"/>
  <c r="BT115" i="16"/>
  <c r="CU116" i="16" s="1"/>
  <c r="DE114" i="16"/>
  <c r="DD114" i="16"/>
  <c r="BT49" i="16"/>
  <c r="CO49" i="16"/>
  <c r="CI27" i="16"/>
  <c r="BS27" i="16"/>
  <c r="AK97" i="16"/>
  <c r="BE97" i="16" s="1"/>
  <c r="AO97" i="16"/>
  <c r="BI97" i="16" s="1"/>
  <c r="AH143" i="16"/>
  <c r="BB143" i="16" s="1"/>
  <c r="BP28" i="16"/>
  <c r="DD27" i="16"/>
  <c r="CN50" i="16"/>
  <c r="DB49" i="16"/>
  <c r="CO72" i="16"/>
  <c r="CM97" i="16"/>
  <c r="DG96" i="16"/>
  <c r="DF96" i="16"/>
  <c r="CG97" i="16"/>
  <c r="CB95" i="16"/>
  <c r="DC94" i="16"/>
  <c r="CN94" i="16"/>
  <c r="DG93" i="16"/>
  <c r="CH117" i="16"/>
  <c r="DJ116" i="16"/>
  <c r="DJ117" i="16"/>
  <c r="DF73" i="16"/>
  <c r="DG73" i="16"/>
  <c r="CM73" i="16"/>
  <c r="DG72" i="16"/>
  <c r="CD73" i="16"/>
  <c r="CQ118" i="16"/>
  <c r="M207" i="16"/>
  <c r="CF433" i="16"/>
  <c r="CF347" i="16"/>
  <c r="U38" i="16"/>
  <c r="U76" i="16"/>
  <c r="AH120" i="16"/>
  <c r="BB120" i="16" s="1"/>
  <c r="AO166" i="16"/>
  <c r="BI166" i="16" s="1"/>
  <c r="DG27" i="16"/>
  <c r="DF27" i="16"/>
  <c r="CM50" i="16"/>
  <c r="DG49" i="16"/>
  <c r="DF49" i="16"/>
  <c r="DJ50" i="16"/>
  <c r="DJ73" i="16"/>
  <c r="DJ70" i="16"/>
  <c r="DJ71" i="16"/>
  <c r="CM96" i="16"/>
  <c r="DG95" i="16"/>
  <c r="DC95" i="16"/>
  <c r="DC93" i="16"/>
  <c r="CN118" i="16"/>
  <c r="DF117" i="16"/>
  <c r="CO116" i="16"/>
  <c r="DE115" i="16"/>
  <c r="DC73" i="16"/>
  <c r="CC431" i="16"/>
  <c r="CC439" i="16"/>
  <c r="CC440" i="16"/>
  <c r="CM431" i="16"/>
  <c r="CM435" i="16"/>
  <c r="CM439" i="16"/>
  <c r="CM441" i="16"/>
  <c r="CW446" i="16"/>
  <c r="E66" i="20" s="1"/>
  <c r="E66" i="32" s="1"/>
  <c r="CC49" i="16"/>
  <c r="DB48" i="16"/>
  <c r="BQ115" i="16"/>
  <c r="C171" i="6"/>
  <c r="O59" i="16" s="1"/>
  <c r="D25" i="13"/>
  <c r="C6" i="18"/>
  <c r="D7" i="13"/>
  <c r="DB114" i="16"/>
  <c r="AO28" i="16"/>
  <c r="BI28" i="16" s="1"/>
  <c r="CM72" i="16"/>
  <c r="DF71" i="16"/>
  <c r="DD94" i="16"/>
  <c r="CG94" i="16"/>
  <c r="DD93" i="16"/>
  <c r="BO94" i="16"/>
  <c r="DJ95" i="16"/>
  <c r="CH120" i="16"/>
  <c r="DC119" i="16"/>
  <c r="DD119" i="16"/>
  <c r="CN119" i="16"/>
  <c r="CM118" i="16"/>
  <c r="DG117" i="16"/>
  <c r="CG118" i="16"/>
  <c r="DC117" i="16"/>
  <c r="DJ114" i="16"/>
  <c r="CB73" i="16"/>
  <c r="DC72" i="16"/>
  <c r="CQ120" i="16"/>
  <c r="DE119" i="16"/>
  <c r="CQ73" i="16"/>
  <c r="E202" i="16"/>
  <c r="M209" i="16"/>
  <c r="CU445" i="16"/>
  <c r="D64" i="20" s="1"/>
  <c r="AS4" i="16"/>
  <c r="BQ49" i="16"/>
  <c r="AU180" i="16"/>
  <c r="AS180" i="16"/>
  <c r="AW180" i="16"/>
  <c r="CE181" i="16" s="1"/>
  <c r="AZ180" i="16"/>
  <c r="BH180" i="16"/>
  <c r="BE180" i="16"/>
  <c r="BF180" i="16"/>
  <c r="BC180" i="16"/>
  <c r="BG184" i="16"/>
  <c r="BG183" i="16"/>
  <c r="BG188" i="16"/>
  <c r="AY182" i="16"/>
  <c r="AY183" i="16"/>
  <c r="AY184" i="16"/>
  <c r="AY185" i="16"/>
  <c r="AY186" i="16"/>
  <c r="AY187" i="16"/>
  <c r="AY188" i="16"/>
  <c r="AV180" i="16"/>
  <c r="AZ183" i="16"/>
  <c r="AV184" i="16"/>
  <c r="AV185" i="16"/>
  <c r="AV186" i="16"/>
  <c r="AV187" i="16"/>
  <c r="AV188" i="16"/>
  <c r="AS183" i="16"/>
  <c r="BI180" i="16"/>
  <c r="BI182" i="16"/>
  <c r="BI184" i="16"/>
  <c r="BI186" i="16"/>
  <c r="BI188" i="16"/>
  <c r="BB181" i="16"/>
  <c r="BB185" i="16"/>
  <c r="AX181" i="16"/>
  <c r="AX185" i="16"/>
  <c r="AS185" i="16"/>
  <c r="BF183" i="16"/>
  <c r="BF185" i="16"/>
  <c r="BF187" i="16"/>
  <c r="AU136" i="16"/>
  <c r="AS136" i="16"/>
  <c r="AW136" i="16"/>
  <c r="AZ136" i="16"/>
  <c r="BA136" i="16"/>
  <c r="BM136" i="16" s="1"/>
  <c r="BF136" i="16"/>
  <c r="AT136" i="16"/>
  <c r="BF137" i="16"/>
  <c r="BG140" i="16"/>
  <c r="BB136" i="16"/>
  <c r="BB137" i="16"/>
  <c r="BB138" i="16"/>
  <c r="BB140" i="16"/>
  <c r="BB142" i="16"/>
  <c r="AV137" i="16"/>
  <c r="BD138" i="16"/>
  <c r="BD140" i="16"/>
  <c r="BD142" i="16"/>
  <c r="AY137" i="16"/>
  <c r="AU138" i="16"/>
  <c r="AU139" i="16"/>
  <c r="AU140" i="16"/>
  <c r="AU141" i="16"/>
  <c r="AU142" i="16"/>
  <c r="AS138" i="16"/>
  <c r="AZ137" i="16"/>
  <c r="BH138" i="16"/>
  <c r="BH140" i="16"/>
  <c r="BH142" i="16"/>
  <c r="BA140" i="16"/>
  <c r="BI139" i="16"/>
  <c r="C38" i="13"/>
  <c r="C38" i="10"/>
  <c r="AE97" i="16"/>
  <c r="AO120" i="16"/>
  <c r="BI120" i="16" s="1"/>
  <c r="AK166" i="16"/>
  <c r="BV445" i="16"/>
  <c r="D48" i="20" s="1"/>
  <c r="D48" i="33" s="1"/>
  <c r="BQ71" i="16"/>
  <c r="CN71" i="16"/>
  <c r="AX400" i="16"/>
  <c r="AU400" i="16"/>
  <c r="AS400" i="16"/>
  <c r="AW400" i="16"/>
  <c r="CE401" i="16" s="1"/>
  <c r="AZ400" i="16"/>
  <c r="BA378" i="16"/>
  <c r="BM378" i="16" s="1"/>
  <c r="AY378" i="16"/>
  <c r="BF378" i="16"/>
  <c r="AU356" i="16"/>
  <c r="AS356" i="16"/>
  <c r="AW356" i="16"/>
  <c r="AZ356" i="16"/>
  <c r="CH357" i="16" s="1"/>
  <c r="AX312" i="16"/>
  <c r="AU312" i="16"/>
  <c r="AS312" i="16"/>
  <c r="AW312" i="16"/>
  <c r="AZ312" i="16"/>
  <c r="BA290" i="16"/>
  <c r="AY290" i="16"/>
  <c r="BF290" i="16"/>
  <c r="AU268" i="16"/>
  <c r="AS268" i="16"/>
  <c r="AW268" i="16"/>
  <c r="AZ268" i="16"/>
  <c r="AX224" i="16"/>
  <c r="AU224" i="16"/>
  <c r="AS224" i="16"/>
  <c r="AW224" i="16"/>
  <c r="AZ224" i="16"/>
  <c r="BA202" i="16"/>
  <c r="AY202" i="16"/>
  <c r="BF202" i="16"/>
  <c r="C37" i="13"/>
  <c r="AI4" i="16"/>
  <c r="BC4" i="16" s="1"/>
  <c r="U122" i="16" l="1"/>
  <c r="AD51" i="16"/>
  <c r="AX51" i="16" s="1"/>
  <c r="CF52" i="16" s="1"/>
  <c r="BW51" i="16"/>
  <c r="CX52" i="16" s="1"/>
  <c r="CQ350" i="16"/>
  <c r="U149" i="16"/>
  <c r="AI28" i="16"/>
  <c r="BC28" i="16" s="1"/>
  <c r="CM29" i="16" s="1"/>
  <c r="CO299" i="16"/>
  <c r="AG143" i="16"/>
  <c r="DE438" i="16"/>
  <c r="U163" i="16"/>
  <c r="CO327" i="16"/>
  <c r="U193" i="16"/>
  <c r="AJ166" i="16"/>
  <c r="BD166" i="16" s="1"/>
  <c r="CO343" i="16"/>
  <c r="CO373" i="16"/>
  <c r="DF428" i="16"/>
  <c r="DB439" i="16"/>
  <c r="DF225" i="16"/>
  <c r="CO396" i="16"/>
  <c r="E12" i="10"/>
  <c r="CO233" i="16"/>
  <c r="CQ436" i="16"/>
  <c r="DB276" i="16"/>
  <c r="C264" i="6"/>
  <c r="E203" i="16" s="1"/>
  <c r="Z396" i="16" s="1"/>
  <c r="AT396" i="16" s="1"/>
  <c r="CD159" i="16"/>
  <c r="CU28" i="16"/>
  <c r="CQ323" i="16"/>
  <c r="CQ321" i="16"/>
  <c r="CQ258" i="16"/>
  <c r="CQ435" i="16"/>
  <c r="CQ441" i="16"/>
  <c r="CQ439" i="16"/>
  <c r="BM50" i="16"/>
  <c r="CG436" i="16"/>
  <c r="CQ278" i="16"/>
  <c r="DK274" i="16"/>
  <c r="DF276" i="16"/>
  <c r="U160" i="16"/>
  <c r="U137" i="16"/>
  <c r="CQ212" i="16"/>
  <c r="CQ326" i="16"/>
  <c r="CO279" i="16"/>
  <c r="U217" i="16"/>
  <c r="O212" i="16"/>
  <c r="C271" i="6"/>
  <c r="N212" i="16" s="1"/>
  <c r="AI373" i="16" s="1"/>
  <c r="BC373" i="16" s="1"/>
  <c r="C274" i="6"/>
  <c r="Q215" i="16" s="1"/>
  <c r="U215" i="16" s="1"/>
  <c r="C270" i="6"/>
  <c r="L210" i="16" s="1"/>
  <c r="CO323" i="16"/>
  <c r="D9" i="10"/>
  <c r="CO418" i="16"/>
  <c r="CO371" i="16"/>
  <c r="CO257" i="16"/>
  <c r="CO431" i="16"/>
  <c r="CO436" i="16"/>
  <c r="CO441" i="16"/>
  <c r="CO324" i="16"/>
  <c r="I206" i="16"/>
  <c r="C266" i="6"/>
  <c r="H206" i="16" s="1"/>
  <c r="AC189" i="16" s="1"/>
  <c r="AW189" i="16" s="1"/>
  <c r="CE190" i="16" s="1"/>
  <c r="K208" i="16"/>
  <c r="C268" i="6"/>
  <c r="J208" i="16" s="1"/>
  <c r="C263" i="6"/>
  <c r="D202" i="16" s="1"/>
  <c r="CO344" i="16"/>
  <c r="U115" i="16"/>
  <c r="U55" i="16"/>
  <c r="CG441" i="16"/>
  <c r="CO211" i="16"/>
  <c r="DJ268" i="16"/>
  <c r="CG350" i="16"/>
  <c r="CG346" i="16"/>
  <c r="CG418" i="16"/>
  <c r="CG322" i="16"/>
  <c r="CG326" i="16"/>
  <c r="CG281" i="16"/>
  <c r="CG327" i="16"/>
  <c r="CO321" i="16"/>
  <c r="CO235" i="16"/>
  <c r="CO410" i="16"/>
  <c r="C269" i="6"/>
  <c r="K209" i="16" s="1"/>
  <c r="J207" i="16"/>
  <c r="C267" i="6"/>
  <c r="I207" i="16" s="1"/>
  <c r="C265" i="6"/>
  <c r="AF120" i="16"/>
  <c r="AZ120" i="16" s="1"/>
  <c r="CH121" i="16" s="1"/>
  <c r="CI225" i="16"/>
  <c r="BU269" i="16"/>
  <c r="CV270" i="16" s="1"/>
  <c r="CH358" i="16"/>
  <c r="CG257" i="16"/>
  <c r="CG432" i="16"/>
  <c r="CP423" i="16"/>
  <c r="U128" i="16"/>
  <c r="CG299" i="16"/>
  <c r="CG419" i="16"/>
  <c r="CO432" i="16"/>
  <c r="CO438" i="16"/>
  <c r="CG433" i="16"/>
  <c r="CG300" i="16"/>
  <c r="CO300" i="16"/>
  <c r="CO367" i="16"/>
  <c r="CO387" i="16"/>
  <c r="CO392" i="16"/>
  <c r="CG394" i="16"/>
  <c r="CG390" i="16"/>
  <c r="CO393" i="16"/>
  <c r="CO390" i="16"/>
  <c r="CO409" i="16"/>
  <c r="CO234" i="16"/>
  <c r="CO304" i="16"/>
  <c r="CO280" i="16"/>
  <c r="L209" i="16"/>
  <c r="CQ234" i="16"/>
  <c r="S214" i="16"/>
  <c r="AN258" i="16" s="1"/>
  <c r="BH258" i="16" s="1"/>
  <c r="C277" i="6"/>
  <c r="C273" i="6" s="1"/>
  <c r="P213" i="16"/>
  <c r="AK258" i="16" s="1"/>
  <c r="BE258" i="16" s="1"/>
  <c r="CO259" i="16" s="1"/>
  <c r="C272" i="6"/>
  <c r="C275" i="6"/>
  <c r="R216" i="16" s="1"/>
  <c r="AD350" i="16"/>
  <c r="AX350" i="16" s="1"/>
  <c r="CF351" i="16" s="1"/>
  <c r="CN159" i="16"/>
  <c r="BQ159" i="16"/>
  <c r="BQ160" i="16" s="1"/>
  <c r="AK327" i="16"/>
  <c r="BE327" i="16" s="1"/>
  <c r="CO328" i="16" s="1"/>
  <c r="CG278" i="16"/>
  <c r="CG438" i="16"/>
  <c r="CQ373" i="16"/>
  <c r="CQ368" i="16"/>
  <c r="AM74" i="16"/>
  <c r="BG74" i="16" s="1"/>
  <c r="CQ75" i="16" s="1"/>
  <c r="CQ365" i="16"/>
  <c r="CQ431" i="16"/>
  <c r="CQ304" i="16"/>
  <c r="CG440" i="16"/>
  <c r="CG396" i="16"/>
  <c r="CG392" i="16"/>
  <c r="CG388" i="16"/>
  <c r="CQ395" i="16"/>
  <c r="F204" i="16"/>
  <c r="AA281" i="16" s="1"/>
  <c r="AU281" i="16" s="1"/>
  <c r="CD282" i="16" s="1"/>
  <c r="CQ327" i="16"/>
  <c r="CG211" i="16"/>
  <c r="AE166" i="16"/>
  <c r="AY166" i="16" s="1"/>
  <c r="CG167" i="16" s="1"/>
  <c r="U186" i="16"/>
  <c r="D9" i="26"/>
  <c r="E25" i="10"/>
  <c r="E50" i="26" s="1"/>
  <c r="CG234" i="16"/>
  <c r="Z166" i="16"/>
  <c r="AT166" i="16" s="1"/>
  <c r="CC167" i="16" s="1"/>
  <c r="T216" i="16"/>
  <c r="CI247" i="16"/>
  <c r="AK189" i="16"/>
  <c r="BE189" i="16" s="1"/>
  <c r="CO190" i="16" s="1"/>
  <c r="AA51" i="16"/>
  <c r="AU51" i="16" s="1"/>
  <c r="CD52" i="16" s="1"/>
  <c r="U72" i="16"/>
  <c r="CG417" i="16"/>
  <c r="CG437" i="16"/>
  <c r="CG279" i="16"/>
  <c r="CG323" i="16"/>
  <c r="AK304" i="16"/>
  <c r="BE304" i="16" s="1"/>
  <c r="CO305" i="16" s="1"/>
  <c r="CG431" i="16"/>
  <c r="CG302" i="16"/>
  <c r="CG434" i="16"/>
  <c r="DJ422" i="16"/>
  <c r="CQ277" i="16"/>
  <c r="CG277" i="16"/>
  <c r="CG348" i="16"/>
  <c r="CQ348" i="16"/>
  <c r="CG349" i="16"/>
  <c r="CG343" i="16"/>
  <c r="CQ345" i="16"/>
  <c r="CQ419" i="16"/>
  <c r="CG411" i="16"/>
  <c r="CQ411" i="16"/>
  <c r="CG324" i="16"/>
  <c r="CQ322" i="16"/>
  <c r="AL97" i="16"/>
  <c r="BF97" i="16" s="1"/>
  <c r="CP98" i="16" s="1"/>
  <c r="U127" i="16"/>
  <c r="CQ301" i="16"/>
  <c r="CQ388" i="16"/>
  <c r="CG415" i="16"/>
  <c r="CQ415" i="16"/>
  <c r="CQ167" i="16"/>
  <c r="CQ279" i="16"/>
  <c r="CQ233" i="16"/>
  <c r="CG233" i="16"/>
  <c r="T214" i="16"/>
  <c r="CO301" i="16"/>
  <c r="CQ391" i="16"/>
  <c r="CQ437" i="16"/>
  <c r="CQ433" i="16"/>
  <c r="CQ281" i="16"/>
  <c r="CQ349" i="16"/>
  <c r="CG410" i="16"/>
  <c r="CO349" i="16"/>
  <c r="CO346" i="16"/>
  <c r="CG344" i="16"/>
  <c r="CQ343" i="16"/>
  <c r="CQ344" i="16"/>
  <c r="CG412" i="16"/>
  <c r="CG416" i="16"/>
  <c r="CQ412" i="16"/>
  <c r="CQ417" i="16"/>
  <c r="CO366" i="16"/>
  <c r="CO189" i="16"/>
  <c r="CG370" i="16"/>
  <c r="CQ366" i="16"/>
  <c r="CQ372" i="16"/>
  <c r="CQ299" i="16"/>
  <c r="CQ300" i="16"/>
  <c r="CG304" i="16"/>
  <c r="CO258" i="16"/>
  <c r="CG255" i="16"/>
  <c r="CO437" i="16"/>
  <c r="CO391" i="16"/>
  <c r="CO388" i="16"/>
  <c r="CG395" i="16"/>
  <c r="CG391" i="16"/>
  <c r="CG387" i="16"/>
  <c r="CO389" i="16"/>
  <c r="CQ394" i="16"/>
  <c r="CG212" i="16"/>
  <c r="CG325" i="16"/>
  <c r="CQ324" i="16"/>
  <c r="CQ255" i="16"/>
  <c r="CG303" i="16"/>
  <c r="CQ387" i="16"/>
  <c r="CG256" i="16"/>
  <c r="CQ257" i="16"/>
  <c r="CQ280" i="16"/>
  <c r="CO278" i="16"/>
  <c r="CQ302" i="16"/>
  <c r="DH114" i="16"/>
  <c r="BP73" i="16"/>
  <c r="BP74" i="16" s="1"/>
  <c r="DB430" i="16"/>
  <c r="DB441" i="16"/>
  <c r="CO417" i="16"/>
  <c r="U71" i="16"/>
  <c r="BN335" i="16"/>
  <c r="BR336" i="16" s="1"/>
  <c r="CS337" i="16" s="1"/>
  <c r="DE406" i="16"/>
  <c r="C8" i="27"/>
  <c r="BN50" i="16"/>
  <c r="CJ51" i="16" s="1"/>
  <c r="CU94" i="16"/>
  <c r="CN235" i="16"/>
  <c r="BS116" i="16"/>
  <c r="CT117" i="16" s="1"/>
  <c r="DG321" i="16"/>
  <c r="DG317" i="16"/>
  <c r="CI335" i="16"/>
  <c r="BW313" i="16"/>
  <c r="BW314" i="16" s="1"/>
  <c r="U93" i="16"/>
  <c r="BN423" i="16"/>
  <c r="CJ424" i="16" s="1"/>
  <c r="CI95" i="16"/>
  <c r="CJ50" i="16"/>
  <c r="BV50" i="16"/>
  <c r="CW51" i="16" s="1"/>
  <c r="AF74" i="16"/>
  <c r="AZ74" i="16" s="1"/>
  <c r="CH75" i="16" s="1"/>
  <c r="DB320" i="16"/>
  <c r="AM28" i="16"/>
  <c r="BG28" i="16" s="1"/>
  <c r="CQ29" i="16" s="1"/>
  <c r="BW203" i="16"/>
  <c r="BW204" i="16" s="1"/>
  <c r="U74" i="16"/>
  <c r="DF337" i="16"/>
  <c r="BS269" i="16"/>
  <c r="CT270" i="16" s="1"/>
  <c r="Z28" i="16"/>
  <c r="AT28" i="16" s="1"/>
  <c r="CC29" i="16" s="1"/>
  <c r="BQ313" i="16"/>
  <c r="CR314" i="16" s="1"/>
  <c r="BP95" i="16"/>
  <c r="BP96" i="16" s="1"/>
  <c r="U52" i="16"/>
  <c r="U84" i="16"/>
  <c r="BQ335" i="16"/>
  <c r="CR336" i="16" s="1"/>
  <c r="CP225" i="16"/>
  <c r="DB248" i="16"/>
  <c r="U54" i="16"/>
  <c r="AM120" i="16"/>
  <c r="BG120" i="16" s="1"/>
  <c r="DE120" i="16" s="1"/>
  <c r="DD428" i="16"/>
  <c r="DB225" i="16"/>
  <c r="DE301" i="16"/>
  <c r="DF233" i="16"/>
  <c r="U98" i="16"/>
  <c r="CQ159" i="16"/>
  <c r="U142" i="16"/>
  <c r="U100" i="16"/>
  <c r="DB231" i="16"/>
  <c r="DG382" i="16"/>
  <c r="BT72" i="16"/>
  <c r="CU73" i="16" s="1"/>
  <c r="DB274" i="16"/>
  <c r="U116" i="16"/>
  <c r="DG228" i="16"/>
  <c r="DD301" i="16"/>
  <c r="CN431" i="16"/>
  <c r="U188" i="16"/>
  <c r="DB228" i="16"/>
  <c r="U195" i="16"/>
  <c r="DE234" i="16"/>
  <c r="DJ226" i="16"/>
  <c r="DK230" i="16"/>
  <c r="DG225" i="16"/>
  <c r="CN335" i="16"/>
  <c r="C13" i="25"/>
  <c r="DG401" i="16"/>
  <c r="D61" i="25"/>
  <c r="D61" i="27" s="1"/>
  <c r="DH71" i="16"/>
  <c r="DD435" i="16"/>
  <c r="DG226" i="16"/>
  <c r="CO137" i="16"/>
  <c r="CC277" i="16"/>
  <c r="D62" i="18"/>
  <c r="DE384" i="16"/>
  <c r="DD325" i="16"/>
  <c r="CP439" i="16"/>
  <c r="U85" i="16"/>
  <c r="DF430" i="16"/>
  <c r="CK50" i="16"/>
  <c r="BT247" i="16"/>
  <c r="CU248" i="16" s="1"/>
  <c r="DD232" i="16"/>
  <c r="DF440" i="16"/>
  <c r="DJ276" i="16"/>
  <c r="DB334" i="16"/>
  <c r="U194" i="16"/>
  <c r="BM28" i="16"/>
  <c r="CI29" i="16" s="1"/>
  <c r="DF431" i="16"/>
  <c r="U171" i="16"/>
  <c r="DB385" i="16"/>
  <c r="DE233" i="16"/>
  <c r="DI233" i="16" s="1"/>
  <c r="DK231" i="16"/>
  <c r="DI95" i="16"/>
  <c r="DF280" i="16"/>
  <c r="C14" i="26"/>
  <c r="CK117" i="16"/>
  <c r="BO117" i="16"/>
  <c r="BO118" i="16" s="1"/>
  <c r="CK119" i="16" s="1"/>
  <c r="AF51" i="16"/>
  <c r="AZ51" i="16" s="1"/>
  <c r="CH52" i="16" s="1"/>
  <c r="U77" i="16"/>
  <c r="DK255" i="16"/>
  <c r="U182" i="16"/>
  <c r="AA166" i="16"/>
  <c r="AU166" i="16" s="1"/>
  <c r="CD167" i="16" s="1"/>
  <c r="DG234" i="16"/>
  <c r="DF234" i="16"/>
  <c r="CJ116" i="16"/>
  <c r="BN116" i="16"/>
  <c r="BN117" i="16" s="1"/>
  <c r="CJ118" i="16" s="1"/>
  <c r="BR116" i="16"/>
  <c r="CS117" i="16" s="1"/>
  <c r="U121" i="16"/>
  <c r="AF97" i="16"/>
  <c r="AZ97" i="16" s="1"/>
  <c r="CH98" i="16" s="1"/>
  <c r="DK234" i="16"/>
  <c r="DJ225" i="16"/>
  <c r="BO225" i="16"/>
  <c r="BV226" i="16" s="1"/>
  <c r="CW227" i="16" s="1"/>
  <c r="DJ227" i="16"/>
  <c r="DG233" i="16"/>
  <c r="AE143" i="16"/>
  <c r="AY143" i="16" s="1"/>
  <c r="CG357" i="16"/>
  <c r="BO401" i="16"/>
  <c r="CK402" i="16" s="1"/>
  <c r="DD231" i="16"/>
  <c r="DB234" i="16"/>
  <c r="DI48" i="16"/>
  <c r="DE232" i="16"/>
  <c r="DE322" i="16"/>
  <c r="CP320" i="16"/>
  <c r="DE319" i="16"/>
  <c r="U169" i="16"/>
  <c r="AJ143" i="16"/>
  <c r="BD143" i="16" s="1"/>
  <c r="CN144" i="16" s="1"/>
  <c r="Y166" i="16"/>
  <c r="AS166" i="16" s="1"/>
  <c r="CB167" i="16" s="1"/>
  <c r="U180" i="16"/>
  <c r="CM228" i="16"/>
  <c r="DF227" i="16"/>
  <c r="CC228" i="16"/>
  <c r="DB227" i="16"/>
  <c r="DB296" i="16"/>
  <c r="BQ423" i="16"/>
  <c r="BQ424" i="16" s="1"/>
  <c r="DH73" i="16"/>
  <c r="DF269" i="16"/>
  <c r="DB226" i="16"/>
  <c r="DF181" i="16"/>
  <c r="DF314" i="16"/>
  <c r="AN74" i="16"/>
  <c r="BH74" i="16" s="1"/>
  <c r="DF74" i="16" s="1"/>
  <c r="U107" i="16"/>
  <c r="CM275" i="16"/>
  <c r="DF274" i="16"/>
  <c r="DJ231" i="16"/>
  <c r="BU116" i="16"/>
  <c r="CV117" i="16" s="1"/>
  <c r="DD228" i="16"/>
  <c r="BQ225" i="16"/>
  <c r="BQ226" i="16" s="1"/>
  <c r="BQ269" i="16"/>
  <c r="BQ270" i="16" s="1"/>
  <c r="DE276" i="16"/>
  <c r="DI276" i="16" s="1"/>
  <c r="DE225" i="16"/>
  <c r="DI225" i="16" s="1"/>
  <c r="DF363" i="16"/>
  <c r="DB233" i="16"/>
  <c r="BM181" i="16"/>
  <c r="CI182" i="16" s="1"/>
  <c r="DF252" i="16"/>
  <c r="DE257" i="16"/>
  <c r="DD424" i="16"/>
  <c r="DK233" i="16"/>
  <c r="DD234" i="16"/>
  <c r="DG232" i="16"/>
  <c r="DJ224" i="16"/>
  <c r="DC232" i="16"/>
  <c r="DG231" i="16"/>
  <c r="DD278" i="16"/>
  <c r="U124" i="16"/>
  <c r="DB372" i="16"/>
  <c r="DE248" i="16"/>
  <c r="DF292" i="16"/>
  <c r="DC394" i="16"/>
  <c r="DG326" i="16"/>
  <c r="DK406" i="16"/>
  <c r="DF278" i="16"/>
  <c r="C27" i="27"/>
  <c r="DF230" i="16"/>
  <c r="DB232" i="16"/>
  <c r="DD233" i="16"/>
  <c r="C8" i="18"/>
  <c r="D15" i="18"/>
  <c r="D49" i="31"/>
  <c r="D18" i="10"/>
  <c r="E44" i="10" s="1"/>
  <c r="CQ269" i="16"/>
  <c r="CM327" i="16"/>
  <c r="DB335" i="16"/>
  <c r="CB233" i="16"/>
  <c r="DC226" i="16"/>
  <c r="AA74" i="16"/>
  <c r="DF228" i="16"/>
  <c r="DC225" i="16"/>
  <c r="BQ5" i="16"/>
  <c r="CR6" i="16" s="1"/>
  <c r="AG28" i="16"/>
  <c r="BA28" i="16" s="1"/>
  <c r="DE230" i="16"/>
  <c r="DJ230" i="16"/>
  <c r="DC234" i="16"/>
  <c r="BP182" i="16"/>
  <c r="CL183" i="16" s="1"/>
  <c r="CG235" i="16"/>
  <c r="DD229" i="16"/>
  <c r="DE226" i="16"/>
  <c r="DD275" i="16"/>
  <c r="DG272" i="16"/>
  <c r="DG271" i="16"/>
  <c r="DG274" i="16"/>
  <c r="DC233" i="16"/>
  <c r="DH92" i="16"/>
  <c r="DB230" i="16"/>
  <c r="BM116" i="16"/>
  <c r="CI117" i="16" s="1"/>
  <c r="DK319" i="16"/>
  <c r="E33" i="33"/>
  <c r="DB74" i="16"/>
  <c r="DK232" i="16"/>
  <c r="CO277" i="16"/>
  <c r="DH93" i="16"/>
  <c r="DE312" i="16"/>
  <c r="E44" i="13"/>
  <c r="F62" i="13" s="1"/>
  <c r="DI114" i="16"/>
  <c r="BX95" i="16"/>
  <c r="CY96" i="16" s="1"/>
  <c r="DG230" i="16"/>
  <c r="DG440" i="16"/>
  <c r="DH116" i="16"/>
  <c r="CO335" i="16"/>
  <c r="DF229" i="16"/>
  <c r="DE272" i="16"/>
  <c r="DD142" i="16"/>
  <c r="DC230" i="16"/>
  <c r="DJ232" i="16"/>
  <c r="DJ234" i="16"/>
  <c r="DF226" i="16"/>
  <c r="DD225" i="16"/>
  <c r="DH225" i="16" s="1"/>
  <c r="DE437" i="16"/>
  <c r="DE229" i="16"/>
  <c r="U103" i="16"/>
  <c r="DD226" i="16"/>
  <c r="DD227" i="16"/>
  <c r="DI93" i="16"/>
  <c r="DK277" i="16"/>
  <c r="DB278" i="16"/>
  <c r="BW28" i="16"/>
  <c r="CX29" i="16" s="1"/>
  <c r="DG227" i="16"/>
  <c r="C9" i="27"/>
  <c r="DF342" i="16"/>
  <c r="DJ402" i="16"/>
  <c r="DB301" i="16"/>
  <c r="DE256" i="16"/>
  <c r="DE231" i="16"/>
  <c r="DK318" i="16"/>
  <c r="AF143" i="16"/>
  <c r="AZ143" i="16" s="1"/>
  <c r="CH144" i="16" s="1"/>
  <c r="E66" i="33"/>
  <c r="CY446" i="16"/>
  <c r="E68" i="20" s="1"/>
  <c r="E68" i="33" s="1"/>
  <c r="DK253" i="16"/>
  <c r="BT313" i="16"/>
  <c r="CU314" i="16" s="1"/>
  <c r="CM281" i="16"/>
  <c r="AG120" i="16"/>
  <c r="BA120" i="16" s="1"/>
  <c r="BM423" i="16"/>
  <c r="DD230" i="16"/>
  <c r="DF382" i="16"/>
  <c r="DG229" i="16"/>
  <c r="BQ137" i="16"/>
  <c r="CR138" i="16" s="1"/>
  <c r="AN28" i="16"/>
  <c r="BH28" i="16" s="1"/>
  <c r="DC231" i="16"/>
  <c r="DJ229" i="16"/>
  <c r="DJ228" i="16"/>
  <c r="DC229" i="16"/>
  <c r="DJ209" i="16"/>
  <c r="DF202" i="16"/>
  <c r="CP313" i="16"/>
  <c r="DJ233" i="16"/>
  <c r="DF232" i="16"/>
  <c r="BX51" i="16"/>
  <c r="CY52" i="16" s="1"/>
  <c r="DG204" i="16"/>
  <c r="BP51" i="16"/>
  <c r="CL52" i="16" s="1"/>
  <c r="DE254" i="16"/>
  <c r="U118" i="16"/>
  <c r="DB229" i="16"/>
  <c r="DB322" i="16"/>
  <c r="BP226" i="16"/>
  <c r="BX227" i="16" s="1"/>
  <c r="CY228" i="16" s="1"/>
  <c r="CM232" i="16"/>
  <c r="DF231" i="16"/>
  <c r="D19" i="13"/>
  <c r="D22" i="13" s="1"/>
  <c r="CV28" i="16"/>
  <c r="C17" i="18"/>
  <c r="D27" i="13"/>
  <c r="D52" i="25" s="1"/>
  <c r="C16" i="18"/>
  <c r="CN304" i="16"/>
  <c r="CN434" i="16"/>
  <c r="CN413" i="16"/>
  <c r="CN435" i="16"/>
  <c r="CN300" i="16"/>
  <c r="CN388" i="16"/>
  <c r="DE300" i="16"/>
  <c r="CP301" i="16"/>
  <c r="CF429" i="16"/>
  <c r="DB428" i="16"/>
  <c r="CB323" i="16"/>
  <c r="DC322" i="16"/>
  <c r="CO395" i="16"/>
  <c r="DD394" i="16"/>
  <c r="DG388" i="16"/>
  <c r="U129" i="16"/>
  <c r="AN97" i="16"/>
  <c r="BH97" i="16" s="1"/>
  <c r="DF97" i="16" s="1"/>
  <c r="CR291" i="16"/>
  <c r="BQ291" i="16"/>
  <c r="BQ292" i="16" s="1"/>
  <c r="DJ300" i="16"/>
  <c r="D64" i="32"/>
  <c r="D64" i="33"/>
  <c r="DI92" i="16"/>
  <c r="CQ357" i="16"/>
  <c r="CB395" i="16"/>
  <c r="DD439" i="16"/>
  <c r="CN433" i="16"/>
  <c r="DG380" i="16"/>
  <c r="DH26" i="16"/>
  <c r="DB438" i="16"/>
  <c r="D44" i="33"/>
  <c r="D44" i="32"/>
  <c r="CG372" i="16"/>
  <c r="DD371" i="16"/>
  <c r="CO298" i="16"/>
  <c r="DE297" i="16"/>
  <c r="CF301" i="16"/>
  <c r="DB300" i="16"/>
  <c r="DB436" i="16"/>
  <c r="CC437" i="16"/>
  <c r="BS423" i="16"/>
  <c r="CT424" i="16" s="1"/>
  <c r="CI423" i="16"/>
  <c r="CC281" i="16"/>
  <c r="DB280" i="16"/>
  <c r="DF275" i="16"/>
  <c r="DE279" i="16"/>
  <c r="C14" i="25"/>
  <c r="BN248" i="16"/>
  <c r="CJ249" i="16" s="1"/>
  <c r="CC335" i="16"/>
  <c r="BU29" i="16"/>
  <c r="CV30" i="16" s="1"/>
  <c r="BN5" i="16"/>
  <c r="BR6" i="16" s="1"/>
  <c r="DC393" i="16"/>
  <c r="DF187" i="16"/>
  <c r="DF437" i="16"/>
  <c r="CN365" i="16"/>
  <c r="DB393" i="16"/>
  <c r="CM276" i="16"/>
  <c r="AJ120" i="16"/>
  <c r="BD120" i="16" s="1"/>
  <c r="CN121" i="16" s="1"/>
  <c r="U147" i="16"/>
  <c r="DJ270" i="16"/>
  <c r="CB281" i="16"/>
  <c r="DC280" i="16"/>
  <c r="DF418" i="16"/>
  <c r="CH336" i="16"/>
  <c r="BP336" i="16"/>
  <c r="BX337" i="16" s="1"/>
  <c r="CY338" i="16" s="1"/>
  <c r="CH404" i="16"/>
  <c r="DD403" i="16"/>
  <c r="CD247" i="16"/>
  <c r="DI50" i="16"/>
  <c r="CC206" i="16"/>
  <c r="DB205" i="16"/>
  <c r="CP315" i="16"/>
  <c r="DE314" i="16"/>
  <c r="DD320" i="16"/>
  <c r="DG313" i="16"/>
  <c r="D23" i="21"/>
  <c r="D23" i="18"/>
  <c r="E50" i="13"/>
  <c r="E50" i="31" s="1"/>
  <c r="D20" i="31"/>
  <c r="D20" i="32"/>
  <c r="BO423" i="16"/>
  <c r="BO424" i="16" s="1"/>
  <c r="CG423" i="16"/>
  <c r="BQ247" i="16"/>
  <c r="CR248" i="16" s="1"/>
  <c r="DF246" i="16"/>
  <c r="D68" i="32"/>
  <c r="D68" i="33"/>
  <c r="DB413" i="16"/>
  <c r="CC414" i="16"/>
  <c r="DB224" i="16"/>
  <c r="BS181" i="16"/>
  <c r="CT182" i="16" s="1"/>
  <c r="D26" i="13"/>
  <c r="D26" i="31" s="1"/>
  <c r="CJ248" i="16"/>
  <c r="AN120" i="16"/>
  <c r="BH120" i="16" s="1"/>
  <c r="CN211" i="16"/>
  <c r="CN349" i="16"/>
  <c r="DD434" i="16"/>
  <c r="DF295" i="16"/>
  <c r="DD365" i="16"/>
  <c r="DE389" i="16"/>
  <c r="BV72" i="16"/>
  <c r="CW73" i="16" s="1"/>
  <c r="DC430" i="16"/>
  <c r="BW379" i="16"/>
  <c r="BW380" i="16" s="1"/>
  <c r="DF272" i="16"/>
  <c r="CM273" i="16"/>
  <c r="D13" i="13"/>
  <c r="E26" i="13" s="1"/>
  <c r="E51" i="25" s="1"/>
  <c r="C13" i="31"/>
  <c r="CC138" i="16"/>
  <c r="DB137" i="16"/>
  <c r="DB159" i="16"/>
  <c r="DF247" i="16"/>
  <c r="DB303" i="16"/>
  <c r="DK254" i="16"/>
  <c r="U138" i="16"/>
  <c r="CF388" i="16"/>
  <c r="DB387" i="16"/>
  <c r="CB393" i="16"/>
  <c r="DC392" i="16"/>
  <c r="CC314" i="16"/>
  <c r="DB313" i="16"/>
  <c r="DK389" i="16"/>
  <c r="CG5" i="16"/>
  <c r="BO5" i="16"/>
  <c r="BV6" i="16" s="1"/>
  <c r="CW7" i="16" s="1"/>
  <c r="DD209" i="16"/>
  <c r="DC211" i="16"/>
  <c r="CB212" i="16"/>
  <c r="CO209" i="16"/>
  <c r="DE208" i="16"/>
  <c r="CM205" i="16"/>
  <c r="DF204" i="16"/>
  <c r="DJ314" i="16"/>
  <c r="CM316" i="16"/>
  <c r="DF315" i="16"/>
  <c r="E3" i="10"/>
  <c r="F7" i="10" s="1"/>
  <c r="E7" i="10"/>
  <c r="E44" i="26" s="1"/>
  <c r="D8" i="26"/>
  <c r="CM257" i="16"/>
  <c r="DF256" i="16"/>
  <c r="DG303" i="16"/>
  <c r="CY73" i="16"/>
  <c r="BX73" i="16"/>
  <c r="CY74" i="16" s="1"/>
  <c r="DK252" i="16"/>
  <c r="AG51" i="16"/>
  <c r="BA51" i="16" s="1"/>
  <c r="U78" i="16"/>
  <c r="DJ97" i="16"/>
  <c r="DI70" i="16"/>
  <c r="BQ379" i="16"/>
  <c r="BQ380" i="16" s="1"/>
  <c r="DG280" i="16"/>
  <c r="DE268" i="16"/>
  <c r="DB412" i="16"/>
  <c r="DG139" i="16"/>
  <c r="DB97" i="16"/>
  <c r="BN160" i="16"/>
  <c r="CJ161" i="16" s="1"/>
  <c r="DB186" i="16"/>
  <c r="DB180" i="16"/>
  <c r="U125" i="16"/>
  <c r="DG257" i="16"/>
  <c r="DF435" i="16"/>
  <c r="DG441" i="16"/>
  <c r="DB388" i="16"/>
  <c r="DF387" i="16"/>
  <c r="CN393" i="16"/>
  <c r="DB379" i="16"/>
  <c r="DK388" i="16"/>
  <c r="DB390" i="16"/>
  <c r="DC385" i="16"/>
  <c r="DJ381" i="16"/>
  <c r="DC205" i="16"/>
  <c r="DC323" i="16"/>
  <c r="DF323" i="16"/>
  <c r="DB319" i="16"/>
  <c r="DF318" i="16"/>
  <c r="DE315" i="16"/>
  <c r="DF325" i="16"/>
  <c r="DB323" i="16"/>
  <c r="DJ51" i="16"/>
  <c r="DE434" i="16"/>
  <c r="DK276" i="16"/>
  <c r="DI118" i="16"/>
  <c r="DF298" i="16"/>
  <c r="DJ290" i="16"/>
  <c r="CN255" i="16"/>
  <c r="DD251" i="16"/>
  <c r="DJ255" i="16"/>
  <c r="DF426" i="16"/>
  <c r="DJ325" i="16"/>
  <c r="DD324" i="16"/>
  <c r="DB391" i="16"/>
  <c r="DG385" i="16"/>
  <c r="DF379" i="16"/>
  <c r="DC313" i="16"/>
  <c r="DB395" i="16"/>
  <c r="C11" i="26"/>
  <c r="AA28" i="16"/>
  <c r="AU28" i="16" s="1"/>
  <c r="CD29" i="16" s="1"/>
  <c r="D39" i="10"/>
  <c r="E57" i="10" s="1"/>
  <c r="DD418" i="16"/>
  <c r="CH419" i="16"/>
  <c r="CO139" i="16"/>
  <c r="DD138" i="16"/>
  <c r="DF293" i="16"/>
  <c r="CN294" i="16"/>
  <c r="CH248" i="16"/>
  <c r="BP248" i="16"/>
  <c r="Y143" i="16"/>
  <c r="AS143" i="16" s="1"/>
  <c r="CB144" i="16" s="1"/>
  <c r="U158" i="16"/>
  <c r="U173" i="16"/>
  <c r="DB257" i="16"/>
  <c r="DJ323" i="16"/>
  <c r="DJ393" i="16"/>
  <c r="DC410" i="16"/>
  <c r="CP257" i="16"/>
  <c r="BW423" i="16"/>
  <c r="CX424" i="16" s="1"/>
  <c r="CQ423" i="16"/>
  <c r="CC386" i="16"/>
  <c r="DE164" i="16"/>
  <c r="CO165" i="16"/>
  <c r="BU50" i="16"/>
  <c r="DB294" i="16"/>
  <c r="CN295" i="16"/>
  <c r="DE294" i="16"/>
  <c r="DK297" i="16"/>
  <c r="DK418" i="16"/>
  <c r="CM406" i="16"/>
  <c r="DG405" i="16"/>
  <c r="CN251" i="16"/>
  <c r="DB250" i="16"/>
  <c r="DC255" i="16"/>
  <c r="DJ436" i="16"/>
  <c r="DG431" i="16"/>
  <c r="DB431" i="16"/>
  <c r="DC441" i="16"/>
  <c r="DJ359" i="16"/>
  <c r="DJ369" i="16"/>
  <c r="CO325" i="16"/>
  <c r="C24" i="27"/>
  <c r="CH327" i="16"/>
  <c r="DD326" i="16"/>
  <c r="DK391" i="16"/>
  <c r="DK393" i="16"/>
  <c r="DG384" i="16"/>
  <c r="DK386" i="16"/>
  <c r="DK387" i="16"/>
  <c r="DF381" i="16"/>
  <c r="DG389" i="16"/>
  <c r="DC391" i="16"/>
  <c r="DG392" i="16"/>
  <c r="DE382" i="16"/>
  <c r="CP386" i="16"/>
  <c r="DD385" i="16"/>
  <c r="DH385" i="16" s="1"/>
  <c r="DG394" i="16"/>
  <c r="DE383" i="16"/>
  <c r="DG390" i="16"/>
  <c r="DJ205" i="16"/>
  <c r="CB319" i="16"/>
  <c r="DC318" i="16"/>
  <c r="DG320" i="16"/>
  <c r="DC320" i="16"/>
  <c r="CD321" i="16"/>
  <c r="DC317" i="16"/>
  <c r="DB316" i="16"/>
  <c r="DF319" i="16"/>
  <c r="DG319" i="16"/>
  <c r="DE345" i="16"/>
  <c r="DG293" i="16"/>
  <c r="C46" i="18"/>
  <c r="CE395" i="16"/>
  <c r="DE429" i="16"/>
  <c r="BO51" i="16"/>
  <c r="BO52" i="16" s="1"/>
  <c r="CK53" i="16" s="1"/>
  <c r="CC317" i="16"/>
  <c r="DF250" i="16"/>
  <c r="CN321" i="16"/>
  <c r="CN389" i="16"/>
  <c r="DE324" i="16"/>
  <c r="DD297" i="16"/>
  <c r="DB392" i="16"/>
  <c r="DB360" i="16"/>
  <c r="DE380" i="16"/>
  <c r="DG278" i="16"/>
  <c r="DE273" i="16"/>
  <c r="CQ274" i="16"/>
  <c r="BU94" i="16"/>
  <c r="DK341" i="16"/>
  <c r="CM403" i="16"/>
  <c r="DF402" i="16"/>
  <c r="DE318" i="16"/>
  <c r="DB368" i="16"/>
  <c r="DG357" i="16"/>
  <c r="DE369" i="16"/>
  <c r="DF371" i="16"/>
  <c r="CH206" i="16"/>
  <c r="DE298" i="16"/>
  <c r="CP299" i="16"/>
  <c r="DC247" i="16"/>
  <c r="DG255" i="16"/>
  <c r="DG424" i="16"/>
  <c r="DH424" i="16" s="1"/>
  <c r="CF425" i="16"/>
  <c r="CC438" i="16"/>
  <c r="DC437" i="16"/>
  <c r="DK323" i="16"/>
  <c r="DJ386" i="16"/>
  <c r="D4" i="13"/>
  <c r="E4" i="13" s="1"/>
  <c r="D5" i="13"/>
  <c r="DJ315" i="16"/>
  <c r="DJ321" i="16"/>
  <c r="DJ320" i="16"/>
  <c r="DJ322" i="16"/>
  <c r="DJ313" i="16"/>
  <c r="BU226" i="16"/>
  <c r="D66" i="33"/>
  <c r="CJ94" i="16"/>
  <c r="BR94" i="16"/>
  <c r="CY227" i="16"/>
  <c r="DD255" i="16"/>
  <c r="E57" i="26"/>
  <c r="D69" i="10"/>
  <c r="CM384" i="16"/>
  <c r="DG383" i="16"/>
  <c r="DJ391" i="16"/>
  <c r="DG386" i="16"/>
  <c r="DB386" i="16"/>
  <c r="CB254" i="16"/>
  <c r="DC253" i="16"/>
  <c r="DK296" i="16"/>
  <c r="DK300" i="16"/>
  <c r="D46" i="26"/>
  <c r="D46" i="27" s="1"/>
  <c r="DG391" i="16"/>
  <c r="DE203" i="16"/>
  <c r="DE51" i="16"/>
  <c r="DJ298" i="16"/>
  <c r="DD380" i="16"/>
  <c r="DD162" i="16"/>
  <c r="DC142" i="16"/>
  <c r="DI71" i="16"/>
  <c r="U83" i="16"/>
  <c r="BM247" i="16"/>
  <c r="CI248" i="16" s="1"/>
  <c r="DC389" i="16"/>
  <c r="DC252" i="16"/>
  <c r="DF424" i="16"/>
  <c r="CE393" i="16"/>
  <c r="DF383" i="16"/>
  <c r="DG97" i="16"/>
  <c r="D65" i="32"/>
  <c r="D65" i="33"/>
  <c r="CO383" i="16"/>
  <c r="CK51" i="16"/>
  <c r="DF301" i="16"/>
  <c r="DC382" i="16"/>
  <c r="DK390" i="16"/>
  <c r="DD382" i="16"/>
  <c r="DD250" i="16"/>
  <c r="DB203" i="16"/>
  <c r="DC343" i="16"/>
  <c r="D17" i="10"/>
  <c r="DG269" i="16"/>
  <c r="DK322" i="16"/>
  <c r="DF290" i="16"/>
  <c r="DJ437" i="16"/>
  <c r="DF291" i="16"/>
  <c r="DE295" i="16"/>
  <c r="D66" i="21"/>
  <c r="D63" i="33"/>
  <c r="D63" i="32"/>
  <c r="CC380" i="16"/>
  <c r="DG411" i="16"/>
  <c r="E65" i="21"/>
  <c r="E62" i="33"/>
  <c r="CF293" i="16"/>
  <c r="DB292" i="16"/>
  <c r="DH48" i="16"/>
  <c r="D10" i="26"/>
  <c r="E37" i="10"/>
  <c r="E10" i="26" s="1"/>
  <c r="DI94" i="16"/>
  <c r="DJ319" i="16"/>
  <c r="DC387" i="16"/>
  <c r="C14" i="31"/>
  <c r="D62" i="33"/>
  <c r="DJ249" i="16"/>
  <c r="DD256" i="16"/>
  <c r="DF254" i="16"/>
  <c r="CM140" i="16"/>
  <c r="DF139" i="16"/>
  <c r="CN380" i="16"/>
  <c r="DG379" i="16"/>
  <c r="CM250" i="16"/>
  <c r="DF249" i="16"/>
  <c r="E50" i="33"/>
  <c r="F68" i="10"/>
  <c r="DI27" i="16"/>
  <c r="DK120" i="16"/>
  <c r="DI26" i="16"/>
  <c r="DE392" i="16"/>
  <c r="DG211" i="16"/>
  <c r="DG205" i="16"/>
  <c r="DG203" i="16"/>
  <c r="DG436" i="16"/>
  <c r="DG438" i="16"/>
  <c r="DG434" i="16"/>
  <c r="DC427" i="16"/>
  <c r="DG423" i="16"/>
  <c r="DG428" i="16"/>
  <c r="DF268" i="16"/>
  <c r="DB279" i="16"/>
  <c r="DJ279" i="16"/>
  <c r="DB270" i="16"/>
  <c r="DD415" i="16"/>
  <c r="DE366" i="16"/>
  <c r="DG137" i="16"/>
  <c r="DJ344" i="16"/>
  <c r="DC413" i="16"/>
  <c r="DB410" i="16"/>
  <c r="DJ412" i="16"/>
  <c r="DD295" i="16"/>
  <c r="DG186" i="16"/>
  <c r="DE363" i="16"/>
  <c r="BS50" i="16"/>
  <c r="CT51" i="16" s="1"/>
  <c r="DD300" i="16"/>
  <c r="DG291" i="16"/>
  <c r="DF299" i="16"/>
  <c r="DF303" i="16"/>
  <c r="DF411" i="16"/>
  <c r="DB255" i="16"/>
  <c r="DE425" i="16"/>
  <c r="DC435" i="16"/>
  <c r="DF395" i="16"/>
  <c r="DJ378" i="16"/>
  <c r="D51" i="26"/>
  <c r="DC321" i="16"/>
  <c r="E67" i="10"/>
  <c r="E67" i="31" s="1"/>
  <c r="D67" i="33"/>
  <c r="D50" i="26"/>
  <c r="DF441" i="16"/>
  <c r="DB163" i="16"/>
  <c r="CN415" i="16"/>
  <c r="DD411" i="16"/>
  <c r="F25" i="10"/>
  <c r="DE340" i="16"/>
  <c r="C36" i="26"/>
  <c r="DG292" i="16"/>
  <c r="DG256" i="16"/>
  <c r="DH70" i="16"/>
  <c r="DC296" i="16"/>
  <c r="DG300" i="16"/>
  <c r="DC303" i="16"/>
  <c r="DB253" i="16"/>
  <c r="D57" i="26"/>
  <c r="C30" i="26"/>
  <c r="C30" i="27" s="1"/>
  <c r="DK166" i="16"/>
  <c r="D32" i="32"/>
  <c r="DG418" i="16"/>
  <c r="DE426" i="16"/>
  <c r="DJ299" i="16"/>
  <c r="DJ296" i="16"/>
  <c r="DJ302" i="16"/>
  <c r="DB302" i="16"/>
  <c r="CP297" i="16"/>
  <c r="DE296" i="16"/>
  <c r="CM252" i="16"/>
  <c r="DG251" i="16"/>
  <c r="DK301" i="16"/>
  <c r="DJ246" i="16"/>
  <c r="DJ253" i="16"/>
  <c r="CF255" i="16"/>
  <c r="DB254" i="16"/>
  <c r="CC434" i="16"/>
  <c r="DB433" i="16"/>
  <c r="DC299" i="16"/>
  <c r="C13" i="26"/>
  <c r="D8" i="10"/>
  <c r="D8" i="31" s="1"/>
  <c r="D13" i="10"/>
  <c r="CM313" i="16"/>
  <c r="DF312" i="16"/>
  <c r="DB256" i="16"/>
  <c r="DD356" i="16"/>
  <c r="DG315" i="16"/>
  <c r="CB324" i="16"/>
  <c r="D5" i="10"/>
  <c r="D30" i="26" s="1"/>
  <c r="DG249" i="16"/>
  <c r="DE249" i="16"/>
  <c r="DK321" i="16"/>
  <c r="DG335" i="16"/>
  <c r="DJ415" i="16"/>
  <c r="DJ256" i="16"/>
  <c r="CG424" i="16"/>
  <c r="DG250" i="16"/>
  <c r="DJ292" i="16"/>
  <c r="DD254" i="16"/>
  <c r="CN437" i="16"/>
  <c r="CN370" i="16"/>
  <c r="CN396" i="16"/>
  <c r="CN322" i="16"/>
  <c r="CN277" i="16"/>
  <c r="CN417" i="16"/>
  <c r="CN257" i="16"/>
  <c r="DD298" i="16"/>
  <c r="DC294" i="16"/>
  <c r="DK326" i="16"/>
  <c r="DJ387" i="16"/>
  <c r="DJ390" i="16"/>
  <c r="DC254" i="16"/>
  <c r="DD315" i="16"/>
  <c r="DF209" i="16"/>
  <c r="DC209" i="16"/>
  <c r="DG339" i="16"/>
  <c r="CC396" i="16"/>
  <c r="CP279" i="16"/>
  <c r="E12" i="13"/>
  <c r="E9" i="25" s="1"/>
  <c r="DG325" i="16"/>
  <c r="DH325" i="16" s="1"/>
  <c r="DD409" i="16"/>
  <c r="DJ294" i="16"/>
  <c r="DD372" i="16"/>
  <c r="DE428" i="16"/>
  <c r="DI428" i="16" s="1"/>
  <c r="DD357" i="16"/>
  <c r="CN368" i="16"/>
  <c r="DD316" i="16"/>
  <c r="DD294" i="16"/>
  <c r="CF299" i="16"/>
  <c r="DB298" i="16"/>
  <c r="DF251" i="16"/>
  <c r="DF255" i="16"/>
  <c r="BP424" i="16"/>
  <c r="BP425" i="16" s="1"/>
  <c r="CH424" i="16"/>
  <c r="DF438" i="16"/>
  <c r="DI438" i="16" s="1"/>
  <c r="DG247" i="16"/>
  <c r="DF385" i="16"/>
  <c r="CM386" i="16"/>
  <c r="DF388" i="16"/>
  <c r="CM389" i="16"/>
  <c r="BP314" i="16"/>
  <c r="CH314" i="16"/>
  <c r="CO255" i="16"/>
  <c r="CO302" i="16"/>
  <c r="DH119" i="16"/>
  <c r="BW94" i="16"/>
  <c r="CX95" i="16" s="1"/>
  <c r="CM437" i="16"/>
  <c r="CM326" i="16"/>
  <c r="CM301" i="16"/>
  <c r="CF436" i="16"/>
  <c r="CF411" i="16"/>
  <c r="BQ203" i="16"/>
  <c r="BQ204" i="16" s="1"/>
  <c r="BT203" i="16"/>
  <c r="CU204" i="16" s="1"/>
  <c r="DC158" i="16"/>
  <c r="DC349" i="16"/>
  <c r="DF207" i="16"/>
  <c r="DF297" i="16"/>
  <c r="DJ251" i="16"/>
  <c r="DB249" i="16"/>
  <c r="BS94" i="16"/>
  <c r="CT95" i="16" s="1"/>
  <c r="DG253" i="16"/>
  <c r="DB423" i="16"/>
  <c r="DC422" i="16"/>
  <c r="DI72" i="16"/>
  <c r="DJ317" i="16"/>
  <c r="DC326" i="16"/>
  <c r="DC383" i="16"/>
  <c r="CO252" i="16"/>
  <c r="CC254" i="16"/>
  <c r="DD423" i="16"/>
  <c r="DC257" i="16"/>
  <c r="DJ301" i="16"/>
  <c r="DC249" i="16"/>
  <c r="CN372" i="16"/>
  <c r="CN325" i="16"/>
  <c r="CN438" i="16"/>
  <c r="CN409" i="16"/>
  <c r="CN395" i="16"/>
  <c r="CN391" i="16"/>
  <c r="CN350" i="16"/>
  <c r="CN411" i="16"/>
  <c r="CN301" i="16"/>
  <c r="CN299" i="16"/>
  <c r="CN279" i="16"/>
  <c r="CN414" i="16"/>
  <c r="T213" i="16"/>
  <c r="CN369" i="16"/>
  <c r="CN419" i="16"/>
  <c r="CN323" i="16"/>
  <c r="DE372" i="16"/>
  <c r="DC316" i="16"/>
  <c r="DC319" i="16"/>
  <c r="CG295" i="16"/>
  <c r="DC298" i="16"/>
  <c r="DB184" i="16"/>
  <c r="DG295" i="16"/>
  <c r="DC301" i="16"/>
  <c r="CO426" i="16"/>
  <c r="CH183" i="16"/>
  <c r="DJ360" i="16"/>
  <c r="DK325" i="16"/>
  <c r="DB394" i="16"/>
  <c r="DF390" i="16"/>
  <c r="DJ383" i="16"/>
  <c r="DJ385" i="16"/>
  <c r="DJ392" i="16"/>
  <c r="DJ388" i="16"/>
  <c r="DK394" i="16"/>
  <c r="DK416" i="16"/>
  <c r="CG373" i="16"/>
  <c r="CC320" i="16"/>
  <c r="DC340" i="16"/>
  <c r="CE204" i="16"/>
  <c r="DB424" i="16"/>
  <c r="DJ427" i="16"/>
  <c r="C4" i="31"/>
  <c r="DK208" i="16"/>
  <c r="DD203" i="16"/>
  <c r="DC432" i="16"/>
  <c r="DD441" i="16"/>
  <c r="DC436" i="16"/>
  <c r="DF436" i="16"/>
  <c r="DC439" i="16"/>
  <c r="DB295" i="16"/>
  <c r="DD276" i="16"/>
  <c r="DE280" i="16"/>
  <c r="CP281" i="16"/>
  <c r="DK280" i="16"/>
  <c r="E3" i="13"/>
  <c r="DH95" i="16"/>
  <c r="CM320" i="16"/>
  <c r="CM338" i="16"/>
  <c r="DG337" i="16"/>
  <c r="DE303" i="16"/>
  <c r="DK392" i="16"/>
  <c r="DK412" i="16"/>
  <c r="DJ248" i="16"/>
  <c r="DB299" i="16"/>
  <c r="DD387" i="16"/>
  <c r="DJ297" i="16"/>
  <c r="DD303" i="16"/>
  <c r="DC384" i="16"/>
  <c r="DD386" i="16"/>
  <c r="DH386" i="16" s="1"/>
  <c r="DC402" i="16"/>
  <c r="DE439" i="16"/>
  <c r="DJ254" i="16"/>
  <c r="DD313" i="16"/>
  <c r="CN342" i="16"/>
  <c r="DF341" i="16"/>
  <c r="DE247" i="16"/>
  <c r="DG299" i="16"/>
  <c r="DG248" i="16"/>
  <c r="CO164" i="16"/>
  <c r="DE163" i="16"/>
  <c r="DG160" i="16"/>
  <c r="CN371" i="16"/>
  <c r="CN367" i="16"/>
  <c r="DD318" i="16"/>
  <c r="DE316" i="16"/>
  <c r="DC251" i="16"/>
  <c r="DI116" i="16"/>
  <c r="DF300" i="16"/>
  <c r="CC293" i="16"/>
  <c r="DC292" i="16"/>
  <c r="DC297" i="16"/>
  <c r="DK299" i="16"/>
  <c r="DK302" i="16"/>
  <c r="DK298" i="16"/>
  <c r="CN253" i="16"/>
  <c r="DB252" i="16"/>
  <c r="DK256" i="16"/>
  <c r="DD257" i="16"/>
  <c r="CG258" i="16"/>
  <c r="CP428" i="16"/>
  <c r="DE427" i="16"/>
  <c r="D48" i="32"/>
  <c r="BN95" i="16"/>
  <c r="CJ95" i="16"/>
  <c r="CQ249" i="16"/>
  <c r="DD248" i="16"/>
  <c r="DH248" i="16" s="1"/>
  <c r="CM295" i="16"/>
  <c r="DF294" i="16"/>
  <c r="CM299" i="16"/>
  <c r="DG298" i="16"/>
  <c r="DJ303" i="16"/>
  <c r="DB293" i="16"/>
  <c r="DF248" i="16"/>
  <c r="CO256" i="16"/>
  <c r="DE255" i="16"/>
  <c r="DC248" i="16"/>
  <c r="DC256" i="16"/>
  <c r="CH425" i="16"/>
  <c r="DF434" i="16"/>
  <c r="DB434" i="16"/>
  <c r="DK324" i="16"/>
  <c r="DF391" i="16"/>
  <c r="CM392" i="16"/>
  <c r="CM387" i="16"/>
  <c r="DF386" i="16"/>
  <c r="DC395" i="16"/>
  <c r="DD391" i="16"/>
  <c r="DE391" i="16"/>
  <c r="DD381" i="16"/>
  <c r="CH382" i="16"/>
  <c r="DD393" i="16"/>
  <c r="DF380" i="16"/>
  <c r="DB389" i="16"/>
  <c r="CH204" i="16"/>
  <c r="BP204" i="16"/>
  <c r="BP205" i="16" s="1"/>
  <c r="BP206" i="16" s="1"/>
  <c r="CF383" i="16"/>
  <c r="DB382" i="16"/>
  <c r="DK395" i="16"/>
  <c r="DK385" i="16"/>
  <c r="DK384" i="16"/>
  <c r="DB247" i="16"/>
  <c r="CM204" i="16"/>
  <c r="DF203" i="16"/>
  <c r="CH205" i="16"/>
  <c r="DE209" i="16"/>
  <c r="DE323" i="16"/>
  <c r="CB315" i="16"/>
  <c r="DC314" i="16"/>
  <c r="DG322" i="16"/>
  <c r="DD322" i="16"/>
  <c r="CN314" i="16"/>
  <c r="DF313" i="16"/>
  <c r="DB275" i="16"/>
  <c r="DD395" i="16"/>
  <c r="CB346" i="16"/>
  <c r="DC345" i="16"/>
  <c r="CN344" i="16"/>
  <c r="DG302" i="16"/>
  <c r="DF302" i="16"/>
  <c r="CG250" i="16"/>
  <c r="DD249" i="16"/>
  <c r="DF296" i="16"/>
  <c r="CM297" i="16"/>
  <c r="DG296" i="16"/>
  <c r="BP292" i="16"/>
  <c r="CH292" i="16"/>
  <c r="DG254" i="16"/>
  <c r="CO394" i="16"/>
  <c r="DE393" i="16"/>
  <c r="BO313" i="16"/>
  <c r="CG313" i="16"/>
  <c r="DD205" i="16"/>
  <c r="DG324" i="16"/>
  <c r="DF324" i="16"/>
  <c r="CM325" i="16"/>
  <c r="DB325" i="16"/>
  <c r="CC326" i="16"/>
  <c r="CC319" i="16"/>
  <c r="DB318" i="16"/>
  <c r="DG314" i="16"/>
  <c r="CC318" i="16"/>
  <c r="DB317" i="16"/>
  <c r="BS313" i="16"/>
  <c r="CT314" i="16" s="1"/>
  <c r="CI313" i="16"/>
  <c r="DC208" i="16"/>
  <c r="CN203" i="16"/>
  <c r="DJ252" i="16"/>
  <c r="CI94" i="16"/>
  <c r="CB414" i="16"/>
  <c r="DD317" i="16"/>
  <c r="DJ326" i="16"/>
  <c r="DJ380" i="16"/>
  <c r="DE251" i="16"/>
  <c r="DJ438" i="16"/>
  <c r="BD444" i="16"/>
  <c r="C38" i="20" s="1"/>
  <c r="C15" i="17" s="1"/>
  <c r="DD296" i="16"/>
  <c r="CN327" i="16"/>
  <c r="CN234" i="16"/>
  <c r="CN392" i="16"/>
  <c r="CN303" i="16"/>
  <c r="CN416" i="16"/>
  <c r="CN281" i="16"/>
  <c r="CN326" i="16"/>
  <c r="CN373" i="16"/>
  <c r="CN348" i="16"/>
  <c r="DG301" i="16"/>
  <c r="DC300" i="16"/>
  <c r="DG363" i="16"/>
  <c r="DJ389" i="16"/>
  <c r="DC429" i="16"/>
  <c r="U203" i="16"/>
  <c r="DF343" i="16"/>
  <c r="DD323" i="16"/>
  <c r="DC271" i="16"/>
  <c r="DJ257" i="16"/>
  <c r="DD314" i="16"/>
  <c r="DK303" i="16"/>
  <c r="DD413" i="16"/>
  <c r="DC325" i="16"/>
  <c r="DG294" i="16"/>
  <c r="DG181" i="16"/>
  <c r="DD360" i="16"/>
  <c r="DG368" i="16"/>
  <c r="DJ365" i="16"/>
  <c r="DK371" i="16"/>
  <c r="DB291" i="16"/>
  <c r="CF292" i="16"/>
  <c r="CC252" i="16"/>
  <c r="DB251" i="16"/>
  <c r="E33" i="32"/>
  <c r="E36" i="18"/>
  <c r="DJ247" i="16"/>
  <c r="DG427" i="16"/>
  <c r="CH380" i="16"/>
  <c r="BP380" i="16"/>
  <c r="DG393" i="16"/>
  <c r="CM394" i="16"/>
  <c r="DG381" i="16"/>
  <c r="CM382" i="16"/>
  <c r="DK320" i="16"/>
  <c r="AX444" i="16"/>
  <c r="C13" i="20" s="1"/>
  <c r="C13" i="33" s="1"/>
  <c r="DG323" i="16"/>
  <c r="AD212" i="16"/>
  <c r="AX212" i="16" s="1"/>
  <c r="CF213" i="16" s="1"/>
  <c r="DI117" i="16"/>
  <c r="CF269" i="16"/>
  <c r="CF324" i="16"/>
  <c r="CN269" i="16"/>
  <c r="DC315" i="16"/>
  <c r="DE299" i="16"/>
  <c r="DC403" i="16"/>
  <c r="DJ250" i="16"/>
  <c r="D31" i="32"/>
  <c r="D4" i="10"/>
  <c r="DC358" i="16"/>
  <c r="E36" i="21"/>
  <c r="DD363" i="16"/>
  <c r="DE342" i="16"/>
  <c r="DK257" i="16"/>
  <c r="DC250" i="16"/>
  <c r="DB427" i="16"/>
  <c r="DD370" i="16"/>
  <c r="DC335" i="16"/>
  <c r="DJ293" i="16"/>
  <c r="DB437" i="16"/>
  <c r="CN412" i="16"/>
  <c r="CN343" i="16"/>
  <c r="CN432" i="16"/>
  <c r="CN436" i="16"/>
  <c r="CN394" i="16"/>
  <c r="CN390" i="16"/>
  <c r="CN324" i="16"/>
  <c r="CN441" i="16"/>
  <c r="CN212" i="16"/>
  <c r="CN233" i="16"/>
  <c r="CN440" i="16"/>
  <c r="CN302" i="16"/>
  <c r="CN256" i="16"/>
  <c r="CN439" i="16"/>
  <c r="DK275" i="16"/>
  <c r="DC347" i="16"/>
  <c r="DC295" i="16"/>
  <c r="DC388" i="16"/>
  <c r="DE184" i="16"/>
  <c r="DK364" i="16"/>
  <c r="DE317" i="16"/>
  <c r="DJ382" i="16"/>
  <c r="DJ384" i="16"/>
  <c r="DJ395" i="16"/>
  <c r="DD389" i="16"/>
  <c r="DD247" i="16"/>
  <c r="DG407" i="16"/>
  <c r="CC164" i="16"/>
  <c r="DE313" i="16"/>
  <c r="DB315" i="16"/>
  <c r="DD206" i="16"/>
  <c r="DD319" i="16"/>
  <c r="D9" i="25"/>
  <c r="DK211" i="16"/>
  <c r="CB425" i="16"/>
  <c r="DC424" i="16"/>
  <c r="DB432" i="16"/>
  <c r="DC438" i="16"/>
  <c r="DG430" i="16"/>
  <c r="DE441" i="16"/>
  <c r="DE271" i="16"/>
  <c r="DF279" i="16"/>
  <c r="DJ269" i="16"/>
  <c r="DJ280" i="16"/>
  <c r="CM315" i="16"/>
  <c r="DE435" i="16"/>
  <c r="DF427" i="16"/>
  <c r="DJ291" i="16"/>
  <c r="DD292" i="16"/>
  <c r="DJ295" i="16"/>
  <c r="DF393" i="16"/>
  <c r="DE387" i="16"/>
  <c r="DG207" i="16"/>
  <c r="DE139" i="16"/>
  <c r="DE138" i="16"/>
  <c r="DG338" i="16"/>
  <c r="CN346" i="16"/>
  <c r="DB347" i="16"/>
  <c r="DB348" i="16"/>
  <c r="DK342" i="16"/>
  <c r="CN347" i="16"/>
  <c r="DJ343" i="16"/>
  <c r="DG416" i="16"/>
  <c r="DG414" i="16"/>
  <c r="DD406" i="16"/>
  <c r="DK414" i="16"/>
  <c r="DK411" i="16"/>
  <c r="DG410" i="16"/>
  <c r="DJ418" i="16"/>
  <c r="DE408" i="16"/>
  <c r="DF406" i="16"/>
  <c r="DD412" i="16"/>
  <c r="CN418" i="16"/>
  <c r="CN410" i="16"/>
  <c r="DC411" i="16"/>
  <c r="DJ400" i="16"/>
  <c r="DE424" i="16"/>
  <c r="DB405" i="16"/>
  <c r="DB371" i="16"/>
  <c r="DB356" i="16"/>
  <c r="CN366" i="16"/>
  <c r="E62" i="32"/>
  <c r="DE292" i="16"/>
  <c r="CM390" i="16"/>
  <c r="DF389" i="16"/>
  <c r="CB380" i="16"/>
  <c r="DC379" i="16"/>
  <c r="DE385" i="16"/>
  <c r="CO386" i="16"/>
  <c r="CM393" i="16"/>
  <c r="DF392" i="16"/>
  <c r="CM385" i="16"/>
  <c r="DF384" i="16"/>
  <c r="DE388" i="16"/>
  <c r="CQ389" i="16"/>
  <c r="DC386" i="16"/>
  <c r="DJ394" i="16"/>
  <c r="CC381" i="16"/>
  <c r="DB380" i="16"/>
  <c r="DD388" i="16"/>
  <c r="CG389" i="16"/>
  <c r="DD384" i="16"/>
  <c r="CG385" i="16"/>
  <c r="DE386" i="16"/>
  <c r="CC382" i="16"/>
  <c r="DB381" i="16"/>
  <c r="CB381" i="16"/>
  <c r="DC380" i="16"/>
  <c r="D50" i="32"/>
  <c r="DG252" i="16"/>
  <c r="D27" i="10"/>
  <c r="C19" i="26"/>
  <c r="C21" i="26" s="1"/>
  <c r="D19" i="10"/>
  <c r="CF205" i="16"/>
  <c r="DB204" i="16"/>
  <c r="DF326" i="16"/>
  <c r="DB326" i="16"/>
  <c r="DF321" i="16"/>
  <c r="CM322" i="16"/>
  <c r="DF317" i="16"/>
  <c r="CM318" i="16"/>
  <c r="DE325" i="16"/>
  <c r="CO326" i="16"/>
  <c r="DE326" i="16"/>
  <c r="DI326" i="16" s="1"/>
  <c r="CP327" i="16"/>
  <c r="DJ312" i="16"/>
  <c r="DJ316" i="16"/>
  <c r="DJ318" i="16"/>
  <c r="DJ324" i="16"/>
  <c r="CO322" i="16"/>
  <c r="DE321" i="16"/>
  <c r="DB324" i="16"/>
  <c r="DC324" i="16"/>
  <c r="DE320" i="16"/>
  <c r="DB210" i="16"/>
  <c r="DE430" i="16"/>
  <c r="DG437" i="16"/>
  <c r="DF433" i="16"/>
  <c r="DF429" i="16"/>
  <c r="DG435" i="16"/>
  <c r="DJ74" i="16"/>
  <c r="DD272" i="16"/>
  <c r="DK278" i="16"/>
  <c r="DE277" i="16"/>
  <c r="D33" i="32"/>
  <c r="DE343" i="16"/>
  <c r="DE339" i="16"/>
  <c r="DF349" i="16"/>
  <c r="DB414" i="16"/>
  <c r="DG297" i="16"/>
  <c r="DB297" i="16"/>
  <c r="CN298" i="16"/>
  <c r="DB440" i="16"/>
  <c r="DD299" i="16"/>
  <c r="DF253" i="16"/>
  <c r="DF257" i="16"/>
  <c r="CO382" i="16"/>
  <c r="DE381" i="16"/>
  <c r="DG387" i="16"/>
  <c r="CM388" i="16"/>
  <c r="CC384" i="16"/>
  <c r="DB383" i="16"/>
  <c r="CB382" i="16"/>
  <c r="DC381" i="16"/>
  <c r="DF394" i="16"/>
  <c r="DB384" i="16"/>
  <c r="CG384" i="16"/>
  <c r="DD383" i="16"/>
  <c r="CG380" i="16"/>
  <c r="DD379" i="16"/>
  <c r="DG395" i="16"/>
  <c r="DJ379" i="16"/>
  <c r="DE394" i="16"/>
  <c r="DF320" i="16"/>
  <c r="CO380" i="16"/>
  <c r="DE379" i="16"/>
  <c r="DF316" i="16"/>
  <c r="DG316" i="16"/>
  <c r="DE205" i="16"/>
  <c r="CP206" i="16"/>
  <c r="C7" i="18"/>
  <c r="DF211" i="16"/>
  <c r="DF322" i="16"/>
  <c r="CM323" i="16"/>
  <c r="CC315" i="16"/>
  <c r="DB314" i="16"/>
  <c r="DG318" i="16"/>
  <c r="CG314" i="16"/>
  <c r="DD321" i="16"/>
  <c r="DB321" i="16"/>
  <c r="CX358" i="16"/>
  <c r="BW358" i="16"/>
  <c r="CX359" i="16" s="1"/>
  <c r="BT225" i="16"/>
  <c r="CO225" i="16"/>
  <c r="DE224" i="16"/>
  <c r="CQ292" i="16"/>
  <c r="DG206" i="16"/>
  <c r="DF206" i="16"/>
  <c r="DJ210" i="16"/>
  <c r="DJ203" i="16"/>
  <c r="DJ202" i="16"/>
  <c r="CQ208" i="16"/>
  <c r="DE207" i="16"/>
  <c r="CC427" i="16"/>
  <c r="DB426" i="16"/>
  <c r="DF432" i="16"/>
  <c r="DG432" i="16"/>
  <c r="CG430" i="16"/>
  <c r="DD429" i="16"/>
  <c r="DJ424" i="16"/>
  <c r="DJ423" i="16"/>
  <c r="DE270" i="16"/>
  <c r="CP271" i="16"/>
  <c r="CP276" i="16"/>
  <c r="DE275" i="16"/>
  <c r="DI275" i="16" s="1"/>
  <c r="CH271" i="16"/>
  <c r="CG280" i="16"/>
  <c r="DD279" i="16"/>
  <c r="CC273" i="16"/>
  <c r="DB272" i="16"/>
  <c r="CC269" i="16"/>
  <c r="DB268" i="16"/>
  <c r="CC144" i="16"/>
  <c r="DG344" i="16"/>
  <c r="DF344" i="16"/>
  <c r="CN403" i="16"/>
  <c r="DD431" i="16"/>
  <c r="CG182" i="16"/>
  <c r="DD181" i="16"/>
  <c r="DD277" i="16"/>
  <c r="BQ401" i="16"/>
  <c r="CR402" i="16" s="1"/>
  <c r="CN401" i="16"/>
  <c r="BW335" i="16"/>
  <c r="CQ335" i="16"/>
  <c r="DD139" i="16"/>
  <c r="CG140" i="16"/>
  <c r="DD390" i="16"/>
  <c r="CO404" i="16"/>
  <c r="DE403" i="16"/>
  <c r="DE415" i="16"/>
  <c r="CO416" i="16"/>
  <c r="DC417" i="16"/>
  <c r="CG403" i="16"/>
  <c r="DD402" i="16"/>
  <c r="CO182" i="16"/>
  <c r="DE181" i="16"/>
  <c r="CG363" i="16"/>
  <c r="DD362" i="16"/>
  <c r="DG279" i="16"/>
  <c r="DF141" i="16"/>
  <c r="CM142" i="16"/>
  <c r="CQ138" i="16"/>
  <c r="CG137" i="16"/>
  <c r="BO137" i="16"/>
  <c r="BO138" i="16" s="1"/>
  <c r="DB346" i="16"/>
  <c r="CC347" i="16"/>
  <c r="CP337" i="16"/>
  <c r="CC342" i="16"/>
  <c r="DB341" i="16"/>
  <c r="CG337" i="16"/>
  <c r="DD336" i="16"/>
  <c r="CO342" i="16"/>
  <c r="DE341" i="16"/>
  <c r="DG346" i="16"/>
  <c r="DF346" i="16"/>
  <c r="CM347" i="16"/>
  <c r="CG339" i="16"/>
  <c r="DD338" i="16"/>
  <c r="DD342" i="16"/>
  <c r="CP336" i="16"/>
  <c r="CN402" i="16"/>
  <c r="CC402" i="16"/>
  <c r="DB401" i="16"/>
  <c r="DD410" i="16"/>
  <c r="CF405" i="16"/>
  <c r="DB404" i="16"/>
  <c r="DE418" i="16"/>
  <c r="CO419" i="16"/>
  <c r="DF408" i="16"/>
  <c r="DG408" i="16"/>
  <c r="CM402" i="16"/>
  <c r="DF401" i="16"/>
  <c r="DC409" i="16"/>
  <c r="CO412" i="16"/>
  <c r="DE411" i="16"/>
  <c r="CO405" i="16"/>
  <c r="DE404" i="16"/>
  <c r="CJ28" i="16"/>
  <c r="BR28" i="16"/>
  <c r="CS29" i="16" s="1"/>
  <c r="DB411" i="16"/>
  <c r="DG433" i="16"/>
  <c r="D60" i="25"/>
  <c r="D60" i="27" s="1"/>
  <c r="D58" i="31"/>
  <c r="D61" i="18"/>
  <c r="CG161" i="16"/>
  <c r="CC166" i="16"/>
  <c r="DB165" i="16"/>
  <c r="DK164" i="16"/>
  <c r="DK165" i="16"/>
  <c r="DF162" i="16"/>
  <c r="CM163" i="16"/>
  <c r="DG162" i="16"/>
  <c r="DB162" i="16"/>
  <c r="BS159" i="16"/>
  <c r="CT160" i="16" s="1"/>
  <c r="CI159" i="16"/>
  <c r="CM189" i="16"/>
  <c r="DF188" i="16"/>
  <c r="BW181" i="16"/>
  <c r="CX182" i="16" s="1"/>
  <c r="CQ181" i="16"/>
  <c r="DC369" i="16"/>
  <c r="CM365" i="16"/>
  <c r="DF364" i="16"/>
  <c r="DG364" i="16"/>
  <c r="CM367" i="16"/>
  <c r="DG366" i="16"/>
  <c r="DF366" i="16"/>
  <c r="DB367" i="16"/>
  <c r="CC368" i="16"/>
  <c r="DD359" i="16"/>
  <c r="CG360" i="16"/>
  <c r="DC367" i="16"/>
  <c r="CP358" i="16"/>
  <c r="BT357" i="16"/>
  <c r="CU358" i="16" s="1"/>
  <c r="CO357" i="16"/>
  <c r="DE356" i="16"/>
  <c r="CM370" i="16"/>
  <c r="DF369" i="16"/>
  <c r="DG369" i="16"/>
  <c r="DF361" i="16"/>
  <c r="CM362" i="16"/>
  <c r="DG361" i="16"/>
  <c r="CB363" i="16"/>
  <c r="DC362" i="16"/>
  <c r="DD407" i="16"/>
  <c r="DG164" i="16"/>
  <c r="DC440" i="16"/>
  <c r="DC359" i="16"/>
  <c r="DG276" i="16"/>
  <c r="DD344" i="16"/>
  <c r="C37" i="31"/>
  <c r="DE187" i="16"/>
  <c r="BI444" i="16"/>
  <c r="CO370" i="16"/>
  <c r="DC418" i="16"/>
  <c r="DC371" i="16"/>
  <c r="BM159" i="16"/>
  <c r="CM409" i="16"/>
  <c r="DB246" i="16"/>
  <c r="BQ94" i="16"/>
  <c r="CR95" i="16" s="1"/>
  <c r="DB139" i="16"/>
  <c r="DC277" i="16"/>
  <c r="C51" i="31"/>
  <c r="BG444" i="16"/>
  <c r="C41" i="20" s="1"/>
  <c r="C41" i="33" s="1"/>
  <c r="DD339" i="16"/>
  <c r="CG407" i="16"/>
  <c r="DJ361" i="16"/>
  <c r="DK368" i="16"/>
  <c r="C39" i="31"/>
  <c r="DC336" i="16"/>
  <c r="DE357" i="16"/>
  <c r="DB290" i="16"/>
  <c r="DJ401" i="16"/>
  <c r="DC404" i="16"/>
  <c r="DG402" i="16"/>
  <c r="DJ432" i="16"/>
  <c r="DD270" i="16"/>
  <c r="DC357" i="16"/>
  <c r="DC401" i="16"/>
  <c r="DC160" i="16"/>
  <c r="DC246" i="16"/>
  <c r="DC414" i="16"/>
  <c r="DC426" i="16"/>
  <c r="DE182" i="16"/>
  <c r="DJ273" i="16"/>
  <c r="DJ271" i="16"/>
  <c r="DK279" i="16"/>
  <c r="DD280" i="16"/>
  <c r="BT138" i="16"/>
  <c r="BT139" i="16" s="1"/>
  <c r="DC348" i="16"/>
  <c r="DD347" i="16"/>
  <c r="DC291" i="16"/>
  <c r="DB416" i="16"/>
  <c r="DJ370" i="16"/>
  <c r="DC372" i="16"/>
  <c r="DB363" i="16"/>
  <c r="DC365" i="16"/>
  <c r="BR51" i="16"/>
  <c r="CS52" i="16" s="1"/>
  <c r="DJ410" i="16"/>
  <c r="DC406" i="16"/>
  <c r="DG429" i="16"/>
  <c r="E9" i="26"/>
  <c r="DJ208" i="16"/>
  <c r="DC207" i="16"/>
  <c r="DC162" i="16"/>
  <c r="DE160" i="16"/>
  <c r="DC339" i="16"/>
  <c r="DG340" i="16"/>
  <c r="DF345" i="16"/>
  <c r="DE206" i="16"/>
  <c r="DJ430" i="16"/>
  <c r="DJ426" i="16"/>
  <c r="DJ435" i="16"/>
  <c r="DF184" i="16"/>
  <c r="E25" i="31"/>
  <c r="DJ278" i="16"/>
  <c r="CQ229" i="16"/>
  <c r="DE228" i="16"/>
  <c r="CN225" i="16"/>
  <c r="DF224" i="16"/>
  <c r="CO379" i="16"/>
  <c r="BT379" i="16"/>
  <c r="CQ253" i="16"/>
  <c r="DD252" i="16"/>
  <c r="DE252" i="16"/>
  <c r="CG247" i="16"/>
  <c r="BO247" i="16"/>
  <c r="DD246" i="16"/>
  <c r="CQ294" i="16"/>
  <c r="DE293" i="16"/>
  <c r="CQ291" i="16"/>
  <c r="BW291" i="16"/>
  <c r="CX292" i="16" s="1"/>
  <c r="CK28" i="16"/>
  <c r="BO28" i="16"/>
  <c r="BV28" i="16"/>
  <c r="CW29" i="16" s="1"/>
  <c r="CG209" i="16"/>
  <c r="DD208" i="16"/>
  <c r="DG208" i="16"/>
  <c r="CM209" i="16"/>
  <c r="DF208" i="16"/>
  <c r="DC210" i="16"/>
  <c r="CD203" i="16"/>
  <c r="BN203" i="16"/>
  <c r="DB435" i="16"/>
  <c r="CC436" i="16"/>
  <c r="DF425" i="16"/>
  <c r="CN426" i="16"/>
  <c r="DC434" i="16"/>
  <c r="CB435" i="16"/>
  <c r="CO423" i="16"/>
  <c r="BT423" i="16"/>
  <c r="DE422" i="16"/>
  <c r="CG270" i="16"/>
  <c r="DD269" i="16"/>
  <c r="CH270" i="16"/>
  <c r="BP270" i="16"/>
  <c r="D3" i="31"/>
  <c r="CM278" i="16"/>
  <c r="DF277" i="16"/>
  <c r="DG277" i="16"/>
  <c r="CC272" i="16"/>
  <c r="DB271" i="16"/>
  <c r="BT95" i="16"/>
  <c r="CU95" i="16"/>
  <c r="BU314" i="16"/>
  <c r="CV314" i="16"/>
  <c r="CC159" i="16"/>
  <c r="DB158" i="16"/>
  <c r="D70" i="23"/>
  <c r="D70" i="21"/>
  <c r="CB410" i="16"/>
  <c r="DG348" i="16"/>
  <c r="DF348" i="16"/>
  <c r="CO345" i="16"/>
  <c r="DE344" i="16"/>
  <c r="DD436" i="16"/>
  <c r="DE278" i="16"/>
  <c r="DC366" i="16"/>
  <c r="DB366" i="16"/>
  <c r="CM137" i="16"/>
  <c r="DF136" i="16"/>
  <c r="DC228" i="16"/>
  <c r="DG404" i="16"/>
  <c r="CM405" i="16"/>
  <c r="AJ51" i="16"/>
  <c r="BD51" i="16" s="1"/>
  <c r="CN52" i="16" s="1"/>
  <c r="U81" i="16"/>
  <c r="BW137" i="16"/>
  <c r="CX138" i="16" s="1"/>
  <c r="CQ137" i="16"/>
  <c r="CO339" i="16"/>
  <c r="DE338" i="16"/>
  <c r="CM337" i="16"/>
  <c r="DF336" i="16"/>
  <c r="BO335" i="16"/>
  <c r="BO336" i="16" s="1"/>
  <c r="CG335" i="16"/>
  <c r="DD334" i="16"/>
  <c r="DE346" i="16"/>
  <c r="CO347" i="16"/>
  <c r="DB344" i="16"/>
  <c r="DC344" i="16"/>
  <c r="CF337" i="16"/>
  <c r="DG336" i="16"/>
  <c r="DB337" i="16"/>
  <c r="CC338" i="16"/>
  <c r="CO337" i="16"/>
  <c r="DE336" i="16"/>
  <c r="CC339" i="16"/>
  <c r="DB338" i="16"/>
  <c r="DK346" i="16"/>
  <c r="DK344" i="16"/>
  <c r="DK348" i="16"/>
  <c r="DK345" i="16"/>
  <c r="DK349" i="16"/>
  <c r="DK343" i="16"/>
  <c r="DK340" i="16"/>
  <c r="DJ346" i="16"/>
  <c r="DJ339" i="16"/>
  <c r="DJ338" i="16"/>
  <c r="DJ349" i="16"/>
  <c r="DJ334" i="16"/>
  <c r="DJ345" i="16"/>
  <c r="DJ337" i="16"/>
  <c r="DJ341" i="16"/>
  <c r="DJ342" i="16"/>
  <c r="DJ347" i="16"/>
  <c r="DJ340" i="16"/>
  <c r="DJ335" i="16"/>
  <c r="CB335" i="16"/>
  <c r="DC334" i="16"/>
  <c r="DD346" i="16"/>
  <c r="DD341" i="16"/>
  <c r="CG342" i="16"/>
  <c r="CG338" i="16"/>
  <c r="CM335" i="16"/>
  <c r="DG334" i="16"/>
  <c r="DF334" i="16"/>
  <c r="DC415" i="16"/>
  <c r="DF417" i="16"/>
  <c r="DG417" i="16"/>
  <c r="CG402" i="16"/>
  <c r="DD401" i="16"/>
  <c r="CM413" i="16"/>
  <c r="DG412" i="16"/>
  <c r="DF412" i="16"/>
  <c r="CG406" i="16"/>
  <c r="DD405" i="16"/>
  <c r="DJ411" i="16"/>
  <c r="DE417" i="16"/>
  <c r="CQ403" i="16"/>
  <c r="DF410" i="16"/>
  <c r="BP402" i="16"/>
  <c r="CH402" i="16"/>
  <c r="DD408" i="16"/>
  <c r="DB415" i="16"/>
  <c r="DB407" i="16"/>
  <c r="CC408" i="16"/>
  <c r="DE414" i="16"/>
  <c r="CO415" i="16"/>
  <c r="BW401" i="16"/>
  <c r="CX402" i="16" s="1"/>
  <c r="CQ401" i="16"/>
  <c r="DK209" i="16"/>
  <c r="DJ406" i="16"/>
  <c r="CM361" i="16"/>
  <c r="DG360" i="16"/>
  <c r="DF360" i="16"/>
  <c r="D47" i="31"/>
  <c r="D50" i="18"/>
  <c r="E65" i="13"/>
  <c r="E68" i="31"/>
  <c r="E71" i="18"/>
  <c r="DF165" i="16"/>
  <c r="CM166" i="16"/>
  <c r="DG165" i="16"/>
  <c r="CO160" i="16"/>
  <c r="DE159" i="16"/>
  <c r="CG162" i="16"/>
  <c r="DD161" i="16"/>
  <c r="CO159" i="16"/>
  <c r="BT159" i="16"/>
  <c r="CU160" i="16" s="1"/>
  <c r="DE158" i="16"/>
  <c r="CP159" i="16"/>
  <c r="BU159" i="16"/>
  <c r="CV160" i="16" s="1"/>
  <c r="CM183" i="16"/>
  <c r="DG182" i="16"/>
  <c r="DF182" i="16"/>
  <c r="DB188" i="16"/>
  <c r="DD369" i="16"/>
  <c r="CC358" i="16"/>
  <c r="DB357" i="16"/>
  <c r="CO360" i="16"/>
  <c r="DE359" i="16"/>
  <c r="DK366" i="16"/>
  <c r="DK362" i="16"/>
  <c r="DK365" i="16"/>
  <c r="DK369" i="16"/>
  <c r="DK367" i="16"/>
  <c r="DJ364" i="16"/>
  <c r="DJ357" i="16"/>
  <c r="DJ367" i="16"/>
  <c r="DJ366" i="16"/>
  <c r="DJ356" i="16"/>
  <c r="CM359" i="16"/>
  <c r="DF358" i="16"/>
  <c r="DC364" i="16"/>
  <c r="CM357" i="16"/>
  <c r="DF356" i="16"/>
  <c r="DF367" i="16"/>
  <c r="CM368" i="16"/>
  <c r="DG367" i="16"/>
  <c r="DF359" i="16"/>
  <c r="DG359" i="16"/>
  <c r="CM360" i="16"/>
  <c r="CC363" i="16"/>
  <c r="DB362" i="16"/>
  <c r="CO369" i="16"/>
  <c r="DE368" i="16"/>
  <c r="DG358" i="16"/>
  <c r="BQ357" i="16"/>
  <c r="CR358" i="16" s="1"/>
  <c r="DE402" i="16"/>
  <c r="DD367" i="16"/>
  <c r="DE334" i="16"/>
  <c r="CN247" i="16"/>
  <c r="BN28" i="16"/>
  <c r="CJ29" i="16" s="1"/>
  <c r="C38" i="31"/>
  <c r="DK142" i="16"/>
  <c r="BB444" i="16"/>
  <c r="DC181" i="16"/>
  <c r="CI181" i="16"/>
  <c r="CO435" i="16"/>
  <c r="DH94" i="16"/>
  <c r="DE161" i="16"/>
  <c r="DF362" i="16"/>
  <c r="BM357" i="16"/>
  <c r="BM358" i="16" s="1"/>
  <c r="CM433" i="16"/>
  <c r="CC373" i="16"/>
  <c r="CC348" i="16"/>
  <c r="DI115" i="16"/>
  <c r="DI49" i="16"/>
  <c r="DH96" i="16"/>
  <c r="D12" i="18"/>
  <c r="DD141" i="16"/>
  <c r="DE335" i="16"/>
  <c r="DG406" i="16"/>
  <c r="DG273" i="16"/>
  <c r="DG362" i="16"/>
  <c r="CP401" i="16"/>
  <c r="BW116" i="16"/>
  <c r="CX117" i="16" s="1"/>
  <c r="DJ207" i="16"/>
  <c r="DE291" i="16"/>
  <c r="DJ371" i="16"/>
  <c r="DK372" i="16"/>
  <c r="DB370" i="16"/>
  <c r="D66" i="23"/>
  <c r="DC361" i="16"/>
  <c r="DE365" i="16"/>
  <c r="DI365" i="16" s="1"/>
  <c r="DG141" i="16"/>
  <c r="DC338" i="16"/>
  <c r="DJ336" i="16"/>
  <c r="DK347" i="16"/>
  <c r="DJ403" i="16"/>
  <c r="DJ407" i="16"/>
  <c r="DK408" i="16"/>
  <c r="DD404" i="16"/>
  <c r="DJ439" i="16"/>
  <c r="DJ433" i="16"/>
  <c r="DE269" i="16"/>
  <c r="DC275" i="16"/>
  <c r="CG358" i="16"/>
  <c r="DG246" i="16"/>
  <c r="DD273" i="16"/>
  <c r="DE142" i="16"/>
  <c r="DF414" i="16"/>
  <c r="DD426" i="16"/>
  <c r="DJ274" i="16"/>
  <c r="DD348" i="16"/>
  <c r="DF416" i="16"/>
  <c r="DI416" i="16" s="1"/>
  <c r="DC433" i="16"/>
  <c r="DG183" i="16"/>
  <c r="DG275" i="16"/>
  <c r="DD358" i="16"/>
  <c r="DJ358" i="16"/>
  <c r="DJ372" i="16"/>
  <c r="DK370" i="16"/>
  <c r="DG371" i="16"/>
  <c r="DC390" i="16"/>
  <c r="DJ408" i="16"/>
  <c r="DJ409" i="16"/>
  <c r="DJ417" i="16"/>
  <c r="DJ413" i="16"/>
  <c r="DC407" i="16"/>
  <c r="DG425" i="16"/>
  <c r="DB429" i="16"/>
  <c r="DC425" i="16"/>
  <c r="CG414" i="16"/>
  <c r="DC204" i="16"/>
  <c r="DJ211" i="16"/>
  <c r="DC206" i="16"/>
  <c r="DB209" i="16"/>
  <c r="CC163" i="16"/>
  <c r="DC164" i="16"/>
  <c r="DD160" i="16"/>
  <c r="DG161" i="16"/>
  <c r="DF338" i="16"/>
  <c r="DF339" i="16"/>
  <c r="DG341" i="16"/>
  <c r="DG342" i="16"/>
  <c r="DB345" i="16"/>
  <c r="DC203" i="16"/>
  <c r="CP370" i="16"/>
  <c r="DJ441" i="16"/>
  <c r="DJ431" i="16"/>
  <c r="DJ440" i="16"/>
  <c r="DG184" i="16"/>
  <c r="E65" i="23"/>
  <c r="D6" i="18"/>
  <c r="D8" i="25"/>
  <c r="C17" i="31"/>
  <c r="DJ272" i="16"/>
  <c r="DC274" i="16"/>
  <c r="DC272" i="16"/>
  <c r="CQ228" i="16"/>
  <c r="CN379" i="16"/>
  <c r="DB378" i="16"/>
  <c r="DF378" i="16"/>
  <c r="CQ247" i="16"/>
  <c r="BW247" i="16"/>
  <c r="BN291" i="16"/>
  <c r="CD291" i="16"/>
  <c r="CQ303" i="16"/>
  <c r="DE302" i="16"/>
  <c r="DD302" i="16"/>
  <c r="BT291" i="16"/>
  <c r="CO291" i="16"/>
  <c r="CO212" i="16"/>
  <c r="DE211" i="16"/>
  <c r="CM440" i="16"/>
  <c r="DF439" i="16"/>
  <c r="DG439" i="16"/>
  <c r="DK435" i="16"/>
  <c r="DK430" i="16"/>
  <c r="DK429" i="16"/>
  <c r="DK432" i="16"/>
  <c r="DK431" i="16"/>
  <c r="DK436" i="16"/>
  <c r="DK433" i="16"/>
  <c r="DK428" i="16"/>
  <c r="DK439" i="16"/>
  <c r="DK437" i="16"/>
  <c r="DK438" i="16"/>
  <c r="DK440" i="16"/>
  <c r="DK434" i="16"/>
  <c r="DK441" i="16"/>
  <c r="DE433" i="16"/>
  <c r="CM423" i="16"/>
  <c r="DF422" i="16"/>
  <c r="DG422" i="16"/>
  <c r="CQ424" i="16"/>
  <c r="DE423" i="16"/>
  <c r="DC423" i="16"/>
  <c r="DJ425" i="16"/>
  <c r="DC278" i="16"/>
  <c r="CH272" i="16"/>
  <c r="DC293" i="16"/>
  <c r="CN272" i="16"/>
  <c r="DF271" i="16"/>
  <c r="DF273" i="16"/>
  <c r="D36" i="23"/>
  <c r="D36" i="21"/>
  <c r="DH50" i="16"/>
  <c r="DE390" i="16"/>
  <c r="CM167" i="16"/>
  <c r="DF166" i="16"/>
  <c r="DB422" i="16"/>
  <c r="D71" i="21"/>
  <c r="D71" i="23"/>
  <c r="CC340" i="16"/>
  <c r="DB339" i="16"/>
  <c r="DC227" i="16"/>
  <c r="DB417" i="16"/>
  <c r="CM416" i="16"/>
  <c r="DF415" i="16"/>
  <c r="DG415" i="16"/>
  <c r="CM160" i="16"/>
  <c r="DF159" i="16"/>
  <c r="CB162" i="16"/>
  <c r="DC161" i="16"/>
  <c r="DE436" i="16"/>
  <c r="DC428" i="16"/>
  <c r="DD368" i="16"/>
  <c r="DD274" i="16"/>
  <c r="DD422" i="16"/>
  <c r="DK210" i="16"/>
  <c r="DE395" i="16"/>
  <c r="CO411" i="16"/>
  <c r="DE410" i="16"/>
  <c r="CM404" i="16"/>
  <c r="DF403" i="16"/>
  <c r="DG403" i="16"/>
  <c r="DF160" i="16"/>
  <c r="CM161" i="16"/>
  <c r="DG370" i="16"/>
  <c r="DF370" i="16"/>
  <c r="CM371" i="16"/>
  <c r="CO338" i="16"/>
  <c r="DE337" i="16"/>
  <c r="CC337" i="16"/>
  <c r="DB336" i="16"/>
  <c r="CO350" i="16"/>
  <c r="DE349" i="16"/>
  <c r="DC342" i="16"/>
  <c r="DD349" i="16"/>
  <c r="DF335" i="16"/>
  <c r="BM335" i="16"/>
  <c r="CF335" i="16"/>
  <c r="DC346" i="16"/>
  <c r="CH347" i="16"/>
  <c r="DD345" i="16"/>
  <c r="CG341" i="16"/>
  <c r="DD340" i="16"/>
  <c r="DD335" i="16"/>
  <c r="CG336" i="16"/>
  <c r="BU335" i="16"/>
  <c r="CV336" i="16" s="1"/>
  <c r="CP335" i="16"/>
  <c r="DF409" i="16"/>
  <c r="DG409" i="16"/>
  <c r="DD417" i="16"/>
  <c r="DB409" i="16"/>
  <c r="CQ402" i="16"/>
  <c r="CM408" i="16"/>
  <c r="DF407" i="16"/>
  <c r="CC407" i="16"/>
  <c r="DB406" i="16"/>
  <c r="DB403" i="16"/>
  <c r="CC404" i="16"/>
  <c r="DE413" i="16"/>
  <c r="CO414" i="16"/>
  <c r="DD414" i="16"/>
  <c r="CM164" i="16"/>
  <c r="DF163" i="16"/>
  <c r="DG163" i="16"/>
  <c r="CP160" i="16"/>
  <c r="DJ164" i="16"/>
  <c r="DJ161" i="16"/>
  <c r="DJ158" i="16"/>
  <c r="DJ159" i="16"/>
  <c r="DJ163" i="16"/>
  <c r="DJ160" i="16"/>
  <c r="DJ162" i="16"/>
  <c r="DC165" i="16"/>
  <c r="CB166" i="16"/>
  <c r="BP160" i="16"/>
  <c r="CH160" i="16"/>
  <c r="CO187" i="16"/>
  <c r="DE186" i="16"/>
  <c r="CM184" i="16"/>
  <c r="DF183" i="16"/>
  <c r="CQ182" i="16"/>
  <c r="DE362" i="16"/>
  <c r="CO363" i="16"/>
  <c r="DE358" i="16"/>
  <c r="CO359" i="16"/>
  <c r="CO365" i="16"/>
  <c r="DE364" i="16"/>
  <c r="CM366" i="16"/>
  <c r="DG365" i="16"/>
  <c r="CM358" i="16"/>
  <c r="DF357" i="16"/>
  <c r="CO372" i="16"/>
  <c r="DE371" i="16"/>
  <c r="CO368" i="16"/>
  <c r="DE367" i="16"/>
  <c r="CO361" i="16"/>
  <c r="DE360" i="16"/>
  <c r="CN358" i="16"/>
  <c r="CI357" i="16"/>
  <c r="BS357" i="16"/>
  <c r="CT358" i="16" s="1"/>
  <c r="BU424" i="16"/>
  <c r="DD207" i="16"/>
  <c r="DD211" i="16"/>
  <c r="DC302" i="16"/>
  <c r="DF404" i="16"/>
  <c r="DE409" i="16"/>
  <c r="DI119" i="16"/>
  <c r="DH117" i="16"/>
  <c r="D7" i="31"/>
  <c r="D25" i="31"/>
  <c r="BT269" i="16"/>
  <c r="CU270" i="16" s="1"/>
  <c r="CM411" i="16"/>
  <c r="CM345" i="16"/>
  <c r="CC416" i="16"/>
  <c r="CC344" i="16"/>
  <c r="CC367" i="16"/>
  <c r="DH49" i="16"/>
  <c r="DJ166" i="16"/>
  <c r="DB202" i="16"/>
  <c r="CN291" i="16"/>
  <c r="DE401" i="16"/>
  <c r="CF369" i="16"/>
  <c r="DI73" i="16"/>
  <c r="DD337" i="16"/>
  <c r="DD159" i="16"/>
  <c r="DE274" i="16"/>
  <c r="CM274" i="16"/>
  <c r="DC368" i="16"/>
  <c r="CE279" i="16"/>
  <c r="CE431" i="16"/>
  <c r="CB365" i="16"/>
  <c r="CB370" i="16"/>
  <c r="DJ206" i="16"/>
  <c r="DB160" i="16"/>
  <c r="DB182" i="16"/>
  <c r="DJ362" i="16"/>
  <c r="DK363" i="16"/>
  <c r="BO72" i="16"/>
  <c r="CK73" i="16" s="1"/>
  <c r="DE210" i="16"/>
  <c r="DD164" i="16"/>
  <c r="CM339" i="16"/>
  <c r="DJ348" i="16"/>
  <c r="DJ404" i="16"/>
  <c r="DJ414" i="16"/>
  <c r="DK417" i="16"/>
  <c r="DJ429" i="16"/>
  <c r="DD425" i="16"/>
  <c r="CO434" i="16"/>
  <c r="DC405" i="16"/>
  <c r="DJ165" i="16"/>
  <c r="DD163" i="16"/>
  <c r="DG159" i="16"/>
  <c r="CM415" i="16"/>
  <c r="DD430" i="16"/>
  <c r="DJ277" i="16"/>
  <c r="DF143" i="16"/>
  <c r="DD293" i="16"/>
  <c r="DD437" i="16"/>
  <c r="DB183" i="16"/>
  <c r="DJ368" i="16"/>
  <c r="DJ363" i="16"/>
  <c r="DC360" i="16"/>
  <c r="DC363" i="16"/>
  <c r="DH115" i="16"/>
  <c r="DJ405" i="16"/>
  <c r="DC412" i="16"/>
  <c r="DJ416" i="16"/>
  <c r="DE162" i="16"/>
  <c r="DC186" i="16"/>
  <c r="CG369" i="16"/>
  <c r="CG413" i="16"/>
  <c r="DE204" i="16"/>
  <c r="DG209" i="16"/>
  <c r="DJ204" i="16"/>
  <c r="DB206" i="16"/>
  <c r="DB208" i="16"/>
  <c r="DC159" i="16"/>
  <c r="DB161" i="16"/>
  <c r="DC163" i="16"/>
  <c r="DB164" i="16"/>
  <c r="DC337" i="16"/>
  <c r="DF340" i="16"/>
  <c r="DC341" i="16"/>
  <c r="DG343" i="16"/>
  <c r="DG345" i="16"/>
  <c r="DD204" i="16"/>
  <c r="CP431" i="16"/>
  <c r="CP437" i="16"/>
  <c r="DJ428" i="16"/>
  <c r="DJ434" i="16"/>
  <c r="DC431" i="16"/>
  <c r="E7" i="13"/>
  <c r="E44" i="25" s="1"/>
  <c r="DC269" i="16"/>
  <c r="DJ275" i="16"/>
  <c r="DD271" i="16"/>
  <c r="BW225" i="16"/>
  <c r="CQ225" i="16"/>
  <c r="CQ393" i="16"/>
  <c r="DD392" i="16"/>
  <c r="CD379" i="16"/>
  <c r="BN379" i="16"/>
  <c r="BU247" i="16"/>
  <c r="CP247" i="16"/>
  <c r="DE246" i="16"/>
  <c r="CQ254" i="16"/>
  <c r="DD253" i="16"/>
  <c r="DE253" i="16"/>
  <c r="BR72" i="16"/>
  <c r="CS73" i="16" s="1"/>
  <c r="CJ72" i="16"/>
  <c r="DF210" i="16"/>
  <c r="DG210" i="16"/>
  <c r="CF212" i="16"/>
  <c r="DB211" i="16"/>
  <c r="CF208" i="16"/>
  <c r="DB207" i="16"/>
  <c r="CM206" i="16"/>
  <c r="DF205" i="16"/>
  <c r="DD210" i="16"/>
  <c r="DD433" i="16"/>
  <c r="DE440" i="16"/>
  <c r="DD440" i="16"/>
  <c r="DB425" i="16"/>
  <c r="DD427" i="16"/>
  <c r="CH428" i="16"/>
  <c r="DD432" i="16"/>
  <c r="DE432" i="16"/>
  <c r="CO433" i="16"/>
  <c r="DC279" i="16"/>
  <c r="D12" i="31"/>
  <c r="C43" i="31"/>
  <c r="D61" i="13"/>
  <c r="CB271" i="16"/>
  <c r="DC270" i="16"/>
  <c r="CM271" i="16"/>
  <c r="DG270" i="16"/>
  <c r="DF270" i="16"/>
  <c r="DB277" i="16"/>
  <c r="CC274" i="16"/>
  <c r="DB273" i="16"/>
  <c r="CF270" i="16"/>
  <c r="DB269" i="16"/>
  <c r="CG269" i="16"/>
  <c r="BO269" i="16"/>
  <c r="BO270" i="16" s="1"/>
  <c r="CP338" i="16"/>
  <c r="DB342" i="16"/>
  <c r="DE227" i="16"/>
  <c r="CC359" i="16"/>
  <c r="DB358" i="16"/>
  <c r="CM369" i="16"/>
  <c r="DF368" i="16"/>
  <c r="DE250" i="16"/>
  <c r="BU73" i="16"/>
  <c r="O213" i="16"/>
  <c r="CN189" i="16"/>
  <c r="CN278" i="16"/>
  <c r="CN387" i="16"/>
  <c r="CN345" i="16"/>
  <c r="CN280" i="16"/>
  <c r="CN258" i="16"/>
  <c r="CN167" i="16"/>
  <c r="DE348" i="16"/>
  <c r="CO402" i="16"/>
  <c r="CC409" i="16"/>
  <c r="DB408" i="16"/>
  <c r="DB418" i="16"/>
  <c r="CC419" i="16"/>
  <c r="DB364" i="16"/>
  <c r="CC365" i="16"/>
  <c r="DC273" i="16"/>
  <c r="DD291" i="16"/>
  <c r="CM138" i="16"/>
  <c r="DF137" i="16"/>
  <c r="CQ139" i="16"/>
  <c r="CC142" i="16"/>
  <c r="DB141" i="16"/>
  <c r="CO142" i="16"/>
  <c r="DE141" i="16"/>
  <c r="CO348" i="16"/>
  <c r="DE347" i="16"/>
  <c r="CC350" i="16"/>
  <c r="DB349" i="16"/>
  <c r="DG347" i="16"/>
  <c r="DF347" i="16"/>
  <c r="DG349" i="16"/>
  <c r="DD343" i="16"/>
  <c r="DE405" i="16"/>
  <c r="CO406" i="16"/>
  <c r="BT401" i="16"/>
  <c r="CU402" i="16" s="1"/>
  <c r="CO401" i="16"/>
  <c r="DE400" i="16"/>
  <c r="DK410" i="16"/>
  <c r="DK413" i="16"/>
  <c r="DK407" i="16"/>
  <c r="DK409" i="16"/>
  <c r="DK415" i="16"/>
  <c r="DC416" i="16"/>
  <c r="CO408" i="16"/>
  <c r="DE407" i="16"/>
  <c r="DG413" i="16"/>
  <c r="DH413" i="16" s="1"/>
  <c r="DF413" i="16"/>
  <c r="DD416" i="16"/>
  <c r="CC403" i="16"/>
  <c r="DB402" i="16"/>
  <c r="CO413" i="16"/>
  <c r="DE412" i="16"/>
  <c r="DF400" i="16"/>
  <c r="BS401" i="16"/>
  <c r="CT402" i="16" s="1"/>
  <c r="CI401" i="16"/>
  <c r="D47" i="21"/>
  <c r="D47" i="23"/>
  <c r="DF405" i="16"/>
  <c r="DG426" i="16"/>
  <c r="DG187" i="16"/>
  <c r="DC370" i="16"/>
  <c r="D9" i="31"/>
  <c r="DF161" i="16"/>
  <c r="CM162" i="16"/>
  <c r="DD165" i="16"/>
  <c r="CG166" i="16"/>
  <c r="CO166" i="16"/>
  <c r="DE165" i="16"/>
  <c r="CG159" i="16"/>
  <c r="BO159" i="16"/>
  <c r="DD158" i="16"/>
  <c r="CM159" i="16"/>
  <c r="DF158" i="16"/>
  <c r="DG158" i="16"/>
  <c r="CM187" i="16"/>
  <c r="DF186" i="16"/>
  <c r="CC188" i="16"/>
  <c r="DB187" i="16"/>
  <c r="DF185" i="16"/>
  <c r="CG181" i="16"/>
  <c r="BO181" i="16"/>
  <c r="DG372" i="16"/>
  <c r="CM373" i="16"/>
  <c r="DB369" i="16"/>
  <c r="DD366" i="16"/>
  <c r="DE361" i="16"/>
  <c r="CO362" i="16"/>
  <c r="CO358" i="16"/>
  <c r="CC362" i="16"/>
  <c r="DB361" i="16"/>
  <c r="DD364" i="16"/>
  <c r="CP357" i="16"/>
  <c r="BU357" i="16"/>
  <c r="CV358" i="16" s="1"/>
  <c r="CC366" i="16"/>
  <c r="DB365" i="16"/>
  <c r="CC360" i="16"/>
  <c r="DB359" i="16"/>
  <c r="CG362" i="16"/>
  <c r="DD361" i="16"/>
  <c r="DE370" i="16"/>
  <c r="DF372" i="16"/>
  <c r="BV116" i="16"/>
  <c r="CK116" i="16"/>
  <c r="DB340" i="16"/>
  <c r="DC408" i="16"/>
  <c r="DF164" i="16"/>
  <c r="DE431" i="16"/>
  <c r="DI431" i="16" s="1"/>
  <c r="DG188" i="16"/>
  <c r="DD438" i="16"/>
  <c r="DF423" i="16"/>
  <c r="DC276" i="16"/>
  <c r="BC444" i="16"/>
  <c r="DF4" i="16"/>
  <c r="CM5" i="16"/>
  <c r="BM202" i="16"/>
  <c r="DG202" i="16"/>
  <c r="BM290" i="16"/>
  <c r="DG290" i="16"/>
  <c r="CI379" i="16"/>
  <c r="BS379" i="16"/>
  <c r="CT380" i="16" s="1"/>
  <c r="D51" i="21"/>
  <c r="D51" i="23"/>
  <c r="DJ138" i="16"/>
  <c r="DJ143" i="16"/>
  <c r="DJ142" i="16"/>
  <c r="DJ137" i="16"/>
  <c r="DJ141" i="16"/>
  <c r="CP138" i="16"/>
  <c r="CF186" i="16"/>
  <c r="DG185" i="16"/>
  <c r="DJ186" i="16"/>
  <c r="DJ187" i="16"/>
  <c r="DJ180" i="16"/>
  <c r="DJ181" i="16"/>
  <c r="DJ183" i="16"/>
  <c r="DJ182" i="16"/>
  <c r="DJ188" i="16"/>
  <c r="DJ185" i="16"/>
  <c r="DJ184" i="16"/>
  <c r="BV95" i="16"/>
  <c r="CW96" i="16" s="1"/>
  <c r="CK95" i="16"/>
  <c r="BO95" i="16"/>
  <c r="D28" i="18"/>
  <c r="D50" i="25"/>
  <c r="U59" i="16"/>
  <c r="AJ28" i="16"/>
  <c r="BD28" i="16" s="1"/>
  <c r="CL29" i="16"/>
  <c r="BX29" i="16"/>
  <c r="CY30" i="16" s="1"/>
  <c r="CX204" i="16"/>
  <c r="C36" i="25"/>
  <c r="C53" i="13"/>
  <c r="D39" i="13" s="1"/>
  <c r="C54" i="18"/>
  <c r="DJ140" i="16"/>
  <c r="E53" i="23"/>
  <c r="C23" i="25"/>
  <c r="C26" i="25" s="1"/>
  <c r="D46" i="13"/>
  <c r="D40" i="13"/>
  <c r="D57" i="13"/>
  <c r="C42" i="18"/>
  <c r="CE167" i="16"/>
  <c r="DG166" i="16"/>
  <c r="CM75" i="16"/>
  <c r="DG74" i="16"/>
  <c r="BA4" i="16"/>
  <c r="DC4" i="16" s="1"/>
  <c r="Y5" i="16"/>
  <c r="AF5" i="16"/>
  <c r="AZ5" i="16" s="1"/>
  <c r="AJ5" i="16"/>
  <c r="BD5" i="16" s="1"/>
  <c r="Z5" i="16"/>
  <c r="AT5" i="16" s="1"/>
  <c r="AC5" i="16"/>
  <c r="AW5" i="16" s="1"/>
  <c r="AK5" i="16"/>
  <c r="BE5" i="16" s="1"/>
  <c r="AE5" i="16"/>
  <c r="AY5" i="16" s="1"/>
  <c r="AI5" i="16"/>
  <c r="BC5" i="16" s="1"/>
  <c r="AA5" i="16"/>
  <c r="AU5" i="16" s="1"/>
  <c r="AD5" i="16"/>
  <c r="AX5" i="16" s="1"/>
  <c r="AM5" i="16"/>
  <c r="BG5" i="16" s="1"/>
  <c r="C10" i="25"/>
  <c r="D55" i="13"/>
  <c r="C40" i="18"/>
  <c r="D38" i="13"/>
  <c r="D37" i="13"/>
  <c r="CH225" i="16"/>
  <c r="DD224" i="16"/>
  <c r="BN269" i="16"/>
  <c r="CD269" i="16"/>
  <c r="CD357" i="16"/>
  <c r="BN357" i="16"/>
  <c r="CR160" i="16"/>
  <c r="DC183" i="16"/>
  <c r="CB184" i="16"/>
  <c r="AI396" i="16"/>
  <c r="BC396" i="16" s="1"/>
  <c r="AI419" i="16"/>
  <c r="BC419" i="16" s="1"/>
  <c r="AI304" i="16"/>
  <c r="BC304" i="16" s="1"/>
  <c r="AI327" i="16"/>
  <c r="BC327" i="16" s="1"/>
  <c r="AI281" i="16"/>
  <c r="BC281" i="16" s="1"/>
  <c r="U212" i="16"/>
  <c r="AI189" i="16"/>
  <c r="BC189" i="16" s="1"/>
  <c r="AD373" i="16"/>
  <c r="AX373" i="16" s="1"/>
  <c r="AI258" i="16"/>
  <c r="BC258" i="16" s="1"/>
  <c r="BM51" i="16"/>
  <c r="CI51" i="16"/>
  <c r="CU50" i="16"/>
  <c r="BT50" i="16"/>
  <c r="CX6" i="16"/>
  <c r="D44" i="26"/>
  <c r="BX117" i="16"/>
  <c r="CY118" i="16" s="1"/>
  <c r="CL117" i="16"/>
  <c r="CP75" i="16"/>
  <c r="BU270" i="16"/>
  <c r="DJ4" i="16"/>
  <c r="AV444" i="16"/>
  <c r="DE137" i="16"/>
  <c r="CF167" i="16"/>
  <c r="C21" i="13"/>
  <c r="D45" i="13"/>
  <c r="D30" i="13"/>
  <c r="C20" i="18"/>
  <c r="BU203" i="16"/>
  <c r="CP203" i="16"/>
  <c r="CE225" i="16"/>
  <c r="DG224" i="16"/>
  <c r="DD268" i="16"/>
  <c r="CH269" i="16"/>
  <c r="BU291" i="16"/>
  <c r="DE290" i="16"/>
  <c r="CP291" i="16"/>
  <c r="CE313" i="16"/>
  <c r="DG312" i="16"/>
  <c r="BU379" i="16"/>
  <c r="CP379" i="16"/>
  <c r="DE378" i="16"/>
  <c r="BE166" i="16"/>
  <c r="C15" i="26"/>
  <c r="D43" i="10"/>
  <c r="D56" i="10"/>
  <c r="D38" i="10"/>
  <c r="BA143" i="16"/>
  <c r="CB139" i="16"/>
  <c r="DC138" i="16"/>
  <c r="CD140" i="16"/>
  <c r="DC139" i="16"/>
  <c r="CN141" i="16"/>
  <c r="DB140" i="16"/>
  <c r="DF140" i="16"/>
  <c r="DG140" i="16"/>
  <c r="CQ144" i="16"/>
  <c r="DE143" i="16"/>
  <c r="CP137" i="16"/>
  <c r="BF444" i="16"/>
  <c r="C40" i="20" s="1"/>
  <c r="C40" i="33" s="1"/>
  <c r="BU137" i="16"/>
  <c r="DE136" i="16"/>
  <c r="CB137" i="16"/>
  <c r="DC136" i="16"/>
  <c r="CP184" i="16"/>
  <c r="DE183" i="16"/>
  <c r="DD187" i="16"/>
  <c r="CG188" i="16"/>
  <c r="CG184" i="16"/>
  <c r="DD183" i="16"/>
  <c r="CQ185" i="16"/>
  <c r="BT181" i="16"/>
  <c r="CO181" i="16"/>
  <c r="DE180" i="16"/>
  <c r="CB181" i="16"/>
  <c r="DC180" i="16"/>
  <c r="CR50" i="16"/>
  <c r="BQ50" i="16"/>
  <c r="CX270" i="16"/>
  <c r="BW270" i="16"/>
  <c r="CB5" i="16"/>
  <c r="AS444" i="16"/>
  <c r="AC235" i="16"/>
  <c r="AW235" i="16" s="1"/>
  <c r="CE236" i="16" s="1"/>
  <c r="Y350" i="16"/>
  <c r="Y235" i="16"/>
  <c r="Y304" i="16"/>
  <c r="Y258" i="16"/>
  <c r="Y281" i="16"/>
  <c r="Y327" i="16"/>
  <c r="Y212" i="16"/>
  <c r="Y373" i="16"/>
  <c r="U202" i="16"/>
  <c r="Y419" i="16"/>
  <c r="AS419" i="16" s="1"/>
  <c r="Y396" i="16"/>
  <c r="Y189" i="16"/>
  <c r="D45" i="25"/>
  <c r="CK358" i="16"/>
  <c r="BO358" i="16"/>
  <c r="BV358" i="16"/>
  <c r="CW359" i="16" s="1"/>
  <c r="CX160" i="16"/>
  <c r="BW160" i="16"/>
  <c r="AI350" i="16"/>
  <c r="BC350" i="16" s="1"/>
  <c r="DE202" i="16"/>
  <c r="BM379" i="16"/>
  <c r="CV402" i="16"/>
  <c r="BU402" i="16"/>
  <c r="BW72" i="16"/>
  <c r="CX72" i="16"/>
  <c r="D34" i="23"/>
  <c r="D34" i="21"/>
  <c r="AH327" i="16"/>
  <c r="BB327" i="16" s="1"/>
  <c r="AH212" i="16"/>
  <c r="BB212" i="16" s="1"/>
  <c r="AH281" i="16"/>
  <c r="BB281" i="16" s="1"/>
  <c r="AH419" i="16"/>
  <c r="BB419" i="16" s="1"/>
  <c r="AH373" i="16"/>
  <c r="BB373" i="16" s="1"/>
  <c r="AH258" i="16"/>
  <c r="BB258" i="16" s="1"/>
  <c r="AH189" i="16"/>
  <c r="BB189" i="16" s="1"/>
  <c r="AH235" i="16"/>
  <c r="BB235" i="16" s="1"/>
  <c r="AH396" i="16"/>
  <c r="BB396" i="16" s="1"/>
  <c r="AH304" i="16"/>
  <c r="BB304" i="16" s="1"/>
  <c r="AH350" i="16"/>
  <c r="BB350" i="16" s="1"/>
  <c r="DI96" i="16"/>
  <c r="DJ136" i="16"/>
  <c r="D69" i="23"/>
  <c r="D69" i="21"/>
  <c r="CL74" i="16"/>
  <c r="CJ73" i="16"/>
  <c r="BT5" i="16"/>
  <c r="BE444" i="16"/>
  <c r="DE4" i="16"/>
  <c r="CO5" i="16"/>
  <c r="DD4" i="16"/>
  <c r="CU336" i="16"/>
  <c r="BT336" i="16"/>
  <c r="D68" i="23"/>
  <c r="D68" i="21"/>
  <c r="BP337" i="16"/>
  <c r="AB5" i="16"/>
  <c r="AV5" i="16" s="1"/>
  <c r="AV445" i="16" s="1"/>
  <c r="AV28" i="16"/>
  <c r="CM121" i="16"/>
  <c r="CL359" i="16"/>
  <c r="BX359" i="16"/>
  <c r="CY360" i="16" s="1"/>
  <c r="CB29" i="16"/>
  <c r="CI96" i="16"/>
  <c r="BM96" i="16"/>
  <c r="DB185" i="16"/>
  <c r="AS51" i="16"/>
  <c r="BN225" i="16"/>
  <c r="CD225" i="16"/>
  <c r="CB269" i="16"/>
  <c r="DC268" i="16"/>
  <c r="CD313" i="16"/>
  <c r="BN313" i="16"/>
  <c r="CB357" i="16"/>
  <c r="DC356" i="16"/>
  <c r="BN401" i="16"/>
  <c r="CD401" i="16"/>
  <c r="DC141" i="16"/>
  <c r="CD142" i="16"/>
  <c r="CG138" i="16"/>
  <c r="DD137" i="16"/>
  <c r="DD136" i="16"/>
  <c r="CH137" i="16"/>
  <c r="AZ444" i="16"/>
  <c r="CP188" i="16"/>
  <c r="DK188" i="16"/>
  <c r="DK187" i="16"/>
  <c r="DK186" i="16"/>
  <c r="CG186" i="16"/>
  <c r="DD185" i="16"/>
  <c r="CQ189" i="16"/>
  <c r="DE188" i="16"/>
  <c r="CM181" i="16"/>
  <c r="DG180" i="16"/>
  <c r="DF180" i="16"/>
  <c r="CH181" i="16"/>
  <c r="DD180" i="16"/>
  <c r="AO5" i="16"/>
  <c r="BI5" i="16" s="1"/>
  <c r="BI445" i="16" s="1"/>
  <c r="AD281" i="16"/>
  <c r="AX281" i="16" s="1"/>
  <c r="AD258" i="16"/>
  <c r="AX258" i="16" s="1"/>
  <c r="CM374" i="16"/>
  <c r="CI72" i="16"/>
  <c r="BS72" i="16"/>
  <c r="CT73" i="16" s="1"/>
  <c r="BM72" i="16"/>
  <c r="DG378" i="16"/>
  <c r="AH5" i="16"/>
  <c r="BB5" i="16" s="1"/>
  <c r="BB445" i="16" s="1"/>
  <c r="CH29" i="16"/>
  <c r="BP29" i="16"/>
  <c r="CB75" i="16"/>
  <c r="CB98" i="16"/>
  <c r="CF225" i="16"/>
  <c r="BM225" i="16"/>
  <c r="CH313" i="16"/>
  <c r="DD312" i="16"/>
  <c r="CF313" i="16"/>
  <c r="BM313" i="16"/>
  <c r="DB312" i="16"/>
  <c r="CH401" i="16"/>
  <c r="DD400" i="16"/>
  <c r="BM401" i="16"/>
  <c r="CF401" i="16"/>
  <c r="DB400" i="16"/>
  <c r="AY97" i="16"/>
  <c r="CH138" i="16"/>
  <c r="BP138" i="16"/>
  <c r="DC140" i="16"/>
  <c r="CD141" i="16"/>
  <c r="DG142" i="16"/>
  <c r="CN143" i="16"/>
  <c r="DB142" i="16"/>
  <c r="DF142" i="16"/>
  <c r="CC137" i="16"/>
  <c r="DB136" i="16"/>
  <c r="CE137" i="16"/>
  <c r="AW444" i="16"/>
  <c r="C12" i="20" s="1"/>
  <c r="C12" i="33" s="1"/>
  <c r="DG136" i="16"/>
  <c r="DE185" i="16"/>
  <c r="CP186" i="16"/>
  <c r="CF182" i="16"/>
  <c r="DB181" i="16"/>
  <c r="DD188" i="16"/>
  <c r="DD184" i="16"/>
  <c r="CG185" i="16"/>
  <c r="CQ184" i="16"/>
  <c r="CP181" i="16"/>
  <c r="BU181" i="16"/>
  <c r="AL5" i="16"/>
  <c r="BF5" i="16" s="1"/>
  <c r="D67" i="21"/>
  <c r="D67" i="23"/>
  <c r="E69" i="23"/>
  <c r="E69" i="21"/>
  <c r="AD419" i="16"/>
  <c r="AX419" i="16" s="1"/>
  <c r="BT116" i="16"/>
  <c r="AT444" i="16"/>
  <c r="DJ139" i="16"/>
  <c r="DJ120" i="16"/>
  <c r="D65" i="21"/>
  <c r="D65" i="23"/>
  <c r="DC184" i="16"/>
  <c r="BT29" i="16"/>
  <c r="CU30" i="16" s="1"/>
  <c r="CO29" i="16"/>
  <c r="DC188" i="16"/>
  <c r="DC187" i="16"/>
  <c r="AS120" i="16"/>
  <c r="CG203" i="16"/>
  <c r="BO203" i="16"/>
  <c r="AY444" i="16"/>
  <c r="DD202" i="16"/>
  <c r="DC202" i="16"/>
  <c r="CB225" i="16"/>
  <c r="DC224" i="16"/>
  <c r="CE269" i="16"/>
  <c r="DG268" i="16"/>
  <c r="CG291" i="16"/>
  <c r="BO291" i="16"/>
  <c r="DC290" i="16"/>
  <c r="DD290" i="16"/>
  <c r="CB313" i="16"/>
  <c r="DC312" i="16"/>
  <c r="CE357" i="16"/>
  <c r="DG356" i="16"/>
  <c r="CG379" i="16"/>
  <c r="BO379" i="16"/>
  <c r="DD378" i="16"/>
  <c r="DC378" i="16"/>
  <c r="CB401" i="16"/>
  <c r="DC400" i="16"/>
  <c r="CR72" i="16"/>
  <c r="BQ72" i="16"/>
  <c r="D43" i="13"/>
  <c r="D56" i="13"/>
  <c r="C41" i="18"/>
  <c r="C15" i="25"/>
  <c r="CD143" i="16"/>
  <c r="CD139" i="16"/>
  <c r="CN139" i="16"/>
  <c r="DB138" i="16"/>
  <c r="DG138" i="16"/>
  <c r="DF138" i="16"/>
  <c r="CQ141" i="16"/>
  <c r="DD140" i="16"/>
  <c r="DE140" i="16"/>
  <c r="CI137" i="16"/>
  <c r="BS137" i="16"/>
  <c r="CT138" i="16" s="1"/>
  <c r="CD137" i="16"/>
  <c r="BN137" i="16"/>
  <c r="DC185" i="16"/>
  <c r="CB186" i="16"/>
  <c r="CH184" i="16"/>
  <c r="CG187" i="16"/>
  <c r="DD186" i="16"/>
  <c r="CG183" i="16"/>
  <c r="DD182" i="16"/>
  <c r="DC182" i="16"/>
  <c r="BQ180" i="16"/>
  <c r="BH444" i="16"/>
  <c r="CD181" i="16"/>
  <c r="BN181" i="16"/>
  <c r="CJ160" i="16"/>
  <c r="BR160" i="16"/>
  <c r="CS161" i="16" s="1"/>
  <c r="AG5" i="16"/>
  <c r="BA5" i="16" s="1"/>
  <c r="BA445" i="16" s="1"/>
  <c r="Z258" i="16"/>
  <c r="AT258" i="16" s="1"/>
  <c r="Z327" i="16"/>
  <c r="AT327" i="16" s="1"/>
  <c r="Z373" i="16"/>
  <c r="AT373" i="16" s="1"/>
  <c r="Z281" i="16"/>
  <c r="AT281" i="16" s="1"/>
  <c r="Z235" i="16"/>
  <c r="AT235" i="16" s="1"/>
  <c r="Z189" i="16"/>
  <c r="AT189" i="16" s="1"/>
  <c r="Z304" i="16"/>
  <c r="AT304" i="16" s="1"/>
  <c r="Z212" i="16"/>
  <c r="AT212" i="16" s="1"/>
  <c r="D10" i="13"/>
  <c r="D44" i="25"/>
  <c r="D10" i="18"/>
  <c r="D17" i="13"/>
  <c r="C21" i="25"/>
  <c r="BQ116" i="16"/>
  <c r="CR116" i="16"/>
  <c r="DG400" i="16"/>
  <c r="AD189" i="16"/>
  <c r="AX189" i="16" s="1"/>
  <c r="CL75" i="16"/>
  <c r="CG75" i="16"/>
  <c r="D41" i="10"/>
  <c r="C38" i="26"/>
  <c r="CI270" i="16"/>
  <c r="BM270" i="16"/>
  <c r="AI235" i="16"/>
  <c r="BC235" i="16" s="1"/>
  <c r="AI212" i="16"/>
  <c r="BC212" i="16" s="1"/>
  <c r="CJ74" i="16"/>
  <c r="BN74" i="16"/>
  <c r="BP117" i="16"/>
  <c r="DH27" i="16"/>
  <c r="CO98" i="16"/>
  <c r="CT28" i="16"/>
  <c r="BS28" i="16"/>
  <c r="CR270" i="16"/>
  <c r="BM137" i="16"/>
  <c r="AU444" i="16"/>
  <c r="C5" i="20" s="1"/>
  <c r="C5" i="33" s="1"/>
  <c r="CR28" i="16"/>
  <c r="BQ28" i="16"/>
  <c r="CR29" i="16" s="1"/>
  <c r="D35" i="23"/>
  <c r="D35" i="21"/>
  <c r="AB373" i="16"/>
  <c r="AV373" i="16" s="1"/>
  <c r="AB327" i="16"/>
  <c r="AV327" i="16" s="1"/>
  <c r="AB189" i="16"/>
  <c r="AV189" i="16" s="1"/>
  <c r="AB258" i="16"/>
  <c r="AV258" i="16" s="1"/>
  <c r="AB419" i="16"/>
  <c r="AV419" i="16" s="1"/>
  <c r="AB281" i="16"/>
  <c r="AV281" i="16" s="1"/>
  <c r="AB304" i="16"/>
  <c r="AV304" i="16" s="1"/>
  <c r="AB350" i="16"/>
  <c r="AV350" i="16" s="1"/>
  <c r="AB235" i="16"/>
  <c r="AV235" i="16" s="1"/>
  <c r="AB212" i="16"/>
  <c r="AV212" i="16" s="1"/>
  <c r="AB396" i="16"/>
  <c r="AV396" i="16" s="1"/>
  <c r="DK143" i="16"/>
  <c r="D53" i="23"/>
  <c r="D53" i="21"/>
  <c r="DH72" i="16"/>
  <c r="DH118" i="16"/>
  <c r="C23" i="26"/>
  <c r="D40" i="10"/>
  <c r="D46" i="10"/>
  <c r="D57" i="10"/>
  <c r="DC137" i="16"/>
  <c r="AN189" i="16"/>
  <c r="BH189" i="16" s="1"/>
  <c r="AN5" i="16"/>
  <c r="BH5" i="16" s="1"/>
  <c r="BH445" i="16" s="1"/>
  <c r="CF29" i="16"/>
  <c r="BP359" i="16"/>
  <c r="CG189" i="16"/>
  <c r="CN75" i="16"/>
  <c r="E50" i="25"/>
  <c r="E28" i="18"/>
  <c r="D30" i="10"/>
  <c r="D45" i="10"/>
  <c r="C21" i="10"/>
  <c r="BW52" i="16" l="1"/>
  <c r="CX53" i="16" s="1"/>
  <c r="AC304" i="16"/>
  <c r="AW304" i="16" s="1"/>
  <c r="CE305" i="16" s="1"/>
  <c r="D21" i="10"/>
  <c r="D32" i="26" s="1"/>
  <c r="DI322" i="16"/>
  <c r="DE74" i="16"/>
  <c r="CX314" i="16"/>
  <c r="DD28" i="16"/>
  <c r="DG143" i="16"/>
  <c r="DI248" i="16"/>
  <c r="Q214" i="16"/>
  <c r="AL396" i="16" s="1"/>
  <c r="BF396" i="16" s="1"/>
  <c r="CP397" i="16" s="1"/>
  <c r="AD327" i="16"/>
  <c r="AX327" i="16" s="1"/>
  <c r="CF328" i="16" s="1"/>
  <c r="DH250" i="16"/>
  <c r="AE258" i="16"/>
  <c r="AY258" i="16" s="1"/>
  <c r="AE304" i="16"/>
  <c r="AY304" i="16" s="1"/>
  <c r="CG305" i="16" s="1"/>
  <c r="AE373" i="16"/>
  <c r="AY373" i="16" s="1"/>
  <c r="CG374" i="16" s="1"/>
  <c r="AE235" i="16"/>
  <c r="AY235" i="16" s="1"/>
  <c r="CG236" i="16" s="1"/>
  <c r="AE327" i="16"/>
  <c r="AY327" i="16" s="1"/>
  <c r="CG328" i="16" s="1"/>
  <c r="AE212" i="16"/>
  <c r="AY212" i="16" s="1"/>
  <c r="CG213" i="16" s="1"/>
  <c r="AE419" i="16"/>
  <c r="AY419" i="16" s="1"/>
  <c r="AE281" i="16"/>
  <c r="AY281" i="16" s="1"/>
  <c r="CG282" i="16" s="1"/>
  <c r="AE396" i="16"/>
  <c r="AY396" i="16" s="1"/>
  <c r="CG397" i="16" s="1"/>
  <c r="AE189" i="16"/>
  <c r="AY189" i="16" s="1"/>
  <c r="CG190" i="16" s="1"/>
  <c r="AE350" i="16"/>
  <c r="AY350" i="16" s="1"/>
  <c r="CG351" i="16" s="1"/>
  <c r="AN350" i="16"/>
  <c r="BH350" i="16" s="1"/>
  <c r="AD304" i="16"/>
  <c r="AX304" i="16" s="1"/>
  <c r="U207" i="16"/>
  <c r="CJ336" i="16"/>
  <c r="AD235" i="16"/>
  <c r="AX235" i="16" s="1"/>
  <c r="CF236" i="16" s="1"/>
  <c r="U206" i="16"/>
  <c r="BN118" i="16"/>
  <c r="CJ119" i="16" s="1"/>
  <c r="DI325" i="16"/>
  <c r="AA258" i="16"/>
  <c r="AU258" i="16" s="1"/>
  <c r="CD259" i="16" s="1"/>
  <c r="CJ117" i="16"/>
  <c r="DH205" i="16"/>
  <c r="AO327" i="16"/>
  <c r="BI327" i="16" s="1"/>
  <c r="DK327" i="16" s="1"/>
  <c r="AA373" i="16"/>
  <c r="AU373" i="16" s="1"/>
  <c r="CD374" i="16" s="1"/>
  <c r="AK396" i="16"/>
  <c r="BE396" i="16" s="1"/>
  <c r="CO397" i="16" s="1"/>
  <c r="AK419" i="16"/>
  <c r="BE419" i="16" s="1"/>
  <c r="DI187" i="16"/>
  <c r="AC419" i="16"/>
  <c r="AW419" i="16" s="1"/>
  <c r="AN304" i="16"/>
  <c r="BH304" i="16" s="1"/>
  <c r="AD396" i="16"/>
  <c r="AX396" i="16" s="1"/>
  <c r="CF397" i="16" s="1"/>
  <c r="Z350" i="16"/>
  <c r="AT350" i="16" s="1"/>
  <c r="CC351" i="16" s="1"/>
  <c r="Z419" i="16"/>
  <c r="AT419" i="16" s="1"/>
  <c r="AC327" i="16"/>
  <c r="AW327" i="16" s="1"/>
  <c r="CE328" i="16" s="1"/>
  <c r="AC258" i="16"/>
  <c r="AW258" i="16" s="1"/>
  <c r="CE259" i="16" s="1"/>
  <c r="CL337" i="16"/>
  <c r="DI228" i="16"/>
  <c r="AA350" i="16"/>
  <c r="AU350" i="16" s="1"/>
  <c r="CD351" i="16" s="1"/>
  <c r="DH233" i="16"/>
  <c r="AK212" i="16"/>
  <c r="BE212" i="16" s="1"/>
  <c r="CO213" i="16" s="1"/>
  <c r="AK281" i="16"/>
  <c r="BE281" i="16" s="1"/>
  <c r="CO282" i="16" s="1"/>
  <c r="AK373" i="16"/>
  <c r="BE373" i="16" s="1"/>
  <c r="CO374" i="16" s="1"/>
  <c r="AK350" i="16"/>
  <c r="BE350" i="16" s="1"/>
  <c r="CO351" i="16" s="1"/>
  <c r="AF350" i="16"/>
  <c r="AZ350" i="16" s="1"/>
  <c r="CH351" i="16" s="1"/>
  <c r="AM419" i="16"/>
  <c r="BG419" i="16" s="1"/>
  <c r="AM189" i="16"/>
  <c r="BG189" i="16" s="1"/>
  <c r="AM350" i="16"/>
  <c r="BG350" i="16" s="1"/>
  <c r="CQ351" i="16" s="1"/>
  <c r="AM373" i="16"/>
  <c r="BG373" i="16" s="1"/>
  <c r="CQ374" i="16" s="1"/>
  <c r="AM212" i="16"/>
  <c r="BG212" i="16" s="1"/>
  <c r="CQ213" i="16" s="1"/>
  <c r="U216" i="16"/>
  <c r="AM396" i="16"/>
  <c r="BG396" i="16" s="1"/>
  <c r="CQ397" i="16" s="1"/>
  <c r="U209" i="16"/>
  <c r="AF396" i="16"/>
  <c r="AZ396" i="16" s="1"/>
  <c r="CH397" i="16" s="1"/>
  <c r="AF373" i="16"/>
  <c r="AZ373" i="16" s="1"/>
  <c r="CH374" i="16" s="1"/>
  <c r="AF327" i="16"/>
  <c r="AZ327" i="16" s="1"/>
  <c r="CH328" i="16" s="1"/>
  <c r="AF189" i="16"/>
  <c r="AZ189" i="16" s="1"/>
  <c r="CH190" i="16" s="1"/>
  <c r="DB166" i="16"/>
  <c r="AN419" i="16"/>
  <c r="BH419" i="16" s="1"/>
  <c r="AA212" i="16"/>
  <c r="AU212" i="16" s="1"/>
  <c r="CD213" i="16" s="1"/>
  <c r="AA304" i="16"/>
  <c r="AU304" i="16" s="1"/>
  <c r="CD305" i="16" s="1"/>
  <c r="AF212" i="16"/>
  <c r="AZ212" i="16" s="1"/>
  <c r="CH213" i="16" s="1"/>
  <c r="AF235" i="16"/>
  <c r="AZ235" i="16" s="1"/>
  <c r="CH236" i="16" s="1"/>
  <c r="AF419" i="16"/>
  <c r="AZ419" i="16" s="1"/>
  <c r="AF258" i="16"/>
  <c r="AZ258" i="16" s="1"/>
  <c r="CH259" i="16" s="1"/>
  <c r="AN235" i="16"/>
  <c r="BH235" i="16" s="1"/>
  <c r="AC281" i="16"/>
  <c r="AW281" i="16" s="1"/>
  <c r="CE282" i="16" s="1"/>
  <c r="AC350" i="16"/>
  <c r="AW350" i="16" s="1"/>
  <c r="CE351" i="16" s="1"/>
  <c r="AA419" i="16"/>
  <c r="AU419" i="16" s="1"/>
  <c r="AA189" i="16"/>
  <c r="AU189" i="16" s="1"/>
  <c r="CD190" i="16" s="1"/>
  <c r="AA396" i="16"/>
  <c r="AU396" i="16" s="1"/>
  <c r="CD397" i="16" s="1"/>
  <c r="DI301" i="16"/>
  <c r="U204" i="16"/>
  <c r="AA327" i="16"/>
  <c r="AU327" i="16" s="1"/>
  <c r="CD328" i="16" s="1"/>
  <c r="AF304" i="16"/>
  <c r="AZ304" i="16" s="1"/>
  <c r="CH305" i="16" s="1"/>
  <c r="AL373" i="16"/>
  <c r="BF373" i="16" s="1"/>
  <c r="CP374" i="16" s="1"/>
  <c r="AF281" i="16"/>
  <c r="AZ281" i="16" s="1"/>
  <c r="CH282" i="16" s="1"/>
  <c r="U208" i="16"/>
  <c r="AN281" i="16"/>
  <c r="BH281" i="16" s="1"/>
  <c r="BQ336" i="16"/>
  <c r="CR337" i="16" s="1"/>
  <c r="AA235" i="16"/>
  <c r="AU235" i="16" s="1"/>
  <c r="CD236" i="16" s="1"/>
  <c r="AN396" i="16"/>
  <c r="BH396" i="16" s="1"/>
  <c r="AN212" i="16"/>
  <c r="BH212" i="16" s="1"/>
  <c r="AN327" i="16"/>
  <c r="BH327" i="16" s="1"/>
  <c r="AN373" i="16"/>
  <c r="BH373" i="16" s="1"/>
  <c r="AC212" i="16"/>
  <c r="AW212" i="16" s="1"/>
  <c r="CE213" i="16" s="1"/>
  <c r="BS248" i="16"/>
  <c r="CT249" i="16" s="1"/>
  <c r="AC373" i="16"/>
  <c r="AW373" i="16" s="1"/>
  <c r="CE374" i="16" s="1"/>
  <c r="AC396" i="16"/>
  <c r="AW396" i="16" s="1"/>
  <c r="CE397" i="16" s="1"/>
  <c r="DH382" i="16"/>
  <c r="AK235" i="16"/>
  <c r="BE235" i="16" s="1"/>
  <c r="CO236" i="16" s="1"/>
  <c r="BN424" i="16"/>
  <c r="CJ425" i="16" s="1"/>
  <c r="AM281" i="16"/>
  <c r="BG281" i="16" s="1"/>
  <c r="CQ282" i="16" s="1"/>
  <c r="AM258" i="16"/>
  <c r="BG258" i="16" s="1"/>
  <c r="CQ259" i="16" s="1"/>
  <c r="AM304" i="16"/>
  <c r="BG304" i="16" s="1"/>
  <c r="CQ305" i="16" s="1"/>
  <c r="DE97" i="16"/>
  <c r="BP75" i="16"/>
  <c r="CL76" i="16" s="1"/>
  <c r="DE28" i="16"/>
  <c r="AM327" i="16"/>
  <c r="BG327" i="16" s="1"/>
  <c r="AM235" i="16"/>
  <c r="BG235" i="16" s="1"/>
  <c r="CQ236" i="16" s="1"/>
  <c r="DF120" i="16"/>
  <c r="DI120" i="16" s="1"/>
  <c r="CQ121" i="16"/>
  <c r="DI440" i="16"/>
  <c r="D9" i="27"/>
  <c r="DD120" i="16"/>
  <c r="DI297" i="16"/>
  <c r="BT248" i="16"/>
  <c r="BT249" i="16" s="1"/>
  <c r="BO425" i="16"/>
  <c r="CK426" i="16" s="1"/>
  <c r="CK425" i="16"/>
  <c r="BR424" i="16"/>
  <c r="CS425" i="16" s="1"/>
  <c r="DD74" i="16"/>
  <c r="DH74" i="16" s="1"/>
  <c r="AB121" i="16"/>
  <c r="AV121" i="16" s="1"/>
  <c r="BO119" i="16"/>
  <c r="BO120" i="16" s="1"/>
  <c r="DI202" i="16"/>
  <c r="BQ314" i="16"/>
  <c r="CR315" i="16" s="1"/>
  <c r="DH203" i="16"/>
  <c r="BM182" i="16"/>
  <c r="CI183" i="16" s="1"/>
  <c r="AL327" i="16"/>
  <c r="BF327" i="16" s="1"/>
  <c r="CP328" i="16" s="1"/>
  <c r="BN336" i="16"/>
  <c r="CJ337" i="16" s="1"/>
  <c r="DI269" i="16"/>
  <c r="DI278" i="16"/>
  <c r="DH321" i="16"/>
  <c r="DH428" i="16"/>
  <c r="BV51" i="16"/>
  <c r="CW52" i="16" s="1"/>
  <c r="AL75" i="16"/>
  <c r="BF75" i="16" s="1"/>
  <c r="CP76" i="16" s="1"/>
  <c r="BX96" i="16"/>
  <c r="CY97" i="16" s="1"/>
  <c r="BS182" i="16"/>
  <c r="CT183" i="16" s="1"/>
  <c r="DI406" i="16"/>
  <c r="AL419" i="16"/>
  <c r="BF419" i="16" s="1"/>
  <c r="E31" i="10"/>
  <c r="E34" i="18" s="1"/>
  <c r="DB143" i="16"/>
  <c r="DH317" i="16"/>
  <c r="DI254" i="16"/>
  <c r="DI295" i="16"/>
  <c r="BN51" i="16"/>
  <c r="CJ52" i="16" s="1"/>
  <c r="BS424" i="16"/>
  <c r="CT425" i="16" s="1"/>
  <c r="DH231" i="16"/>
  <c r="DH228" i="16"/>
  <c r="DI234" i="16"/>
  <c r="CL96" i="16"/>
  <c r="BT73" i="16"/>
  <c r="CU74" i="16" s="1"/>
  <c r="BS270" i="16"/>
  <c r="CT271" i="16" s="1"/>
  <c r="AG121" i="16"/>
  <c r="BA121" i="16" s="1"/>
  <c r="AC98" i="16"/>
  <c r="AW98" i="16" s="1"/>
  <c r="CE99" i="16" s="1"/>
  <c r="BM248" i="16"/>
  <c r="CI249" i="16" s="1"/>
  <c r="CR380" i="16"/>
  <c r="DI252" i="16"/>
  <c r="DI389" i="16"/>
  <c r="DH434" i="16"/>
  <c r="DG120" i="16"/>
  <c r="DH120" i="16" s="1"/>
  <c r="DH229" i="16"/>
  <c r="AL121" i="16"/>
  <c r="BF121" i="16" s="1"/>
  <c r="BQ248" i="16"/>
  <c r="BQ249" i="16" s="1"/>
  <c r="AM121" i="16"/>
  <c r="BG121" i="16" s="1"/>
  <c r="CQ122" i="16" s="1"/>
  <c r="BM424" i="16"/>
  <c r="DH416" i="16"/>
  <c r="DI205" i="16"/>
  <c r="DI337" i="16"/>
  <c r="DI291" i="16"/>
  <c r="DI430" i="16"/>
  <c r="DH301" i="16"/>
  <c r="DI204" i="16"/>
  <c r="C13" i="27"/>
  <c r="CR424" i="16"/>
  <c r="Y121" i="16"/>
  <c r="AE121" i="16"/>
  <c r="AY121" i="16" s="1"/>
  <c r="CG122" i="16" s="1"/>
  <c r="AJ121" i="16"/>
  <c r="BD121" i="16" s="1"/>
  <c r="CN122" i="16" s="1"/>
  <c r="CR204" i="16"/>
  <c r="BU117" i="16"/>
  <c r="CV118" i="16" s="1"/>
  <c r="E71" i="23"/>
  <c r="BR117" i="16"/>
  <c r="CS118" i="16" s="1"/>
  <c r="E53" i="18"/>
  <c r="DH383" i="16"/>
  <c r="DH319" i="16"/>
  <c r="DI324" i="16"/>
  <c r="DH320" i="16"/>
  <c r="DI315" i="16"/>
  <c r="CK226" i="16"/>
  <c r="DH230" i="16"/>
  <c r="DH227" i="16"/>
  <c r="DI229" i="16"/>
  <c r="DI272" i="16"/>
  <c r="DH278" i="16"/>
  <c r="DH232" i="16"/>
  <c r="DI314" i="16"/>
  <c r="DH226" i="16"/>
  <c r="DH138" i="16"/>
  <c r="CI424" i="16"/>
  <c r="DH297" i="16"/>
  <c r="DH435" i="16"/>
  <c r="DI280" i="16"/>
  <c r="DI312" i="16"/>
  <c r="DI383" i="16"/>
  <c r="BS95" i="16"/>
  <c r="CT96" i="16" s="1"/>
  <c r="BN29" i="16"/>
  <c r="CJ30" i="16" s="1"/>
  <c r="AF121" i="16"/>
  <c r="AZ121" i="16" s="1"/>
  <c r="CH122" i="16" s="1"/>
  <c r="AH121" i="16"/>
  <c r="BB121" i="16" s="1"/>
  <c r="AO121" i="16"/>
  <c r="BI121" i="16" s="1"/>
  <c r="CK118" i="16"/>
  <c r="DB120" i="16"/>
  <c r="U214" i="16"/>
  <c r="BQ138" i="16"/>
  <c r="CR139" i="16" s="1"/>
  <c r="E71" i="21"/>
  <c r="DI164" i="16"/>
  <c r="DI250" i="16"/>
  <c r="DH271" i="16"/>
  <c r="DH339" i="16"/>
  <c r="E68" i="32"/>
  <c r="BW29" i="16"/>
  <c r="CX30" i="16" s="1"/>
  <c r="DD51" i="16"/>
  <c r="DI342" i="16"/>
  <c r="DH251" i="16"/>
  <c r="DI319" i="16"/>
  <c r="DH326" i="16"/>
  <c r="AH98" i="16"/>
  <c r="BB98" i="16" s="1"/>
  <c r="AB98" i="16"/>
  <c r="AV98" i="16" s="1"/>
  <c r="Z98" i="16"/>
  <c r="AT98" i="16" s="1"/>
  <c r="CC99" i="16" s="1"/>
  <c r="AA75" i="16"/>
  <c r="AU75" i="16" s="1"/>
  <c r="CD76" i="16" s="1"/>
  <c r="CR226" i="16"/>
  <c r="BM29" i="16"/>
  <c r="CI30" i="16" s="1"/>
  <c r="AF98" i="16"/>
  <c r="AZ98" i="16" s="1"/>
  <c r="CH99" i="16" s="1"/>
  <c r="AU74" i="16"/>
  <c r="DC74" i="16" s="1"/>
  <c r="AJ167" i="16"/>
  <c r="BD167" i="16" s="1"/>
  <c r="CN168" i="16" s="1"/>
  <c r="DH440" i="16"/>
  <c r="Z167" i="16"/>
  <c r="AT167" i="16" s="1"/>
  <c r="CC168" i="16" s="1"/>
  <c r="DI163" i="16"/>
  <c r="DI211" i="16"/>
  <c r="DH401" i="16"/>
  <c r="BQ402" i="16"/>
  <c r="CR403" i="16" s="1"/>
  <c r="DH390" i="16"/>
  <c r="DI384" i="16"/>
  <c r="AK167" i="16"/>
  <c r="BE167" i="16" s="1"/>
  <c r="CO168" i="16" s="1"/>
  <c r="DH300" i="16"/>
  <c r="AJ75" i="16"/>
  <c r="BD75" i="16" s="1"/>
  <c r="CN76" i="16" s="1"/>
  <c r="AE167" i="16"/>
  <c r="AY167" i="16" s="1"/>
  <c r="CG168" i="16" s="1"/>
  <c r="AI167" i="16"/>
  <c r="BC167" i="16" s="1"/>
  <c r="CM168" i="16" s="1"/>
  <c r="AF167" i="16"/>
  <c r="AZ167" i="16" s="1"/>
  <c r="CH168" i="16" s="1"/>
  <c r="DI303" i="16"/>
  <c r="DI363" i="16"/>
  <c r="C14" i="27"/>
  <c r="DI437" i="16"/>
  <c r="AN75" i="16"/>
  <c r="BH75" i="16" s="1"/>
  <c r="DH335" i="16"/>
  <c r="DI257" i="16"/>
  <c r="DH384" i="16"/>
  <c r="DI387" i="16"/>
  <c r="DI441" i="16"/>
  <c r="DI426" i="16"/>
  <c r="E8" i="26"/>
  <c r="E11" i="26" s="1"/>
  <c r="E3" i="31"/>
  <c r="E8" i="13"/>
  <c r="E45" i="25" s="1"/>
  <c r="AN167" i="16"/>
  <c r="BH167" i="16" s="1"/>
  <c r="AG98" i="16"/>
  <c r="BA98" i="16" s="1"/>
  <c r="AE75" i="16"/>
  <c r="AY75" i="16" s="1"/>
  <c r="CG76" i="16" s="1"/>
  <c r="DC166" i="16"/>
  <c r="AA167" i="16"/>
  <c r="AU167" i="16" s="1"/>
  <c r="CD168" i="16" s="1"/>
  <c r="BP183" i="16"/>
  <c r="BP184" i="16" s="1"/>
  <c r="BP185" i="16" s="1"/>
  <c r="BP52" i="16"/>
  <c r="CL53" i="16" s="1"/>
  <c r="BT314" i="16"/>
  <c r="BT315" i="16" s="1"/>
  <c r="CU316" i="16" s="1"/>
  <c r="DI208" i="16"/>
  <c r="DH234" i="16"/>
  <c r="AD167" i="16"/>
  <c r="AX167" i="16" s="1"/>
  <c r="CF168" i="16" s="1"/>
  <c r="AN121" i="16"/>
  <c r="BH121" i="16" s="1"/>
  <c r="AK121" i="16"/>
  <c r="BE121" i="16" s="1"/>
  <c r="CO122" i="16" s="1"/>
  <c r="AA121" i="16"/>
  <c r="AU121" i="16" s="1"/>
  <c r="CD122" i="16" s="1"/>
  <c r="AD121" i="16"/>
  <c r="AX121" i="16" s="1"/>
  <c r="CF122" i="16" s="1"/>
  <c r="AI121" i="16"/>
  <c r="BC121" i="16" s="1"/>
  <c r="CM122" i="16" s="1"/>
  <c r="AO144" i="16"/>
  <c r="BI144" i="16" s="1"/>
  <c r="AO98" i="16"/>
  <c r="BI98" i="16" s="1"/>
  <c r="AI98" i="16"/>
  <c r="BC98" i="16" s="1"/>
  <c r="AJ98" i="16"/>
  <c r="BD98" i="16" s="1"/>
  <c r="CN99" i="16" s="1"/>
  <c r="DH185" i="16"/>
  <c r="Y52" i="16"/>
  <c r="AS52" i="16" s="1"/>
  <c r="AM167" i="16"/>
  <c r="BG167" i="16" s="1"/>
  <c r="CQ168" i="16" s="1"/>
  <c r="BX183" i="16"/>
  <c r="CY184" i="16" s="1"/>
  <c r="AD75" i="16"/>
  <c r="AX75" i="16" s="1"/>
  <c r="AB75" i="16"/>
  <c r="AV75" i="16" s="1"/>
  <c r="BV402" i="16"/>
  <c r="CW403" i="16" s="1"/>
  <c r="DI378" i="16"/>
  <c r="AK98" i="16"/>
  <c r="BE98" i="16" s="1"/>
  <c r="CO99" i="16" s="1"/>
  <c r="AC75" i="16"/>
  <c r="AW75" i="16" s="1"/>
  <c r="CE76" i="16" s="1"/>
  <c r="E53" i="21"/>
  <c r="DI274" i="16"/>
  <c r="DH207" i="16"/>
  <c r="DH371" i="16"/>
  <c r="DI408" i="16"/>
  <c r="F68" i="13"/>
  <c r="F71" i="18" s="1"/>
  <c r="DH139" i="16"/>
  <c r="DH388" i="16"/>
  <c r="DI385" i="16"/>
  <c r="DI424" i="16"/>
  <c r="E50" i="32"/>
  <c r="DI393" i="16"/>
  <c r="DI427" i="16"/>
  <c r="DH363" i="16"/>
  <c r="DI299" i="16"/>
  <c r="DI434" i="16"/>
  <c r="DH418" i="16"/>
  <c r="BO226" i="16"/>
  <c r="CK227" i="16" s="1"/>
  <c r="BS117" i="16"/>
  <c r="CT118" i="16" s="1"/>
  <c r="C16" i="25"/>
  <c r="AI75" i="16"/>
  <c r="BC75" i="16" s="1"/>
  <c r="CM76" i="16" s="1"/>
  <c r="AD98" i="16"/>
  <c r="AX98" i="16" s="1"/>
  <c r="CF99" i="16" s="1"/>
  <c r="AA98" i="16"/>
  <c r="AU98" i="16" s="1"/>
  <c r="CD99" i="16" s="1"/>
  <c r="AH167" i="16"/>
  <c r="BB167" i="16" s="1"/>
  <c r="AK75" i="16"/>
  <c r="BE75" i="16" s="1"/>
  <c r="CO76" i="16" s="1"/>
  <c r="BO402" i="16"/>
  <c r="Y167" i="16"/>
  <c r="AL167" i="16"/>
  <c r="BF167" i="16" s="1"/>
  <c r="CP168" i="16" s="1"/>
  <c r="AC121" i="16"/>
  <c r="AW121" i="16" s="1"/>
  <c r="CE122" i="16" s="1"/>
  <c r="Z121" i="16"/>
  <c r="AT121" i="16" s="1"/>
  <c r="CC122" i="16" s="1"/>
  <c r="AL98" i="16"/>
  <c r="BF98" i="16" s="1"/>
  <c r="CP99" i="16" s="1"/>
  <c r="AM98" i="16"/>
  <c r="BG98" i="16" s="1"/>
  <c r="CQ99" i="16" s="1"/>
  <c r="Y98" i="16"/>
  <c r="AE98" i="16"/>
  <c r="AY98" i="16" s="1"/>
  <c r="CG99" i="16" s="1"/>
  <c r="DH137" i="16"/>
  <c r="AF75" i="16"/>
  <c r="AZ75" i="16" s="1"/>
  <c r="Y75" i="16"/>
  <c r="AS75" i="16" s="1"/>
  <c r="AH75" i="16"/>
  <c r="BB75" i="16" s="1"/>
  <c r="BX74" i="16"/>
  <c r="CY75" i="16" s="1"/>
  <c r="AC167" i="16"/>
  <c r="AW167" i="16" s="1"/>
  <c r="CE168" i="16" s="1"/>
  <c r="DH438" i="16"/>
  <c r="DH165" i="16"/>
  <c r="DI227" i="16"/>
  <c r="DH204" i="16"/>
  <c r="AB167" i="16"/>
  <c r="AV167" i="16" s="1"/>
  <c r="DI349" i="16"/>
  <c r="DH274" i="16"/>
  <c r="DH439" i="16"/>
  <c r="DH275" i="16"/>
  <c r="DH348" i="16"/>
  <c r="DH405" i="16"/>
  <c r="DI425" i="16"/>
  <c r="BS160" i="16"/>
  <c r="CT161" i="16" s="1"/>
  <c r="DI181" i="16"/>
  <c r="DI292" i="16"/>
  <c r="DI435" i="16"/>
  <c r="DI279" i="16"/>
  <c r="DI323" i="16"/>
  <c r="DH257" i="16"/>
  <c r="AN98" i="16"/>
  <c r="BH98" i="16" s="1"/>
  <c r="DH394" i="16"/>
  <c r="DH441" i="16"/>
  <c r="DI232" i="16"/>
  <c r="DI256" i="16"/>
  <c r="DI226" i="16"/>
  <c r="DI230" i="16"/>
  <c r="E32" i="13"/>
  <c r="F3" i="10"/>
  <c r="G3" i="10" s="1"/>
  <c r="D21" i="18"/>
  <c r="D18" i="31"/>
  <c r="D11" i="26"/>
  <c r="D11" i="18"/>
  <c r="F12" i="10"/>
  <c r="G25" i="10" s="1"/>
  <c r="E13" i="25"/>
  <c r="F8" i="13"/>
  <c r="F45" i="25" s="1"/>
  <c r="DI97" i="16"/>
  <c r="BR249" i="16"/>
  <c r="CS250" i="16" s="1"/>
  <c r="DF51" i="16"/>
  <c r="DI51" i="16" s="1"/>
  <c r="C14" i="17"/>
  <c r="C14" i="28" s="1"/>
  <c r="DH367" i="16"/>
  <c r="D19" i="31"/>
  <c r="DH247" i="16"/>
  <c r="DH380" i="16"/>
  <c r="CY447" i="16"/>
  <c r="F68" i="20" s="1"/>
  <c r="F71" i="23" s="1"/>
  <c r="AG75" i="16"/>
  <c r="BA75" i="16" s="1"/>
  <c r="AE144" i="16"/>
  <c r="AY144" i="16" s="1"/>
  <c r="CG145" i="16" s="1"/>
  <c r="DH142" i="16"/>
  <c r="D22" i="18"/>
  <c r="AI52" i="16"/>
  <c r="BC52" i="16" s="1"/>
  <c r="CM53" i="16" s="1"/>
  <c r="Z75" i="16"/>
  <c r="AT75" i="16" s="1"/>
  <c r="AM75" i="16"/>
  <c r="BG75" i="16" s="1"/>
  <c r="CQ76" i="16" s="1"/>
  <c r="AO75" i="16"/>
  <c r="BI75" i="16" s="1"/>
  <c r="DH291" i="16"/>
  <c r="CX380" i="16"/>
  <c r="DI246" i="16"/>
  <c r="BW95" i="16"/>
  <c r="CX96" i="16" s="1"/>
  <c r="DH436" i="16"/>
  <c r="DI418" i="16"/>
  <c r="DI379" i="16"/>
  <c r="DH272" i="16"/>
  <c r="DI321" i="16"/>
  <c r="DI392" i="16"/>
  <c r="D4" i="31"/>
  <c r="DH296" i="16"/>
  <c r="DI439" i="16"/>
  <c r="DH303" i="16"/>
  <c r="DH276" i="16"/>
  <c r="DI429" i="16"/>
  <c r="BM117" i="16"/>
  <c r="BM118" i="16" s="1"/>
  <c r="E48" i="13"/>
  <c r="F66" i="13" s="1"/>
  <c r="AC52" i="16"/>
  <c r="AW52" i="16" s="1"/>
  <c r="CE53" i="16" s="1"/>
  <c r="AH52" i="16"/>
  <c r="BB52" i="16" s="1"/>
  <c r="AL52" i="16"/>
  <c r="BF52" i="16" s="1"/>
  <c r="CP53" i="16" s="1"/>
  <c r="DC28" i="16"/>
  <c r="D13" i="25"/>
  <c r="DI371" i="16"/>
  <c r="BU160" i="16"/>
  <c r="CV161" i="16" s="1"/>
  <c r="DI339" i="16"/>
  <c r="DI380" i="16"/>
  <c r="BX52" i="16"/>
  <c r="CY53" i="16" s="1"/>
  <c r="DH423" i="16"/>
  <c r="E5" i="13"/>
  <c r="F9" i="13" s="1"/>
  <c r="F46" i="25" s="1"/>
  <c r="DI382" i="16"/>
  <c r="CL227" i="16"/>
  <c r="BP227" i="16"/>
  <c r="DI231" i="16"/>
  <c r="F7" i="13"/>
  <c r="F7" i="31" s="1"/>
  <c r="CJ6" i="16"/>
  <c r="D10" i="10"/>
  <c r="D10" i="31" s="1"/>
  <c r="C41" i="21"/>
  <c r="D5" i="31"/>
  <c r="E10" i="18"/>
  <c r="D29" i="18"/>
  <c r="E13" i="13"/>
  <c r="E14" i="25" s="1"/>
  <c r="E70" i="18"/>
  <c r="DH427" i="16"/>
  <c r="DH209" i="16"/>
  <c r="DH181" i="16"/>
  <c r="DH314" i="16"/>
  <c r="DI316" i="16"/>
  <c r="DH295" i="16"/>
  <c r="DI268" i="16"/>
  <c r="DI298" i="16"/>
  <c r="DH357" i="16"/>
  <c r="CR292" i="16"/>
  <c r="AJ144" i="16"/>
  <c r="BD144" i="16" s="1"/>
  <c r="CN145" i="16" s="1"/>
  <c r="BN249" i="16"/>
  <c r="AK29" i="16"/>
  <c r="BE29" i="16" s="1"/>
  <c r="CO30" i="16" s="1"/>
  <c r="BN161" i="16"/>
  <c r="CJ162" i="16" s="1"/>
  <c r="BW424" i="16"/>
  <c r="BW425" i="16" s="1"/>
  <c r="F25" i="13"/>
  <c r="F50" i="25" s="1"/>
  <c r="BT204" i="16"/>
  <c r="CU205" i="16" s="1"/>
  <c r="BS51" i="16"/>
  <c r="CT52" i="16" s="1"/>
  <c r="BT270" i="16"/>
  <c r="BT271" i="16" s="1"/>
  <c r="CI160" i="16"/>
  <c r="DI432" i="16"/>
  <c r="D14" i="25"/>
  <c r="DH370" i="16"/>
  <c r="DH403" i="16"/>
  <c r="DI436" i="16"/>
  <c r="D13" i="31"/>
  <c r="CK6" i="16"/>
  <c r="DH412" i="16"/>
  <c r="DI338" i="16"/>
  <c r="CL206" i="16"/>
  <c r="DI184" i="16"/>
  <c r="DI206" i="16"/>
  <c r="DH280" i="16"/>
  <c r="DH344" i="16"/>
  <c r="DI369" i="16"/>
  <c r="DI404" i="16"/>
  <c r="DH338" i="16"/>
  <c r="E12" i="31"/>
  <c r="DH389" i="16"/>
  <c r="DH391" i="16"/>
  <c r="DI294" i="16"/>
  <c r="DI300" i="16"/>
  <c r="DH315" i="16"/>
  <c r="DH411" i="16"/>
  <c r="BR29" i="16"/>
  <c r="CS30" i="16" s="1"/>
  <c r="C16" i="26"/>
  <c r="E15" i="18"/>
  <c r="DH269" i="16"/>
  <c r="DH378" i="16"/>
  <c r="AH144" i="16"/>
  <c r="BB144" i="16" s="1"/>
  <c r="AF144" i="16"/>
  <c r="AZ144" i="16" s="1"/>
  <c r="CH145" i="16" s="1"/>
  <c r="CC445" i="16"/>
  <c r="D8" i="20" s="1"/>
  <c r="D8" i="32" s="1"/>
  <c r="CU139" i="16"/>
  <c r="CI358" i="16"/>
  <c r="AF29" i="16"/>
  <c r="AZ29" i="16" s="1"/>
  <c r="BP30" i="16" s="1"/>
  <c r="D51" i="25"/>
  <c r="D51" i="27" s="1"/>
  <c r="C16" i="23"/>
  <c r="DI361" i="16"/>
  <c r="DH349" i="16"/>
  <c r="DI340" i="16"/>
  <c r="DH293" i="16"/>
  <c r="DI360" i="16"/>
  <c r="DH365" i="16"/>
  <c r="BW182" i="16"/>
  <c r="BW183" i="16" s="1"/>
  <c r="DI395" i="16"/>
  <c r="DH415" i="16"/>
  <c r="DI390" i="16"/>
  <c r="DI273" i="16"/>
  <c r="D8" i="27"/>
  <c r="DH404" i="16"/>
  <c r="DI345" i="16"/>
  <c r="DH402" i="16"/>
  <c r="DH410" i="16"/>
  <c r="DH431" i="16"/>
  <c r="DI207" i="16"/>
  <c r="DI277" i="16"/>
  <c r="DI139" i="16"/>
  <c r="DH324" i="16"/>
  <c r="DH322" i="16"/>
  <c r="DI255" i="16"/>
  <c r="DI247" i="16"/>
  <c r="DH313" i="16"/>
  <c r="DI318" i="16"/>
  <c r="CK424" i="16"/>
  <c r="BV424" i="16"/>
  <c r="D59" i="26"/>
  <c r="E63" i="10"/>
  <c r="AB144" i="16"/>
  <c r="AV144" i="16" s="1"/>
  <c r="BW117" i="16"/>
  <c r="CX118" i="16" s="1"/>
  <c r="DI188" i="16"/>
  <c r="E17" i="10"/>
  <c r="F62" i="10"/>
  <c r="F62" i="31" s="1"/>
  <c r="DH345" i="16"/>
  <c r="DH163" i="16"/>
  <c r="DH164" i="16"/>
  <c r="DH159" i="16"/>
  <c r="DH406" i="16"/>
  <c r="DI334" i="16"/>
  <c r="DH162" i="16"/>
  <c r="DI341" i="16"/>
  <c r="DH432" i="16"/>
  <c r="DI224" i="16"/>
  <c r="AN144" i="16"/>
  <c r="BH144" i="16" s="1"/>
  <c r="DH379" i="16"/>
  <c r="DI381" i="16"/>
  <c r="D52" i="26"/>
  <c r="D52" i="27" s="1"/>
  <c r="DI251" i="16"/>
  <c r="D8" i="18"/>
  <c r="D45" i="26"/>
  <c r="D45" i="27" s="1"/>
  <c r="CS95" i="16"/>
  <c r="BR95" i="16"/>
  <c r="CS96" i="16" s="1"/>
  <c r="BX249" i="16"/>
  <c r="CY250" i="16" s="1"/>
  <c r="CL249" i="16"/>
  <c r="D34" i="10"/>
  <c r="D53" i="26" s="1"/>
  <c r="AA144" i="16"/>
  <c r="AU144" i="16" s="1"/>
  <c r="CD145" i="16" s="1"/>
  <c r="CK52" i="16"/>
  <c r="E40" i="10"/>
  <c r="F58" i="10" s="1"/>
  <c r="E9" i="10"/>
  <c r="AC144" i="16"/>
  <c r="AW144" i="16" s="1"/>
  <c r="CE145" i="16" s="1"/>
  <c r="AD144" i="16"/>
  <c r="AX144" i="16" s="1"/>
  <c r="CF145" i="16" s="1"/>
  <c r="Y144" i="16"/>
  <c r="C44" i="21"/>
  <c r="AN29" i="16"/>
  <c r="BH29" i="16" s="1"/>
  <c r="E30" i="10"/>
  <c r="DI143" i="16"/>
  <c r="DI290" i="16"/>
  <c r="E59" i="26"/>
  <c r="AO373" i="16"/>
  <c r="BI373" i="16" s="1"/>
  <c r="DJ373" i="16" s="1"/>
  <c r="DI165" i="16"/>
  <c r="DI405" i="16"/>
  <c r="DI253" i="16"/>
  <c r="DH430" i="16"/>
  <c r="DH337" i="16"/>
  <c r="DI423" i="16"/>
  <c r="DI302" i="16"/>
  <c r="DI414" i="16"/>
  <c r="DI362" i="16"/>
  <c r="DH346" i="16"/>
  <c r="DI336" i="16"/>
  <c r="DI411" i="16"/>
  <c r="DI320" i="16"/>
  <c r="DI388" i="16"/>
  <c r="DI138" i="16"/>
  <c r="DH292" i="16"/>
  <c r="DI317" i="16"/>
  <c r="DH323" i="16"/>
  <c r="DI203" i="16"/>
  <c r="Z144" i="16"/>
  <c r="AT144" i="16" s="1"/>
  <c r="CC145" i="16" s="1"/>
  <c r="DH256" i="16"/>
  <c r="F50" i="26"/>
  <c r="D62" i="26"/>
  <c r="E9" i="13"/>
  <c r="E46" i="25" s="1"/>
  <c r="D30" i="25"/>
  <c r="D30" i="27" s="1"/>
  <c r="E18" i="13"/>
  <c r="DH255" i="16"/>
  <c r="CV51" i="16"/>
  <c r="BU51" i="16"/>
  <c r="C38" i="33"/>
  <c r="E13" i="10"/>
  <c r="CV227" i="16"/>
  <c r="BU227" i="16"/>
  <c r="D7" i="18"/>
  <c r="DH356" i="16"/>
  <c r="AK144" i="16"/>
  <c r="BE144" i="16" s="1"/>
  <c r="CO145" i="16" s="1"/>
  <c r="AI144" i="16"/>
  <c r="BC144" i="16" s="1"/>
  <c r="DH184" i="16"/>
  <c r="DI413" i="16"/>
  <c r="F37" i="10"/>
  <c r="G55" i="10" s="1"/>
  <c r="C19" i="27"/>
  <c r="DH186" i="16"/>
  <c r="E18" i="10"/>
  <c r="F44" i="10" s="1"/>
  <c r="AG144" i="16"/>
  <c r="BA144" i="16" s="1"/>
  <c r="AL144" i="16"/>
  <c r="BF144" i="16" s="1"/>
  <c r="AM144" i="16"/>
  <c r="BG144" i="16" s="1"/>
  <c r="CQ145" i="16" s="1"/>
  <c r="BW359" i="16"/>
  <c r="BW360" i="16" s="1"/>
  <c r="E6" i="18"/>
  <c r="AC29" i="16"/>
  <c r="AW29" i="16" s="1"/>
  <c r="CE30" i="16" s="1"/>
  <c r="F55" i="10"/>
  <c r="AO258" i="16"/>
  <c r="BI258" i="16" s="1"/>
  <c r="DJ258" i="16" s="1"/>
  <c r="DH361" i="16"/>
  <c r="DI412" i="16"/>
  <c r="DH253" i="16"/>
  <c r="DH392" i="16"/>
  <c r="DH437" i="16"/>
  <c r="DH211" i="16"/>
  <c r="DH414" i="16"/>
  <c r="DH409" i="16"/>
  <c r="DH422" i="16"/>
  <c r="DI402" i="16"/>
  <c r="DI293" i="16"/>
  <c r="DI366" i="16"/>
  <c r="DH387" i="16"/>
  <c r="DH298" i="16"/>
  <c r="DI249" i="16"/>
  <c r="BP249" i="16"/>
  <c r="CV95" i="16"/>
  <c r="BU95" i="16"/>
  <c r="C12" i="32"/>
  <c r="CK314" i="16"/>
  <c r="BV314" i="16"/>
  <c r="CW315" i="16" s="1"/>
  <c r="AO304" i="16"/>
  <c r="BI304" i="16" s="1"/>
  <c r="DJ304" i="16" s="1"/>
  <c r="C40" i="32"/>
  <c r="AO189" i="16"/>
  <c r="BI189" i="16" s="1"/>
  <c r="DK189" i="16" s="1"/>
  <c r="DH417" i="16"/>
  <c r="DI433" i="16"/>
  <c r="C41" i="32"/>
  <c r="C13" i="32"/>
  <c r="DH381" i="16"/>
  <c r="CJ96" i="16"/>
  <c r="BN96" i="16"/>
  <c r="DH318" i="16"/>
  <c r="CL315" i="16"/>
  <c r="BP315" i="16"/>
  <c r="BX315" i="16"/>
  <c r="CY316" i="16" s="1"/>
  <c r="DH254" i="16"/>
  <c r="E26" i="10"/>
  <c r="D14" i="26"/>
  <c r="D16" i="18"/>
  <c r="E8" i="10"/>
  <c r="CD445" i="16"/>
  <c r="D9" i="20" s="1"/>
  <c r="D12" i="23" s="1"/>
  <c r="DH140" i="16"/>
  <c r="DH202" i="16"/>
  <c r="AH29" i="16"/>
  <c r="BB29" i="16" s="1"/>
  <c r="DI185" i="16"/>
  <c r="C44" i="23"/>
  <c r="DH136" i="16"/>
  <c r="F4" i="13"/>
  <c r="AM52" i="16"/>
  <c r="BG52" i="16" s="1"/>
  <c r="CQ53" i="16" s="1"/>
  <c r="AG52" i="16"/>
  <c r="BA52" i="16" s="1"/>
  <c r="AK52" i="16"/>
  <c r="BE52" i="16" s="1"/>
  <c r="AD29" i="16"/>
  <c r="AX29" i="16" s="1"/>
  <c r="AE29" i="16"/>
  <c r="AY29" i="16" s="1"/>
  <c r="AO235" i="16"/>
  <c r="BI235" i="16" s="1"/>
  <c r="DK235" i="16" s="1"/>
  <c r="DI137" i="16"/>
  <c r="C41" i="23"/>
  <c r="AO281" i="16"/>
  <c r="BI281" i="16" s="1"/>
  <c r="DK281" i="16" s="1"/>
  <c r="AO350" i="16"/>
  <c r="BI350" i="16" s="1"/>
  <c r="DK350" i="16" s="1"/>
  <c r="AO419" i="16"/>
  <c r="BI419" i="16" s="1"/>
  <c r="DK419" i="16" s="1"/>
  <c r="DI372" i="16"/>
  <c r="DH372" i="16"/>
  <c r="BT402" i="16"/>
  <c r="BT403" i="16" s="1"/>
  <c r="DI162" i="16"/>
  <c r="BQ358" i="16"/>
  <c r="CR359" i="16" s="1"/>
  <c r="DI364" i="16"/>
  <c r="DH368" i="16"/>
  <c r="DI271" i="16"/>
  <c r="DH273" i="16"/>
  <c r="DI161" i="16"/>
  <c r="DI346" i="16"/>
  <c r="DH208" i="16"/>
  <c r="DH407" i="16"/>
  <c r="BW138" i="16"/>
  <c r="CX139" i="16" s="1"/>
  <c r="DH299" i="16"/>
  <c r="E32" i="10"/>
  <c r="E48" i="10"/>
  <c r="D22" i="10"/>
  <c r="DI313" i="16"/>
  <c r="CL293" i="16"/>
  <c r="BX293" i="16"/>
  <c r="CY294" i="16" s="1"/>
  <c r="BP293" i="16"/>
  <c r="DI391" i="16"/>
  <c r="DH294" i="16"/>
  <c r="DH249" i="16"/>
  <c r="DI296" i="16"/>
  <c r="DI186" i="16"/>
  <c r="DI142" i="16"/>
  <c r="E4" i="10"/>
  <c r="E4" i="31" s="1"/>
  <c r="E5" i="10"/>
  <c r="E8" i="25"/>
  <c r="F12" i="13"/>
  <c r="U213" i="16"/>
  <c r="AO212" i="16"/>
  <c r="BI212" i="16" s="1"/>
  <c r="DJ212" i="16" s="1"/>
  <c r="DH210" i="16"/>
  <c r="D27" i="31"/>
  <c r="DI335" i="16"/>
  <c r="DI343" i="16"/>
  <c r="DH395" i="16"/>
  <c r="DI386" i="16"/>
  <c r="BP426" i="16"/>
  <c r="CL426" i="16"/>
  <c r="C38" i="32"/>
  <c r="CL425" i="16"/>
  <c r="BX425" i="16"/>
  <c r="CY426" i="16" s="1"/>
  <c r="BM160" i="16"/>
  <c r="CI161" i="16" s="1"/>
  <c r="DB51" i="16"/>
  <c r="D13" i="26"/>
  <c r="C5" i="32"/>
  <c r="D30" i="18"/>
  <c r="BO73" i="16"/>
  <c r="BO74" i="16" s="1"/>
  <c r="C24" i="17"/>
  <c r="C24" i="29" s="1"/>
  <c r="BS358" i="16"/>
  <c r="CT359" i="16" s="1"/>
  <c r="F3" i="13"/>
  <c r="AN52" i="16"/>
  <c r="BH52" i="16" s="1"/>
  <c r="AO167" i="16"/>
  <c r="BI167" i="16" s="1"/>
  <c r="AL29" i="16"/>
  <c r="BF29" i="16" s="1"/>
  <c r="CP30" i="16" s="1"/>
  <c r="AI29" i="16"/>
  <c r="BC29" i="16" s="1"/>
  <c r="AO29" i="16"/>
  <c r="BI29" i="16" s="1"/>
  <c r="AO396" i="16"/>
  <c r="BI396" i="16" s="1"/>
  <c r="DK396" i="16" s="1"/>
  <c r="C16" i="21"/>
  <c r="BT358" i="16"/>
  <c r="CU359" i="16" s="1"/>
  <c r="DH366" i="16"/>
  <c r="DI410" i="16"/>
  <c r="DH302" i="16"/>
  <c r="DH160" i="16"/>
  <c r="DH358" i="16"/>
  <c r="CN445" i="16"/>
  <c r="D56" i="20" s="1"/>
  <c r="D56" i="32" s="1"/>
  <c r="DH359" i="16"/>
  <c r="DI367" i="16"/>
  <c r="DH360" i="16"/>
  <c r="DI417" i="16"/>
  <c r="DH252" i="16"/>
  <c r="DI356" i="16"/>
  <c r="CQ445" i="16"/>
  <c r="D59" i="20" s="1"/>
  <c r="D59" i="33" s="1"/>
  <c r="DH206" i="16"/>
  <c r="BO314" i="16"/>
  <c r="DI394" i="16"/>
  <c r="BX381" i="16"/>
  <c r="CY382" i="16" s="1"/>
  <c r="CL381" i="16"/>
  <c r="BP381" i="16"/>
  <c r="CL205" i="16"/>
  <c r="BX205" i="16"/>
  <c r="DH393" i="16"/>
  <c r="DH316" i="16"/>
  <c r="DI209" i="16"/>
  <c r="D43" i="31"/>
  <c r="D45" i="31"/>
  <c r="D55" i="31"/>
  <c r="D46" i="31"/>
  <c r="CK160" i="16"/>
  <c r="BV160" i="16"/>
  <c r="CW161" i="16" s="1"/>
  <c r="BO160" i="16"/>
  <c r="DI400" i="16"/>
  <c r="CV248" i="16"/>
  <c r="BU248" i="16"/>
  <c r="CX226" i="16"/>
  <c r="BW226" i="16"/>
  <c r="CI336" i="16"/>
  <c r="BS336" i="16"/>
  <c r="CT337" i="16" s="1"/>
  <c r="BM336" i="16"/>
  <c r="CJ292" i="16"/>
  <c r="BR292" i="16"/>
  <c r="CS293" i="16" s="1"/>
  <c r="BN292" i="16"/>
  <c r="CL207" i="16"/>
  <c r="BP207" i="16"/>
  <c r="CL271" i="16"/>
  <c r="BX271" i="16"/>
  <c r="CY272" i="16" s="1"/>
  <c r="CK271" i="16"/>
  <c r="CU380" i="16"/>
  <c r="BT380" i="16"/>
  <c r="D17" i="31"/>
  <c r="BV73" i="16"/>
  <c r="CW74" i="16" s="1"/>
  <c r="DH180" i="16"/>
  <c r="C21" i="31"/>
  <c r="DJ5" i="16"/>
  <c r="D37" i="31"/>
  <c r="DI370" i="16"/>
  <c r="CK182" i="16"/>
  <c r="BV182" i="16"/>
  <c r="CW183" i="16" s="1"/>
  <c r="DI141" i="16"/>
  <c r="CK270" i="16"/>
  <c r="BV270" i="16"/>
  <c r="CW271" i="16" s="1"/>
  <c r="D64" i="18"/>
  <c r="D61" i="31"/>
  <c r="D69" i="13"/>
  <c r="BW381" i="16"/>
  <c r="CX381" i="16"/>
  <c r="DH343" i="16"/>
  <c r="DI401" i="16"/>
  <c r="DI409" i="16"/>
  <c r="DI358" i="16"/>
  <c r="DI407" i="16"/>
  <c r="CK337" i="16"/>
  <c r="CX248" i="16"/>
  <c r="BW248" i="16"/>
  <c r="DH141" i="16"/>
  <c r="DI359" i="16"/>
  <c r="DI158" i="16"/>
  <c r="BX403" i="16"/>
  <c r="CY404" i="16" s="1"/>
  <c r="CL403" i="16"/>
  <c r="CK336" i="16"/>
  <c r="BV336" i="16"/>
  <c r="CW337" i="16" s="1"/>
  <c r="BU315" i="16"/>
  <c r="CV315" i="16"/>
  <c r="DI422" i="16"/>
  <c r="DI160" i="16"/>
  <c r="DI357" i="16"/>
  <c r="CX336" i="16"/>
  <c r="BW336" i="16"/>
  <c r="BP271" i="16"/>
  <c r="BQ95" i="16"/>
  <c r="CR96" i="16" s="1"/>
  <c r="DH182" i="16"/>
  <c r="CF445" i="16"/>
  <c r="D26" i="20" s="1"/>
  <c r="D26" i="33" s="1"/>
  <c r="AF52" i="16"/>
  <c r="AZ52" i="16" s="1"/>
  <c r="AO52" i="16"/>
  <c r="BI52" i="16" s="1"/>
  <c r="AB52" i="16"/>
  <c r="AV52" i="16" s="1"/>
  <c r="AD52" i="16"/>
  <c r="AX52" i="16" s="1"/>
  <c r="CF53" i="16" s="1"/>
  <c r="DH187" i="16"/>
  <c r="DH268" i="16"/>
  <c r="BW445" i="16"/>
  <c r="D49" i="20" s="1"/>
  <c r="D49" i="33" s="1"/>
  <c r="DG51" i="16"/>
  <c r="D39" i="31"/>
  <c r="D38" i="31"/>
  <c r="D57" i="31"/>
  <c r="C53" i="31"/>
  <c r="E47" i="18"/>
  <c r="DH364" i="16"/>
  <c r="DI348" i="16"/>
  <c r="AJ396" i="16"/>
  <c r="BD396" i="16" s="1"/>
  <c r="CN397" i="16" s="1"/>
  <c r="AJ373" i="16"/>
  <c r="BD373" i="16" s="1"/>
  <c r="AJ189" i="16"/>
  <c r="BD189" i="16" s="1"/>
  <c r="CN190" i="16" s="1"/>
  <c r="AJ235" i="16"/>
  <c r="BD235" i="16" s="1"/>
  <c r="CN236" i="16" s="1"/>
  <c r="AJ350" i="16"/>
  <c r="BD350" i="16" s="1"/>
  <c r="CN351" i="16" s="1"/>
  <c r="AJ281" i="16"/>
  <c r="BD281" i="16" s="1"/>
  <c r="CN282" i="16" s="1"/>
  <c r="AJ419" i="16"/>
  <c r="BD419" i="16" s="1"/>
  <c r="DF419" i="16" s="1"/>
  <c r="AJ304" i="16"/>
  <c r="BD304" i="16" s="1"/>
  <c r="CN305" i="16" s="1"/>
  <c r="AJ212" i="16"/>
  <c r="BD212" i="16" s="1"/>
  <c r="CN213" i="16" s="1"/>
  <c r="AJ327" i="16"/>
  <c r="BD327" i="16" s="1"/>
  <c r="CN328" i="16" s="1"/>
  <c r="AJ258" i="16"/>
  <c r="BD258" i="16" s="1"/>
  <c r="CN259" i="16" s="1"/>
  <c r="DH425" i="16"/>
  <c r="DI210" i="16"/>
  <c r="CV425" i="16"/>
  <c r="BU425" i="16"/>
  <c r="BO271" i="16"/>
  <c r="DH342" i="16"/>
  <c r="BP403" i="16"/>
  <c r="DH369" i="16"/>
  <c r="DI159" i="16"/>
  <c r="DH277" i="16"/>
  <c r="CU424" i="16"/>
  <c r="BT424" i="16"/>
  <c r="BR204" i="16"/>
  <c r="CS205" i="16" s="1"/>
  <c r="CJ204" i="16"/>
  <c r="BN204" i="16"/>
  <c r="DH340" i="16"/>
  <c r="DH347" i="16"/>
  <c r="DI182" i="16"/>
  <c r="DH270" i="16"/>
  <c r="DH336" i="16"/>
  <c r="DH279" i="16"/>
  <c r="DH429" i="16"/>
  <c r="AM29" i="16"/>
  <c r="BG29" i="16" s="1"/>
  <c r="DI140" i="16"/>
  <c r="D56" i="31"/>
  <c r="DH188" i="16"/>
  <c r="DH312" i="16"/>
  <c r="AB29" i="16"/>
  <c r="AV29" i="16" s="1"/>
  <c r="AJ52" i="16"/>
  <c r="BD52" i="16" s="1"/>
  <c r="CN53" i="16" s="1"/>
  <c r="Z52" i="16"/>
  <c r="AT52" i="16" s="1"/>
  <c r="CC53" i="16" s="1"/>
  <c r="AA52" i="16"/>
  <c r="AU52" i="16" s="1"/>
  <c r="CD53" i="16" s="1"/>
  <c r="AE52" i="16"/>
  <c r="AY52" i="16" s="1"/>
  <c r="CG53" i="16" s="1"/>
  <c r="Z29" i="16"/>
  <c r="AT29" i="16" s="1"/>
  <c r="CC30" i="16" s="1"/>
  <c r="AA29" i="16"/>
  <c r="AU29" i="16" s="1"/>
  <c r="AJ29" i="16"/>
  <c r="BD29" i="16" s="1"/>
  <c r="AG29" i="16"/>
  <c r="BA29" i="16" s="1"/>
  <c r="DI4" i="16"/>
  <c r="BR73" i="16"/>
  <c r="CB445" i="16"/>
  <c r="D7" i="20" s="1"/>
  <c r="D44" i="17" s="1"/>
  <c r="D44" i="28" s="1"/>
  <c r="DH183" i="16"/>
  <c r="DI183" i="16"/>
  <c r="DI136" i="16"/>
  <c r="D30" i="31"/>
  <c r="Y29" i="16"/>
  <c r="AS29" i="16" s="1"/>
  <c r="DH224" i="16"/>
  <c r="D40" i="31"/>
  <c r="CW117" i="16"/>
  <c r="BV117" i="16"/>
  <c r="DH158" i="16"/>
  <c r="DI347" i="16"/>
  <c r="CV74" i="16"/>
  <c r="BU74" i="16"/>
  <c r="DH433" i="16"/>
  <c r="CJ380" i="16"/>
  <c r="BR380" i="16"/>
  <c r="CS381" i="16" s="1"/>
  <c r="BN380" i="16"/>
  <c r="E7" i="31"/>
  <c r="CL161" i="16"/>
  <c r="BX161" i="16"/>
  <c r="CY162" i="16" s="1"/>
  <c r="BW402" i="16"/>
  <c r="DI415" i="16"/>
  <c r="CU292" i="16"/>
  <c r="BT292" i="16"/>
  <c r="DH161" i="16"/>
  <c r="DH426" i="16"/>
  <c r="DH246" i="16"/>
  <c r="DH362" i="16"/>
  <c r="DI368" i="16"/>
  <c r="BT160" i="16"/>
  <c r="E68" i="18"/>
  <c r="E65" i="31"/>
  <c r="DH408" i="16"/>
  <c r="DH341" i="16"/>
  <c r="DH334" i="16"/>
  <c r="DI344" i="16"/>
  <c r="CU96" i="16"/>
  <c r="BT96" i="16"/>
  <c r="CK29" i="16"/>
  <c r="BV29" i="16"/>
  <c r="CW30" i="16" s="1"/>
  <c r="BO29" i="16"/>
  <c r="CK248" i="16"/>
  <c r="BV248" i="16"/>
  <c r="CW249" i="16" s="1"/>
  <c r="BO248" i="16"/>
  <c r="BP161" i="16"/>
  <c r="E44" i="31"/>
  <c r="BU358" i="16"/>
  <c r="BU336" i="16"/>
  <c r="BO337" i="16"/>
  <c r="CK138" i="16"/>
  <c r="BV138" i="16"/>
  <c r="CW139" i="16" s="1"/>
  <c r="DI403" i="16"/>
  <c r="BO182" i="16"/>
  <c r="DI270" i="16"/>
  <c r="BW292" i="16"/>
  <c r="CU226" i="16"/>
  <c r="BT226" i="16"/>
  <c r="BX360" i="16"/>
  <c r="CY361" i="16" s="1"/>
  <c r="CL360" i="16"/>
  <c r="BP360" i="16"/>
  <c r="AS121" i="16"/>
  <c r="BT117" i="16"/>
  <c r="CU117" i="16"/>
  <c r="CF259" i="16"/>
  <c r="D33" i="25"/>
  <c r="CJ402" i="16"/>
  <c r="BN402" i="16"/>
  <c r="BR402" i="16"/>
  <c r="CS403" i="16" s="1"/>
  <c r="CJ226" i="16"/>
  <c r="BR226" i="16"/>
  <c r="CS227" i="16" s="1"/>
  <c r="BN226" i="16"/>
  <c r="CL338" i="16"/>
  <c r="BX338" i="16"/>
  <c r="CY339" i="16" s="1"/>
  <c r="BP338" i="16"/>
  <c r="CI380" i="16"/>
  <c r="BM380" i="16"/>
  <c r="BS380" i="16"/>
  <c r="CT381" i="16" s="1"/>
  <c r="BW161" i="16"/>
  <c r="CX161" i="16"/>
  <c r="AS189" i="16"/>
  <c r="AS258" i="16"/>
  <c r="E9" i="27"/>
  <c r="CM328" i="16"/>
  <c r="CJ358" i="16"/>
  <c r="BN358" i="16"/>
  <c r="BR358" i="16"/>
  <c r="CS359" i="16" s="1"/>
  <c r="CE6" i="16"/>
  <c r="CE446" i="16" s="1"/>
  <c r="E25" i="20" s="1"/>
  <c r="E25" i="33" s="1"/>
  <c r="AW445" i="16"/>
  <c r="D12" i="20" s="1"/>
  <c r="D12" i="33" s="1"/>
  <c r="C37" i="20"/>
  <c r="C37" i="33" s="1"/>
  <c r="DF444" i="16"/>
  <c r="D21" i="13"/>
  <c r="E45" i="13"/>
  <c r="E30" i="13"/>
  <c r="D20" i="18"/>
  <c r="E17" i="13"/>
  <c r="C14" i="20"/>
  <c r="C14" i="33" s="1"/>
  <c r="DD444" i="16"/>
  <c r="BW53" i="16"/>
  <c r="CX54" i="16" s="1"/>
  <c r="CI97" i="16"/>
  <c r="BM97" i="16"/>
  <c r="CO445" i="16"/>
  <c r="D57" i="20" s="1"/>
  <c r="D57" i="32" s="1"/>
  <c r="CF76" i="16"/>
  <c r="BV359" i="16"/>
  <c r="CW360" i="16" s="1"/>
  <c r="BO359" i="16"/>
  <c r="CK359" i="16"/>
  <c r="AS212" i="16"/>
  <c r="C43" i="23"/>
  <c r="C43" i="21"/>
  <c r="CV204" i="16"/>
  <c r="BU204" i="16"/>
  <c r="D33" i="18"/>
  <c r="D34" i="13"/>
  <c r="E44" i="27"/>
  <c r="DJ444" i="16"/>
  <c r="DJ445" i="16"/>
  <c r="CI52" i="16"/>
  <c r="CM190" i="16"/>
  <c r="D57" i="25"/>
  <c r="D58" i="18"/>
  <c r="DB5" i="16"/>
  <c r="AT445" i="16"/>
  <c r="CC6" i="16"/>
  <c r="CC446" i="16" s="1"/>
  <c r="E8" i="20" s="1"/>
  <c r="DG4" i="16"/>
  <c r="DH4" i="16" s="1"/>
  <c r="BM52" i="16"/>
  <c r="C25" i="26"/>
  <c r="C26" i="26"/>
  <c r="C28" i="26" s="1"/>
  <c r="C30" i="17"/>
  <c r="C8" i="21"/>
  <c r="C8" i="23"/>
  <c r="CR271" i="16"/>
  <c r="BQ271" i="16"/>
  <c r="BP118" i="16"/>
  <c r="BX118" i="16"/>
  <c r="CY119" i="16" s="1"/>
  <c r="CL118" i="16"/>
  <c r="CM213" i="16"/>
  <c r="E59" i="10"/>
  <c r="E49" i="10"/>
  <c r="D24" i="26"/>
  <c r="CF190" i="16"/>
  <c r="CR117" i="16"/>
  <c r="BQ117" i="16"/>
  <c r="D44" i="27"/>
  <c r="CC213" i="16"/>
  <c r="CC236" i="16"/>
  <c r="CC328" i="16"/>
  <c r="D58" i="25"/>
  <c r="D59" i="18"/>
  <c r="CK204" i="16"/>
  <c r="BO445" i="16"/>
  <c r="D19" i="20" s="1"/>
  <c r="D19" i="33" s="1"/>
  <c r="BV204" i="16"/>
  <c r="BO204" i="16"/>
  <c r="CB121" i="16"/>
  <c r="DC120" i="16"/>
  <c r="C4" i="20"/>
  <c r="C4" i="33" s="1"/>
  <c r="DB444" i="16"/>
  <c r="BQ293" i="16"/>
  <c r="CR293" i="16"/>
  <c r="CG144" i="16"/>
  <c r="DD143" i="16"/>
  <c r="DC143" i="16"/>
  <c r="CV182" i="16"/>
  <c r="BU182" i="16"/>
  <c r="C9" i="17"/>
  <c r="C15" i="23"/>
  <c r="C15" i="21"/>
  <c r="BP139" i="16"/>
  <c r="CL139" i="16"/>
  <c r="BX139" i="16"/>
  <c r="CY140" i="16" s="1"/>
  <c r="CG98" i="16"/>
  <c r="DD97" i="16"/>
  <c r="DH97" i="16" s="1"/>
  <c r="CF282" i="16"/>
  <c r="CK139" i="16"/>
  <c r="BO139" i="16"/>
  <c r="DJ28" i="16"/>
  <c r="CU337" i="16"/>
  <c r="BT337" i="16"/>
  <c r="BP97" i="16"/>
  <c r="CL97" i="16"/>
  <c r="CR381" i="16"/>
  <c r="BQ381" i="16"/>
  <c r="AS327" i="16"/>
  <c r="AS235" i="16"/>
  <c r="CP445" i="16"/>
  <c r="D58" i="20" s="1"/>
  <c r="D58" i="33" s="1"/>
  <c r="D58" i="26"/>
  <c r="D70" i="10"/>
  <c r="CV380" i="16"/>
  <c r="BU380" i="16"/>
  <c r="E63" i="13"/>
  <c r="D48" i="18"/>
  <c r="C15" i="28"/>
  <c r="BU271" i="16"/>
  <c r="CV271" i="16"/>
  <c r="CM259" i="16"/>
  <c r="CR227" i="16"/>
  <c r="BQ227" i="16"/>
  <c r="E40" i="13"/>
  <c r="E57" i="13"/>
  <c r="D23" i="25"/>
  <c r="E46" i="13"/>
  <c r="D42" i="18"/>
  <c r="BQ161" i="16"/>
  <c r="CR161" i="16"/>
  <c r="D10" i="25"/>
  <c r="E55" i="13"/>
  <c r="D40" i="18"/>
  <c r="E38" i="13"/>
  <c r="E37" i="13"/>
  <c r="C10" i="27"/>
  <c r="C11" i="25"/>
  <c r="CQ6" i="16"/>
  <c r="CQ446" i="16" s="1"/>
  <c r="E59" i="20" s="1"/>
  <c r="BG445" i="16"/>
  <c r="D41" i="20" s="1"/>
  <c r="D41" i="33" s="1"/>
  <c r="BW6" i="16"/>
  <c r="CG6" i="16"/>
  <c r="CG446" i="16" s="1"/>
  <c r="E27" i="20" s="1"/>
  <c r="DD5" i="16"/>
  <c r="BO6" i="16"/>
  <c r="AY445" i="16"/>
  <c r="BD445" i="16"/>
  <c r="D38" i="20" s="1"/>
  <c r="D38" i="32" s="1"/>
  <c r="CN6" i="16"/>
  <c r="CN446" i="16" s="1"/>
  <c r="E56" i="20" s="1"/>
  <c r="BQ6" i="16"/>
  <c r="C25" i="25"/>
  <c r="C23" i="27"/>
  <c r="BS291" i="16"/>
  <c r="CT292" i="16" s="1"/>
  <c r="CI291" i="16"/>
  <c r="BM291" i="16"/>
  <c r="CM445" i="16"/>
  <c r="D55" i="20" s="1"/>
  <c r="D52" i="10"/>
  <c r="E64" i="10"/>
  <c r="CT29" i="16"/>
  <c r="BS29" i="16"/>
  <c r="CT30" i="16" s="1"/>
  <c r="CJ75" i="16"/>
  <c r="BW315" i="16"/>
  <c r="CX315" i="16"/>
  <c r="CC397" i="16"/>
  <c r="CJ182" i="16"/>
  <c r="BR182" i="16"/>
  <c r="CS183" i="16" s="1"/>
  <c r="BN182" i="16"/>
  <c r="C15" i="27"/>
  <c r="C15" i="29"/>
  <c r="DH400" i="16"/>
  <c r="DC51" i="16"/>
  <c r="CB52" i="16"/>
  <c r="CQ190" i="16"/>
  <c r="CU6" i="16"/>
  <c r="BT445" i="16"/>
  <c r="D46" i="20" s="1"/>
  <c r="D46" i="32" s="1"/>
  <c r="CV403" i="16"/>
  <c r="BU403" i="16"/>
  <c r="CM351" i="16"/>
  <c r="AS373" i="16"/>
  <c r="CV138" i="16"/>
  <c r="BU445" i="16"/>
  <c r="D47" i="20" s="1"/>
  <c r="D47" i="33" s="1"/>
  <c r="E46" i="10"/>
  <c r="CF374" i="16"/>
  <c r="CD6" i="16"/>
  <c r="CD446" i="16" s="1"/>
  <c r="E9" i="20" s="1"/>
  <c r="AU445" i="16"/>
  <c r="D5" i="20" s="1"/>
  <c r="D5" i="33" s="1"/>
  <c r="BN6" i="16"/>
  <c r="AA6" i="16"/>
  <c r="AU6" i="16" s="1"/>
  <c r="AD6" i="16"/>
  <c r="AX6" i="16" s="1"/>
  <c r="AK6" i="16"/>
  <c r="BE6" i="16" s="1"/>
  <c r="AG6" i="16"/>
  <c r="BA6" i="16" s="1"/>
  <c r="BA446" i="16" s="1"/>
  <c r="AS5" i="16"/>
  <c r="AE6" i="16"/>
  <c r="AY6" i="16" s="1"/>
  <c r="AL6" i="16"/>
  <c r="BF6" i="16" s="1"/>
  <c r="AH6" i="16"/>
  <c r="BB6" i="16" s="1"/>
  <c r="BB446" i="16" s="1"/>
  <c r="Z6" i="16"/>
  <c r="AT6" i="16" s="1"/>
  <c r="AJ6" i="16"/>
  <c r="BD6" i="16" s="1"/>
  <c r="AO6" i="16"/>
  <c r="BI6" i="16" s="1"/>
  <c r="BI446" i="16" s="1"/>
  <c r="Y6" i="16"/>
  <c r="AF6" i="16"/>
  <c r="AZ6" i="16" s="1"/>
  <c r="AI6" i="16"/>
  <c r="BC6" i="16" s="1"/>
  <c r="AM6" i="16"/>
  <c r="BG6" i="16" s="1"/>
  <c r="AB6" i="16"/>
  <c r="AV6" i="16" s="1"/>
  <c r="AN6" i="16"/>
  <c r="BH6" i="16" s="1"/>
  <c r="BH446" i="16" s="1"/>
  <c r="AC6" i="16"/>
  <c r="AW6" i="16" s="1"/>
  <c r="E58" i="13"/>
  <c r="E47" i="13"/>
  <c r="D43" i="18"/>
  <c r="C36" i="27"/>
  <c r="BU138" i="16"/>
  <c r="CI203" i="16"/>
  <c r="BS203" i="16"/>
  <c r="CT204" i="16" s="1"/>
  <c r="BM203" i="16"/>
  <c r="E47" i="10"/>
  <c r="E58" i="10"/>
  <c r="C28" i="25"/>
  <c r="CC190" i="16"/>
  <c r="CC374" i="16"/>
  <c r="CK380" i="16"/>
  <c r="BV380" i="16"/>
  <c r="CW381" i="16" s="1"/>
  <c r="BO380" i="16"/>
  <c r="CK292" i="16"/>
  <c r="BO292" i="16"/>
  <c r="BV292" i="16"/>
  <c r="CW293" i="16" s="1"/>
  <c r="CP6" i="16"/>
  <c r="CP446" i="16" s="1"/>
  <c r="E58" i="20" s="1"/>
  <c r="BU6" i="16"/>
  <c r="BF445" i="16"/>
  <c r="D40" i="20" s="1"/>
  <c r="D40" i="33" s="1"/>
  <c r="BT140" i="16"/>
  <c r="CU140" i="16"/>
  <c r="CL30" i="16"/>
  <c r="BX30" i="16"/>
  <c r="CY31" i="16" s="1"/>
  <c r="CI73" i="16"/>
  <c r="BM73" i="16"/>
  <c r="BS73" i="16"/>
  <c r="CT74" i="16" s="1"/>
  <c r="F44" i="26"/>
  <c r="E45" i="10"/>
  <c r="CS7" i="16"/>
  <c r="BN337" i="16"/>
  <c r="AS396" i="16"/>
  <c r="AS304" i="16"/>
  <c r="BW271" i="16"/>
  <c r="CX271" i="16"/>
  <c r="CU182" i="16"/>
  <c r="BT182" i="16"/>
  <c r="E56" i="10"/>
  <c r="E43" i="10"/>
  <c r="D15" i="26"/>
  <c r="E38" i="10"/>
  <c r="CG259" i="16"/>
  <c r="D23" i="26"/>
  <c r="BT51" i="16"/>
  <c r="CU51" i="16"/>
  <c r="CM305" i="16"/>
  <c r="DF5" i="16"/>
  <c r="CM6" i="16"/>
  <c r="CM446" i="16" s="1"/>
  <c r="E55" i="20" s="1"/>
  <c r="E55" i="33" s="1"/>
  <c r="BC445" i="16"/>
  <c r="DG5" i="16"/>
  <c r="BM4" i="16"/>
  <c r="BA444" i="16"/>
  <c r="DG444" i="16" s="1"/>
  <c r="D52" i="13"/>
  <c r="E64" i="13"/>
  <c r="D49" i="18"/>
  <c r="CX205" i="16"/>
  <c r="BW205" i="16"/>
  <c r="D50" i="27"/>
  <c r="C32" i="26"/>
  <c r="C39" i="26" s="1"/>
  <c r="C41" i="26" s="1"/>
  <c r="C23" i="10"/>
  <c r="E50" i="27"/>
  <c r="AS167" i="16"/>
  <c r="DI74" i="16"/>
  <c r="DJ327" i="16"/>
  <c r="CI138" i="16"/>
  <c r="BS138" i="16"/>
  <c r="CT139" i="16" s="1"/>
  <c r="BM138" i="16"/>
  <c r="CM236" i="16"/>
  <c r="BM271" i="16"/>
  <c r="CI271" i="16"/>
  <c r="C21" i="27"/>
  <c r="D47" i="25"/>
  <c r="CC305" i="16"/>
  <c r="CC282" i="16"/>
  <c r="CC259" i="16"/>
  <c r="CR181" i="16"/>
  <c r="CR445" i="16" s="1"/>
  <c r="D61" i="20" s="1"/>
  <c r="D61" i="33" s="1"/>
  <c r="BQ444" i="16"/>
  <c r="C43" i="20" s="1"/>
  <c r="C43" i="33" s="1"/>
  <c r="BQ181" i="16"/>
  <c r="CJ138" i="16"/>
  <c r="BR138" i="16"/>
  <c r="CS139" i="16" s="1"/>
  <c r="BN138" i="16"/>
  <c r="D46" i="18"/>
  <c r="D51" i="13"/>
  <c r="E61" i="13"/>
  <c r="BQ425" i="16"/>
  <c r="CR425" i="16"/>
  <c r="CR73" i="16"/>
  <c r="BQ73" i="16"/>
  <c r="DH290" i="16"/>
  <c r="CG445" i="16"/>
  <c r="D27" i="20" s="1"/>
  <c r="D27" i="33" s="1"/>
  <c r="CP122" i="16"/>
  <c r="BQ205" i="16"/>
  <c r="CR205" i="16"/>
  <c r="CE445" i="16"/>
  <c r="D25" i="20" s="1"/>
  <c r="D25" i="33" s="1"/>
  <c r="BQ337" i="16"/>
  <c r="BM402" i="16"/>
  <c r="BS402" i="16"/>
  <c r="CT403" i="16" s="1"/>
  <c r="CI402" i="16"/>
  <c r="CI314" i="16"/>
  <c r="BM314" i="16"/>
  <c r="BS314" i="16"/>
  <c r="CT315" i="16" s="1"/>
  <c r="CI226" i="16"/>
  <c r="BS226" i="16"/>
  <c r="CT227" i="16" s="1"/>
  <c r="BM226" i="16"/>
  <c r="DC97" i="16"/>
  <c r="CF305" i="16"/>
  <c r="CI359" i="16"/>
  <c r="BM359" i="16"/>
  <c r="CH445" i="16"/>
  <c r="D28" i="20" s="1"/>
  <c r="D28" i="33" s="1"/>
  <c r="CJ314" i="16"/>
  <c r="BN314" i="16"/>
  <c r="BR314" i="16"/>
  <c r="CS315" i="16" s="1"/>
  <c r="AG327" i="16"/>
  <c r="BA327" i="16" s="1"/>
  <c r="AG258" i="16"/>
  <c r="BA258" i="16" s="1"/>
  <c r="AG419" i="16"/>
  <c r="BA419" i="16" s="1"/>
  <c r="AG212" i="16"/>
  <c r="BA212" i="16" s="1"/>
  <c r="AG373" i="16"/>
  <c r="BA373" i="16" s="1"/>
  <c r="AG304" i="16"/>
  <c r="BA304" i="16" s="1"/>
  <c r="AG350" i="16"/>
  <c r="BA350" i="16" s="1"/>
  <c r="AG189" i="16"/>
  <c r="BA189" i="16" s="1"/>
  <c r="AG396" i="16"/>
  <c r="BA396" i="16" s="1"/>
  <c r="U210" i="16"/>
  <c r="AG281" i="16"/>
  <c r="BA281" i="16" s="1"/>
  <c r="AG235" i="16"/>
  <c r="BA235" i="16" s="1"/>
  <c r="AG167" i="16"/>
  <c r="BA167" i="16" s="1"/>
  <c r="C39" i="20"/>
  <c r="C39" i="33" s="1"/>
  <c r="DE444" i="16"/>
  <c r="CX73" i="16"/>
  <c r="BW73" i="16"/>
  <c r="BN445" i="16"/>
  <c r="D18" i="20" s="1"/>
  <c r="D18" i="33" s="1"/>
  <c r="AS281" i="16"/>
  <c r="AS350" i="16"/>
  <c r="C3" i="20"/>
  <c r="C3" i="33" s="1"/>
  <c r="BQ51" i="16"/>
  <c r="CR51" i="16"/>
  <c r="DI180" i="16"/>
  <c r="D51" i="10"/>
  <c r="E61" i="10"/>
  <c r="DE166" i="16"/>
  <c r="DI166" i="16" s="1"/>
  <c r="DD166" i="16"/>
  <c r="DH166" i="16" s="1"/>
  <c r="CO167" i="16"/>
  <c r="CV292" i="16"/>
  <c r="BU292" i="16"/>
  <c r="C32" i="25"/>
  <c r="C24" i="18"/>
  <c r="C23" i="13"/>
  <c r="BR161" i="16"/>
  <c r="CS162" i="16" s="1"/>
  <c r="CM282" i="16"/>
  <c r="CM397" i="16"/>
  <c r="BR270" i="16"/>
  <c r="CS271" i="16" s="1"/>
  <c r="BN270" i="16"/>
  <c r="CJ270" i="16"/>
  <c r="D15" i="25"/>
  <c r="E43" i="13"/>
  <c r="E56" i="13"/>
  <c r="D41" i="18"/>
  <c r="CF6" i="16"/>
  <c r="CF446" i="16" s="1"/>
  <c r="E26" i="20" s="1"/>
  <c r="AX445" i="16"/>
  <c r="D13" i="20" s="1"/>
  <c r="D13" i="33" s="1"/>
  <c r="CO6" i="16"/>
  <c r="CO446" i="16" s="1"/>
  <c r="E57" i="20" s="1"/>
  <c r="E57" i="33" s="1"/>
  <c r="BT6" i="16"/>
  <c r="DE5" i="16"/>
  <c r="BE445" i="16"/>
  <c r="AZ445" i="16"/>
  <c r="D15" i="20" s="1"/>
  <c r="BP6" i="16"/>
  <c r="CH6" i="16"/>
  <c r="CH446" i="16" s="1"/>
  <c r="E28" i="20" s="1"/>
  <c r="D59" i="25"/>
  <c r="D60" i="18"/>
  <c r="C38" i="25"/>
  <c r="C56" i="18"/>
  <c r="D41" i="13"/>
  <c r="BQ29" i="16"/>
  <c r="CR30" i="16" s="1"/>
  <c r="CN29" i="16"/>
  <c r="DF28" i="16"/>
  <c r="DB28" i="16"/>
  <c r="DG28" i="16"/>
  <c r="DH28" i="16" s="1"/>
  <c r="BV96" i="16"/>
  <c r="CW97" i="16" s="1"/>
  <c r="CK96" i="16"/>
  <c r="BO96" i="16"/>
  <c r="DH143" i="16" l="1"/>
  <c r="BU118" i="16"/>
  <c r="BU119" i="16" s="1"/>
  <c r="BN425" i="16"/>
  <c r="BN426" i="16" s="1"/>
  <c r="AL189" i="16"/>
  <c r="BF189" i="16" s="1"/>
  <c r="CP190" i="16" s="1"/>
  <c r="AL304" i="16"/>
  <c r="BF304" i="16" s="1"/>
  <c r="DD304" i="16" s="1"/>
  <c r="AL212" i="16"/>
  <c r="BF212" i="16" s="1"/>
  <c r="CP213" i="16" s="1"/>
  <c r="AL258" i="16"/>
  <c r="BF258" i="16" s="1"/>
  <c r="CP259" i="16" s="1"/>
  <c r="BS249" i="16"/>
  <c r="CT250" i="16" s="1"/>
  <c r="BM249" i="16"/>
  <c r="BM250" i="16" s="1"/>
  <c r="BX97" i="16"/>
  <c r="CY98" i="16" s="1"/>
  <c r="BN119" i="16"/>
  <c r="CJ120" i="16" s="1"/>
  <c r="AL235" i="16"/>
  <c r="BF235" i="16" s="1"/>
  <c r="DE235" i="16" s="1"/>
  <c r="CU249" i="16"/>
  <c r="AL350" i="16"/>
  <c r="BF350" i="16" s="1"/>
  <c r="DD350" i="16" s="1"/>
  <c r="DH350" i="16" s="1"/>
  <c r="AL281" i="16"/>
  <c r="BF281" i="16" s="1"/>
  <c r="CP282" i="16" s="1"/>
  <c r="DE419" i="16"/>
  <c r="DI419" i="16" s="1"/>
  <c r="DK121" i="16"/>
  <c r="DE373" i="16"/>
  <c r="DD419" i="16"/>
  <c r="DD396" i="16"/>
  <c r="BP76" i="16"/>
  <c r="CL77" i="16" s="1"/>
  <c r="DJ75" i="16"/>
  <c r="BT74" i="16"/>
  <c r="CU75" i="16" s="1"/>
  <c r="BO426" i="16"/>
  <c r="BO427" i="16" s="1"/>
  <c r="CR249" i="16"/>
  <c r="BQ315" i="16"/>
  <c r="BQ316" i="16" s="1"/>
  <c r="BS96" i="16"/>
  <c r="CT97" i="16" s="1"/>
  <c r="DE396" i="16"/>
  <c r="DD327" i="16"/>
  <c r="BR337" i="16"/>
  <c r="CS338" i="16" s="1"/>
  <c r="DD373" i="16"/>
  <c r="DE212" i="16"/>
  <c r="DD189" i="16"/>
  <c r="F68" i="31"/>
  <c r="BS425" i="16"/>
  <c r="CT426" i="16" s="1"/>
  <c r="DD258" i="16"/>
  <c r="DE327" i="16"/>
  <c r="DI28" i="16"/>
  <c r="CQ328" i="16"/>
  <c r="BS271" i="16"/>
  <c r="CT272" i="16" s="1"/>
  <c r="BM183" i="16"/>
  <c r="CI184" i="16" s="1"/>
  <c r="DJ144" i="16"/>
  <c r="BR118" i="16"/>
  <c r="CS119" i="16" s="1"/>
  <c r="AE99" i="16"/>
  <c r="AY99" i="16" s="1"/>
  <c r="CG100" i="16" s="1"/>
  <c r="BN52" i="16"/>
  <c r="CK120" i="16"/>
  <c r="DF258" i="16"/>
  <c r="DF75" i="16"/>
  <c r="BS183" i="16"/>
  <c r="CT184" i="16" s="1"/>
  <c r="BR425" i="16"/>
  <c r="CS426" i="16" s="1"/>
  <c r="BR52" i="16"/>
  <c r="CS53" i="16" s="1"/>
  <c r="E31" i="31"/>
  <c r="DJ121" i="16"/>
  <c r="DF98" i="16"/>
  <c r="CM99" i="16"/>
  <c r="BV52" i="16"/>
  <c r="CW53" i="16" s="1"/>
  <c r="DG419" i="16"/>
  <c r="DB258" i="16"/>
  <c r="DE75" i="16"/>
  <c r="DJ98" i="16"/>
  <c r="BT205" i="16"/>
  <c r="CU206" i="16" s="1"/>
  <c r="CI425" i="16"/>
  <c r="BN75" i="16"/>
  <c r="BN76" i="16" s="1"/>
  <c r="CJ77" i="16" s="1"/>
  <c r="F8" i="26"/>
  <c r="DE121" i="16"/>
  <c r="DE350" i="16"/>
  <c r="BM425" i="16"/>
  <c r="CI426" i="16" s="1"/>
  <c r="Z122" i="16"/>
  <c r="AT122" i="16" s="1"/>
  <c r="CC123" i="16" s="1"/>
  <c r="CH76" i="16"/>
  <c r="DD121" i="16"/>
  <c r="BQ139" i="16"/>
  <c r="BQ140" i="16" s="1"/>
  <c r="CD75" i="16"/>
  <c r="BN30" i="16"/>
  <c r="BQ359" i="16"/>
  <c r="CR360" i="16" s="1"/>
  <c r="DF121" i="16"/>
  <c r="DK98" i="16"/>
  <c r="C14" i="29"/>
  <c r="DH51" i="16"/>
  <c r="DE52" i="16"/>
  <c r="CL185" i="16"/>
  <c r="DJ419" i="16"/>
  <c r="DB121" i="16"/>
  <c r="F25" i="31"/>
  <c r="E8" i="27"/>
  <c r="BM30" i="16"/>
  <c r="CI31" i="16" s="1"/>
  <c r="DG75" i="16"/>
  <c r="BQ403" i="16"/>
  <c r="BQ404" i="16" s="1"/>
  <c r="CR405" i="16" s="1"/>
  <c r="AF99" i="16"/>
  <c r="AZ99" i="16" s="1"/>
  <c r="DE98" i="16"/>
  <c r="AG122" i="16"/>
  <c r="BA122" i="16" s="1"/>
  <c r="DF167" i="16"/>
  <c r="DK167" i="16"/>
  <c r="E32" i="31"/>
  <c r="CL184" i="16"/>
  <c r="DB75" i="16"/>
  <c r="F15" i="18"/>
  <c r="AO76" i="16"/>
  <c r="BI76" i="16" s="1"/>
  <c r="BV403" i="16"/>
  <c r="CW404" i="16" s="1"/>
  <c r="AL99" i="16"/>
  <c r="BF99" i="16" s="1"/>
  <c r="CP100" i="16" s="1"/>
  <c r="AI122" i="16"/>
  <c r="BC122" i="16" s="1"/>
  <c r="CM123" i="16" s="1"/>
  <c r="BW96" i="16"/>
  <c r="CX97" i="16" s="1"/>
  <c r="DB167" i="16"/>
  <c r="AH99" i="16"/>
  <c r="BB99" i="16" s="1"/>
  <c r="AD122" i="16"/>
  <c r="AX122" i="16" s="1"/>
  <c r="CF123" i="16" s="1"/>
  <c r="BX53" i="16"/>
  <c r="CY54" i="16" s="1"/>
  <c r="C16" i="27"/>
  <c r="BS118" i="16"/>
  <c r="CT119" i="16" s="1"/>
  <c r="BX75" i="16"/>
  <c r="Y99" i="16"/>
  <c r="AS99" i="16" s="1"/>
  <c r="DE167" i="16"/>
  <c r="DG98" i="16"/>
  <c r="DD75" i="16"/>
  <c r="F28" i="18"/>
  <c r="E8" i="31"/>
  <c r="G12" i="10"/>
  <c r="G9" i="26" s="1"/>
  <c r="DI444" i="16"/>
  <c r="DB98" i="16"/>
  <c r="DG121" i="16"/>
  <c r="F9" i="26"/>
  <c r="Z99" i="16"/>
  <c r="AT99" i="16" s="1"/>
  <c r="CC100" i="16" s="1"/>
  <c r="AK99" i="16"/>
  <c r="BE99" i="16" s="1"/>
  <c r="CO100" i="16" s="1"/>
  <c r="AG99" i="16"/>
  <c r="BA99" i="16" s="1"/>
  <c r="AJ99" i="16"/>
  <c r="BD99" i="16" s="1"/>
  <c r="CN100" i="16" s="1"/>
  <c r="AB99" i="16"/>
  <c r="AV99" i="16" s="1"/>
  <c r="CK403" i="16"/>
  <c r="AB76" i="16"/>
  <c r="AV76" i="16" s="1"/>
  <c r="AH122" i="16"/>
  <c r="BB122" i="16" s="1"/>
  <c r="Y122" i="16"/>
  <c r="AS122" i="16" s="1"/>
  <c r="AN122" i="16"/>
  <c r="BH122" i="16" s="1"/>
  <c r="AM122" i="16"/>
  <c r="BG122" i="16" s="1"/>
  <c r="CQ123" i="16" s="1"/>
  <c r="BT316" i="16"/>
  <c r="BT317" i="16" s="1"/>
  <c r="F18" i="10"/>
  <c r="G31" i="10" s="1"/>
  <c r="CU315" i="16"/>
  <c r="DG167" i="16"/>
  <c r="AN99" i="16"/>
  <c r="BH99" i="16" s="1"/>
  <c r="AS98" i="16"/>
  <c r="CB99" i="16" s="1"/>
  <c r="AI99" i="16"/>
  <c r="BC99" i="16" s="1"/>
  <c r="CM100" i="16" s="1"/>
  <c r="AC99" i="16"/>
  <c r="AW99" i="16" s="1"/>
  <c r="CE100" i="16" s="1"/>
  <c r="DD167" i="16"/>
  <c r="BO403" i="16"/>
  <c r="CK404" i="16" s="1"/>
  <c r="AA76" i="16"/>
  <c r="AU76" i="16" s="1"/>
  <c r="CD77" i="16" s="1"/>
  <c r="AI76" i="16"/>
  <c r="BC76" i="16" s="1"/>
  <c r="CM77" i="16" s="1"/>
  <c r="G7" i="10"/>
  <c r="G44" i="26" s="1"/>
  <c r="BN162" i="16"/>
  <c r="CJ163" i="16" s="1"/>
  <c r="DD98" i="16"/>
  <c r="AL122" i="16"/>
  <c r="BF122" i="16" s="1"/>
  <c r="AC122" i="16"/>
  <c r="AW122" i="16" s="1"/>
  <c r="CE123" i="16" s="1"/>
  <c r="AK122" i="16"/>
  <c r="BE122" i="16" s="1"/>
  <c r="CO123" i="16" s="1"/>
  <c r="AB122" i="16"/>
  <c r="AV122" i="16" s="1"/>
  <c r="BX184" i="16"/>
  <c r="CY185" i="16" s="1"/>
  <c r="D13" i="18"/>
  <c r="DK212" i="16"/>
  <c r="AA99" i="16"/>
  <c r="AU99" i="16" s="1"/>
  <c r="CD100" i="16" s="1"/>
  <c r="AO99" i="16"/>
  <c r="BI99" i="16" s="1"/>
  <c r="AD99" i="16"/>
  <c r="AX99" i="16" s="1"/>
  <c r="CF100" i="16" s="1"/>
  <c r="AM99" i="16"/>
  <c r="BG99" i="16" s="1"/>
  <c r="CQ100" i="16" s="1"/>
  <c r="AE76" i="16"/>
  <c r="AY76" i="16" s="1"/>
  <c r="CG77" i="16" s="1"/>
  <c r="DB212" i="16"/>
  <c r="DF212" i="16"/>
  <c r="AF122" i="16"/>
  <c r="AZ122" i="16" s="1"/>
  <c r="CH123" i="16" s="1"/>
  <c r="AO122" i="16"/>
  <c r="BI122" i="16" s="1"/>
  <c r="AA122" i="16"/>
  <c r="AU122" i="16" s="1"/>
  <c r="CD123" i="16" s="1"/>
  <c r="AJ122" i="16"/>
  <c r="BD122" i="16" s="1"/>
  <c r="AE122" i="16"/>
  <c r="AY122" i="16" s="1"/>
  <c r="CG123" i="16" s="1"/>
  <c r="BP53" i="16"/>
  <c r="CL54" i="16" s="1"/>
  <c r="CX183" i="16"/>
  <c r="BR96" i="16"/>
  <c r="CS97" i="16" s="1"/>
  <c r="F12" i="31"/>
  <c r="E10" i="13"/>
  <c r="E47" i="25" s="1"/>
  <c r="E48" i="25" s="1"/>
  <c r="DF144" i="16"/>
  <c r="BV227" i="16"/>
  <c r="CW228" i="16" s="1"/>
  <c r="BO227" i="16"/>
  <c r="E13" i="26"/>
  <c r="F5" i="13"/>
  <c r="G9" i="13" s="1"/>
  <c r="G46" i="25" s="1"/>
  <c r="D47" i="26"/>
  <c r="D48" i="26" s="1"/>
  <c r="D13" i="27"/>
  <c r="G37" i="10"/>
  <c r="H55" i="10" s="1"/>
  <c r="E16" i="18"/>
  <c r="E30" i="25"/>
  <c r="AA145" i="16"/>
  <c r="AU145" i="16" s="1"/>
  <c r="CD146" i="16" s="1"/>
  <c r="C24" i="28"/>
  <c r="AH76" i="16"/>
  <c r="BB76" i="16" s="1"/>
  <c r="AN76" i="16"/>
  <c r="BH76" i="16" s="1"/>
  <c r="AG76" i="16"/>
  <c r="BA76" i="16" s="1"/>
  <c r="Y76" i="16"/>
  <c r="AS76" i="16" s="1"/>
  <c r="DJ235" i="16"/>
  <c r="CC76" i="16"/>
  <c r="DG396" i="16"/>
  <c r="BO53" i="16"/>
  <c r="CK54" i="16" s="1"/>
  <c r="C27" i="17"/>
  <c r="C27" i="29" s="1"/>
  <c r="Z145" i="16"/>
  <c r="AT145" i="16" s="1"/>
  <c r="CC146" i="16" s="1"/>
  <c r="BW118" i="16"/>
  <c r="CX119" i="16" s="1"/>
  <c r="AM76" i="16"/>
  <c r="BG76" i="16" s="1"/>
  <c r="CQ77" i="16" s="1"/>
  <c r="AF76" i="16"/>
  <c r="AZ76" i="16" s="1"/>
  <c r="CH77" i="16" s="1"/>
  <c r="Z76" i="16"/>
  <c r="AT76" i="16" s="1"/>
  <c r="CC77" i="16" s="1"/>
  <c r="AD76" i="16"/>
  <c r="AX76" i="16" s="1"/>
  <c r="CF77" i="16" s="1"/>
  <c r="CH53" i="16"/>
  <c r="D11" i="23"/>
  <c r="F68" i="32"/>
  <c r="F71" i="21"/>
  <c r="CI118" i="16"/>
  <c r="BR250" i="16"/>
  <c r="CS251" i="16" s="1"/>
  <c r="BX228" i="16"/>
  <c r="CY229" i="16" s="1"/>
  <c r="BP228" i="16"/>
  <c r="CL228" i="16"/>
  <c r="F44" i="25"/>
  <c r="F44" i="27" s="1"/>
  <c r="F31" i="10"/>
  <c r="DF350" i="16"/>
  <c r="AJ76" i="16"/>
  <c r="BD76" i="16" s="1"/>
  <c r="AK76" i="16"/>
  <c r="BE76" i="16" s="1"/>
  <c r="AC76" i="16"/>
  <c r="AW76" i="16" s="1"/>
  <c r="CE77" i="16" s="1"/>
  <c r="AL76" i="16"/>
  <c r="BF76" i="16" s="1"/>
  <c r="CP77" i="16" s="1"/>
  <c r="CX360" i="16"/>
  <c r="F10" i="26"/>
  <c r="E12" i="18"/>
  <c r="CK74" i="16"/>
  <c r="BU161" i="16"/>
  <c r="BU162" i="16" s="1"/>
  <c r="BT359" i="16"/>
  <c r="CU360" i="16" s="1"/>
  <c r="F68" i="33"/>
  <c r="F10" i="18"/>
  <c r="F10" i="13"/>
  <c r="F47" i="25" s="1"/>
  <c r="G25" i="13"/>
  <c r="G25" i="31" s="1"/>
  <c r="D11" i="21"/>
  <c r="F65" i="18"/>
  <c r="BO30" i="16"/>
  <c r="CK31" i="16" s="1"/>
  <c r="D8" i="33"/>
  <c r="BT30" i="16"/>
  <c r="CU31" i="16" s="1"/>
  <c r="BR30" i="16"/>
  <c r="CS31" i="16" s="1"/>
  <c r="D45" i="17"/>
  <c r="D45" i="28" s="1"/>
  <c r="F9" i="25"/>
  <c r="F9" i="27" s="1"/>
  <c r="F13" i="13"/>
  <c r="G26" i="13" s="1"/>
  <c r="G51" i="25" s="1"/>
  <c r="F26" i="13"/>
  <c r="F51" i="25" s="1"/>
  <c r="E13" i="31"/>
  <c r="F17" i="10"/>
  <c r="G30" i="10" s="1"/>
  <c r="D46" i="33"/>
  <c r="AE145" i="16"/>
  <c r="AY145" i="16" s="1"/>
  <c r="CG146" i="16" s="1"/>
  <c r="F30" i="25"/>
  <c r="D16" i="26"/>
  <c r="AD397" i="16"/>
  <c r="AX397" i="16" s="1"/>
  <c r="CH30" i="16"/>
  <c r="AN374" i="16"/>
  <c r="BH374" i="16" s="1"/>
  <c r="DB396" i="16"/>
  <c r="CJ250" i="16"/>
  <c r="CM145" i="16"/>
  <c r="DJ350" i="16"/>
  <c r="CU271" i="16"/>
  <c r="CX425" i="16"/>
  <c r="DK373" i="16"/>
  <c r="DD144" i="16"/>
  <c r="DK144" i="16"/>
  <c r="CI119" i="16"/>
  <c r="BM119" i="16"/>
  <c r="AG145" i="16"/>
  <c r="BA145" i="16" s="1"/>
  <c r="BN250" i="16"/>
  <c r="CJ251" i="16" s="1"/>
  <c r="D35" i="10"/>
  <c r="D54" i="26" s="1"/>
  <c r="D55" i="26" s="1"/>
  <c r="DB144" i="16"/>
  <c r="DG144" i="16"/>
  <c r="DF396" i="16"/>
  <c r="F30" i="10"/>
  <c r="DG281" i="16"/>
  <c r="DG350" i="16"/>
  <c r="AB145" i="16"/>
  <c r="AV145" i="16" s="1"/>
  <c r="AI145" i="16"/>
  <c r="BC145" i="16" s="1"/>
  <c r="CM146" i="16" s="1"/>
  <c r="F9" i="10"/>
  <c r="F46" i="26" s="1"/>
  <c r="F46" i="27" s="1"/>
  <c r="AI168" i="16"/>
  <c r="BC168" i="16" s="1"/>
  <c r="CM169" i="16" s="1"/>
  <c r="AI328" i="16"/>
  <c r="BC328" i="16" s="1"/>
  <c r="CM329" i="16" s="1"/>
  <c r="BV139" i="16"/>
  <c r="CW140" i="16" s="1"/>
  <c r="BS52" i="16"/>
  <c r="CT53" i="16" s="1"/>
  <c r="DG29" i="16"/>
  <c r="E9" i="31"/>
  <c r="CU403" i="16"/>
  <c r="DB29" i="16"/>
  <c r="D14" i="27"/>
  <c r="E18" i="31"/>
  <c r="CW425" i="16"/>
  <c r="BV425" i="16"/>
  <c r="E58" i="26"/>
  <c r="E56" i="33"/>
  <c r="D33" i="26"/>
  <c r="D33" i="27" s="1"/>
  <c r="E21" i="10"/>
  <c r="E32" i="26" s="1"/>
  <c r="CN30" i="16"/>
  <c r="AJ145" i="16"/>
  <c r="BD145" i="16" s="1"/>
  <c r="D62" i="21"/>
  <c r="BU30" i="16"/>
  <c r="CV31" i="16" s="1"/>
  <c r="E11" i="18"/>
  <c r="E10" i="10"/>
  <c r="AG30" i="16"/>
  <c r="BA30" i="16" s="1"/>
  <c r="E5" i="31"/>
  <c r="DJ29" i="16"/>
  <c r="BW139" i="16"/>
  <c r="BW140" i="16" s="1"/>
  <c r="D22" i="31"/>
  <c r="F5" i="10"/>
  <c r="F30" i="26" s="1"/>
  <c r="F66" i="10"/>
  <c r="F66" i="31" s="1"/>
  <c r="F57" i="26"/>
  <c r="CV52" i="16"/>
  <c r="BU52" i="16"/>
  <c r="F18" i="13"/>
  <c r="DC444" i="16"/>
  <c r="DG258" i="16"/>
  <c r="CD30" i="16"/>
  <c r="BS359" i="16"/>
  <c r="CT360" i="16" s="1"/>
  <c r="AL145" i="16"/>
  <c r="BF145" i="16" s="1"/>
  <c r="CP146" i="16" s="1"/>
  <c r="AF145" i="16"/>
  <c r="AZ145" i="16" s="1"/>
  <c r="AH145" i="16"/>
  <c r="BB145" i="16" s="1"/>
  <c r="Y145" i="16"/>
  <c r="DF235" i="16"/>
  <c r="D62" i="23"/>
  <c r="DJ281" i="16"/>
  <c r="DF304" i="16"/>
  <c r="F63" i="10"/>
  <c r="G62" i="10"/>
  <c r="DB189" i="16"/>
  <c r="DK258" i="16"/>
  <c r="CF30" i="16"/>
  <c r="D23" i="10"/>
  <c r="F6" i="18"/>
  <c r="DE144" i="16"/>
  <c r="F67" i="10"/>
  <c r="DK304" i="16"/>
  <c r="BM53" i="16"/>
  <c r="G57" i="26"/>
  <c r="DF189" i="16"/>
  <c r="Y213" i="16"/>
  <c r="AS213" i="16" s="1"/>
  <c r="CG30" i="16"/>
  <c r="CP145" i="16"/>
  <c r="F60" i="26"/>
  <c r="DJ52" i="16"/>
  <c r="E48" i="31"/>
  <c r="E34" i="10"/>
  <c r="DJ167" i="16"/>
  <c r="BU96" i="16"/>
  <c r="CV96" i="16"/>
  <c r="E21" i="18"/>
  <c r="F26" i="10"/>
  <c r="E14" i="26"/>
  <c r="E14" i="27" s="1"/>
  <c r="D56" i="33"/>
  <c r="F65" i="10"/>
  <c r="D10" i="23"/>
  <c r="D7" i="33"/>
  <c r="E8" i="18"/>
  <c r="E45" i="26"/>
  <c r="E45" i="27" s="1"/>
  <c r="E8" i="33"/>
  <c r="BP250" i="16"/>
  <c r="CL250" i="16"/>
  <c r="BX250" i="16"/>
  <c r="CY251" i="16" s="1"/>
  <c r="D38" i="33"/>
  <c r="F31" i="13"/>
  <c r="F44" i="13"/>
  <c r="G62" i="13" s="1"/>
  <c r="AM145" i="16"/>
  <c r="BG145" i="16" s="1"/>
  <c r="CQ146" i="16" s="1"/>
  <c r="AK145" i="16"/>
  <c r="BE145" i="16" s="1"/>
  <c r="CO146" i="16" s="1"/>
  <c r="AS144" i="16"/>
  <c r="DC144" i="16" s="1"/>
  <c r="DB52" i="16"/>
  <c r="D58" i="17"/>
  <c r="D58" i="28" s="1"/>
  <c r="AN145" i="16"/>
  <c r="BH145" i="16" s="1"/>
  <c r="AC145" i="16"/>
  <c r="AW145" i="16" s="1"/>
  <c r="CE146" i="16" s="1"/>
  <c r="AO145" i="16"/>
  <c r="BI145" i="16" s="1"/>
  <c r="AD145" i="16"/>
  <c r="AX145" i="16" s="1"/>
  <c r="CF146" i="16" s="1"/>
  <c r="D61" i="17"/>
  <c r="D61" i="29" s="1"/>
  <c r="E30" i="26"/>
  <c r="Z397" i="16"/>
  <c r="AT397" i="16" s="1"/>
  <c r="E60" i="26"/>
  <c r="E58" i="33"/>
  <c r="G50" i="26"/>
  <c r="D37" i="26"/>
  <c r="D55" i="32"/>
  <c r="D55" i="33"/>
  <c r="D63" i="26"/>
  <c r="D64" i="26" s="1"/>
  <c r="F8" i="25"/>
  <c r="E51" i="18"/>
  <c r="E61" i="26"/>
  <c r="E59" i="33"/>
  <c r="DJ396" i="16"/>
  <c r="AE53" i="16"/>
  <c r="AY53" i="16" s="1"/>
  <c r="CG54" i="16" s="1"/>
  <c r="D25" i="18"/>
  <c r="CX446" i="16"/>
  <c r="E67" i="20" s="1"/>
  <c r="E67" i="33" s="1"/>
  <c r="DF29" i="16"/>
  <c r="DF52" i="16"/>
  <c r="D46" i="17"/>
  <c r="D46" i="28" s="1"/>
  <c r="D9" i="33"/>
  <c r="E26" i="33"/>
  <c r="BU228" i="16"/>
  <c r="CV228" i="16"/>
  <c r="E46" i="26"/>
  <c r="E46" i="27" s="1"/>
  <c r="E9" i="33"/>
  <c r="D57" i="33"/>
  <c r="D28" i="32"/>
  <c r="D47" i="32"/>
  <c r="D19" i="32"/>
  <c r="D26" i="32"/>
  <c r="CL427" i="16"/>
  <c r="BP427" i="16"/>
  <c r="E26" i="32"/>
  <c r="E51" i="26"/>
  <c r="E51" i="27" s="1"/>
  <c r="E26" i="31"/>
  <c r="E29" i="18"/>
  <c r="DD52" i="16"/>
  <c r="AA328" i="16"/>
  <c r="AU328" i="16" s="1"/>
  <c r="CD329" i="16" s="1"/>
  <c r="G4" i="13"/>
  <c r="C4" i="32"/>
  <c r="D10" i="21"/>
  <c r="AC53" i="16"/>
  <c r="AW53" i="16" s="1"/>
  <c r="CE54" i="16" s="1"/>
  <c r="D29" i="23"/>
  <c r="E35" i="18"/>
  <c r="E7" i="18"/>
  <c r="E8" i="32"/>
  <c r="DJ189" i="16"/>
  <c r="D41" i="32"/>
  <c r="E56" i="32"/>
  <c r="C3" i="32"/>
  <c r="DG373" i="16"/>
  <c r="DG327" i="16"/>
  <c r="F4" i="10"/>
  <c r="D59" i="21"/>
  <c r="D27" i="32"/>
  <c r="AO168" i="16"/>
  <c r="BI168" i="16" s="1"/>
  <c r="AN397" i="16"/>
  <c r="BH397" i="16" s="1"/>
  <c r="F13" i="25"/>
  <c r="D5" i="32"/>
  <c r="AH374" i="16"/>
  <c r="BB374" i="16" s="1"/>
  <c r="E55" i="32"/>
  <c r="D58" i="32"/>
  <c r="AO328" i="16"/>
  <c r="BI328" i="16" s="1"/>
  <c r="CM30" i="16"/>
  <c r="G3" i="13"/>
  <c r="H7" i="13" s="1"/>
  <c r="DB327" i="16"/>
  <c r="F8" i="10"/>
  <c r="F11" i="18" s="1"/>
  <c r="AI30" i="16"/>
  <c r="BC30" i="16" s="1"/>
  <c r="AL213" i="16"/>
  <c r="BF213" i="16" s="1"/>
  <c r="CP214" i="16" s="1"/>
  <c r="CO53" i="16"/>
  <c r="C14" i="32"/>
  <c r="C37" i="32"/>
  <c r="E25" i="32"/>
  <c r="AJ53" i="16"/>
  <c r="BD53" i="16" s="1"/>
  <c r="CN54" i="16" s="1"/>
  <c r="DG52" i="16"/>
  <c r="BQ96" i="16"/>
  <c r="BQ97" i="16" s="1"/>
  <c r="BM161" i="16"/>
  <c r="BM162" i="16" s="1"/>
  <c r="D29" i="21"/>
  <c r="F13" i="10"/>
  <c r="BX426" i="16"/>
  <c r="CY427" i="16" s="1"/>
  <c r="BN97" i="16"/>
  <c r="CJ97" i="16"/>
  <c r="D40" i="32"/>
  <c r="D18" i="32"/>
  <c r="D7" i="32"/>
  <c r="D52" i="23"/>
  <c r="D49" i="32"/>
  <c r="BX294" i="16"/>
  <c r="CY295" i="16" s="1"/>
  <c r="CL294" i="16"/>
  <c r="BP294" i="16"/>
  <c r="D9" i="32"/>
  <c r="D61" i="32"/>
  <c r="C39" i="32"/>
  <c r="G8" i="13"/>
  <c r="Z374" i="16"/>
  <c r="AT374" i="16" s="1"/>
  <c r="CC375" i="16" s="1"/>
  <c r="E57" i="32"/>
  <c r="AN30" i="16"/>
  <c r="BH30" i="16" s="1"/>
  <c r="D12" i="32"/>
  <c r="AL259" i="16"/>
  <c r="BF259" i="16" s="1"/>
  <c r="CP260" i="16" s="1"/>
  <c r="AD53" i="16"/>
  <c r="AX53" i="16" s="1"/>
  <c r="CF54" i="16" s="1"/>
  <c r="BS161" i="16"/>
  <c r="CT162" i="16" s="1"/>
  <c r="D12" i="21"/>
  <c r="CY206" i="16"/>
  <c r="BX206" i="16"/>
  <c r="BT250" i="16"/>
  <c r="CU250" i="16"/>
  <c r="D13" i="32"/>
  <c r="DF281" i="16"/>
  <c r="DG212" i="16"/>
  <c r="D59" i="23"/>
  <c r="D25" i="32"/>
  <c r="C43" i="32"/>
  <c r="DB281" i="16"/>
  <c r="Y168" i="16"/>
  <c r="AS168" i="16" s="1"/>
  <c r="AH168" i="16"/>
  <c r="BB168" i="16" s="1"/>
  <c r="AC397" i="16"/>
  <c r="AW397" i="16" s="1"/>
  <c r="E58" i="32"/>
  <c r="E9" i="32"/>
  <c r="AG374" i="16"/>
  <c r="BA374" i="16" s="1"/>
  <c r="DB350" i="16"/>
  <c r="AF328" i="16"/>
  <c r="AZ328" i="16" s="1"/>
  <c r="CH329" i="16" s="1"/>
  <c r="G12" i="13"/>
  <c r="G7" i="13"/>
  <c r="G44" i="25" s="1"/>
  <c r="AF30" i="16"/>
  <c r="AZ30" i="16" s="1"/>
  <c r="BP31" i="16" s="1"/>
  <c r="AC213" i="16"/>
  <c r="AW213" i="16" s="1"/>
  <c r="CE214" i="16" s="1"/>
  <c r="AM213" i="16"/>
  <c r="BG213" i="16" s="1"/>
  <c r="CQ214" i="16" s="1"/>
  <c r="D10" i="20"/>
  <c r="D13" i="21" s="1"/>
  <c r="D51" i="17"/>
  <c r="AJ30" i="16"/>
  <c r="BD30" i="16" s="1"/>
  <c r="DE29" i="16"/>
  <c r="DB419" i="16"/>
  <c r="F3" i="31"/>
  <c r="CL382" i="16"/>
  <c r="BX382" i="16"/>
  <c r="CY383" i="16" s="1"/>
  <c r="BP382" i="16"/>
  <c r="BO315" i="16"/>
  <c r="CK315" i="16"/>
  <c r="BV315" i="16"/>
  <c r="CW316" i="16" s="1"/>
  <c r="D59" i="32"/>
  <c r="BP316" i="16"/>
  <c r="BX316" i="16"/>
  <c r="CY317" i="16" s="1"/>
  <c r="CL316" i="16"/>
  <c r="E47" i="31"/>
  <c r="E40" i="31"/>
  <c r="D34" i="31"/>
  <c r="E45" i="31"/>
  <c r="BR381" i="16"/>
  <c r="CS382" i="16" s="1"/>
  <c r="BN381" i="16"/>
  <c r="CJ381" i="16"/>
  <c r="CS74" i="16"/>
  <c r="BR74" i="16"/>
  <c r="CU425" i="16"/>
  <c r="BT425" i="16"/>
  <c r="BP404" i="16"/>
  <c r="CL404" i="16"/>
  <c r="BX404" i="16"/>
  <c r="CY405" i="16" s="1"/>
  <c r="BO272" i="16"/>
  <c r="CK272" i="16"/>
  <c r="BU316" i="16"/>
  <c r="CV316" i="16"/>
  <c r="BW249" i="16"/>
  <c r="CX249" i="16"/>
  <c r="CX382" i="16"/>
  <c r="BW382" i="16"/>
  <c r="BT404" i="16"/>
  <c r="CU404" i="16"/>
  <c r="CU381" i="16"/>
  <c r="BT381" i="16"/>
  <c r="CI337" i="16"/>
  <c r="BS337" i="16"/>
  <c r="CT338" i="16" s="1"/>
  <c r="BM337" i="16"/>
  <c r="CX184" i="16"/>
  <c r="BW184" i="16"/>
  <c r="BV161" i="16"/>
  <c r="CW162" i="16" s="1"/>
  <c r="CK161" i="16"/>
  <c r="BO161" i="16"/>
  <c r="E43" i="31"/>
  <c r="C23" i="31"/>
  <c r="E64" i="31"/>
  <c r="E55" i="31"/>
  <c r="AF351" i="16"/>
  <c r="AZ351" i="16" s="1"/>
  <c r="CH352" i="16" s="1"/>
  <c r="E61" i="31"/>
  <c r="DB304" i="16"/>
  <c r="D52" i="31"/>
  <c r="E58" i="31"/>
  <c r="CV446" i="16"/>
  <c r="E65" i="20" s="1"/>
  <c r="E65" i="33" s="1"/>
  <c r="E37" i="31"/>
  <c r="E46" i="31"/>
  <c r="D52" i="21"/>
  <c r="AG236" i="16"/>
  <c r="BA236" i="16" s="1"/>
  <c r="AK30" i="16"/>
  <c r="BE30" i="16" s="1"/>
  <c r="CO31" i="16" s="1"/>
  <c r="Z30" i="16"/>
  <c r="AT30" i="16" s="1"/>
  <c r="CC31" i="16" s="1"/>
  <c r="AB30" i="16"/>
  <c r="AV30" i="16" s="1"/>
  <c r="AA30" i="16"/>
  <c r="AU30" i="16" s="1"/>
  <c r="CD31" i="16" s="1"/>
  <c r="DD29" i="16"/>
  <c r="E17" i="31"/>
  <c r="D21" i="31"/>
  <c r="AA259" i="16"/>
  <c r="AU259" i="16" s="1"/>
  <c r="CD260" i="16" s="1"/>
  <c r="Y53" i="16"/>
  <c r="AS53" i="16" s="1"/>
  <c r="AH53" i="16"/>
  <c r="BB53" i="16" s="1"/>
  <c r="AA53" i="16"/>
  <c r="AU53" i="16" s="1"/>
  <c r="AN53" i="16"/>
  <c r="BH53" i="16" s="1"/>
  <c r="CU227" i="16"/>
  <c r="BT227" i="16"/>
  <c r="BV183" i="16"/>
  <c r="CW184" i="16" s="1"/>
  <c r="CK183" i="16"/>
  <c r="BO183" i="16"/>
  <c r="CK338" i="16"/>
  <c r="BO338" i="16"/>
  <c r="BP162" i="16"/>
  <c r="CL162" i="16"/>
  <c r="BX162" i="16"/>
  <c r="CY163" i="16" s="1"/>
  <c r="BT97" i="16"/>
  <c r="CU97" i="16"/>
  <c r="CJ205" i="16"/>
  <c r="BN205" i="16"/>
  <c r="BR205" i="16"/>
  <c r="CS206" i="16" s="1"/>
  <c r="BU426" i="16"/>
  <c r="CV426" i="16"/>
  <c r="CL272" i="16"/>
  <c r="BX272" i="16"/>
  <c r="CY273" i="16" s="1"/>
  <c r="BP272" i="16"/>
  <c r="D69" i="31"/>
  <c r="D62" i="25"/>
  <c r="D62" i="27" s="1"/>
  <c r="D72" i="18"/>
  <c r="BN293" i="16"/>
  <c r="CJ293" i="16"/>
  <c r="BR293" i="16"/>
  <c r="CS294" i="16" s="1"/>
  <c r="CV249" i="16"/>
  <c r="BU249" i="16"/>
  <c r="D41" i="31"/>
  <c r="AI351" i="16"/>
  <c r="BC351" i="16" s="1"/>
  <c r="CM352" i="16" s="1"/>
  <c r="AC282" i="16"/>
  <c r="AW282" i="16" s="1"/>
  <c r="CE283" i="16" s="1"/>
  <c r="F45" i="10"/>
  <c r="D51" i="31"/>
  <c r="CJ446" i="16"/>
  <c r="E31" i="20" s="1"/>
  <c r="E31" i="33" s="1"/>
  <c r="AK168" i="16"/>
  <c r="BE168" i="16" s="1"/>
  <c r="CO169" i="16" s="1"/>
  <c r="AB168" i="16"/>
  <c r="AV168" i="16" s="1"/>
  <c r="DG304" i="16"/>
  <c r="AA397" i="16"/>
  <c r="AU397" i="16" s="1"/>
  <c r="AI397" i="16"/>
  <c r="BC397" i="16" s="1"/>
  <c r="C26" i="27"/>
  <c r="CQ30" i="16"/>
  <c r="AK374" i="16"/>
  <c r="BE374" i="16" s="1"/>
  <c r="CO375" i="16" s="1"/>
  <c r="AF374" i="16"/>
  <c r="AZ374" i="16" s="1"/>
  <c r="CH375" i="16" s="1"/>
  <c r="AI374" i="16"/>
  <c r="BC374" i="16" s="1"/>
  <c r="CM375" i="16" s="1"/>
  <c r="E38" i="31"/>
  <c r="AC328" i="16"/>
  <c r="AW328" i="16" s="1"/>
  <c r="CE329" i="16" s="1"/>
  <c r="AG328" i="16"/>
  <c r="BA328" i="16" s="1"/>
  <c r="D70" i="13"/>
  <c r="D73" i="18" s="1"/>
  <c r="AC30" i="16"/>
  <c r="AW30" i="16" s="1"/>
  <c r="CE31" i="16" s="1"/>
  <c r="AD30" i="16"/>
  <c r="AX30" i="16" s="1"/>
  <c r="AM30" i="16"/>
  <c r="BG30" i="16" s="1"/>
  <c r="CQ31" i="16" s="1"/>
  <c r="AE30" i="16"/>
  <c r="AY30" i="16" s="1"/>
  <c r="AF53" i="16"/>
  <c r="AZ53" i="16" s="1"/>
  <c r="CH54" i="16" s="1"/>
  <c r="AK53" i="16"/>
  <c r="BE53" i="16" s="1"/>
  <c r="CO54" i="16" s="1"/>
  <c r="AB53" i="16"/>
  <c r="AV53" i="16" s="1"/>
  <c r="AI53" i="16"/>
  <c r="BC53" i="16" s="1"/>
  <c r="CM54" i="16" s="1"/>
  <c r="CV337" i="16"/>
  <c r="BU337" i="16"/>
  <c r="BV30" i="16"/>
  <c r="CW31" i="16" s="1"/>
  <c r="CK30" i="16"/>
  <c r="CU161" i="16"/>
  <c r="BT161" i="16"/>
  <c r="CX403" i="16"/>
  <c r="BW403" i="16"/>
  <c r="CN374" i="16"/>
  <c r="DF373" i="16"/>
  <c r="BW337" i="16"/>
  <c r="CX337" i="16"/>
  <c r="BV337" i="16"/>
  <c r="CW338" i="16" s="1"/>
  <c r="BV271" i="16"/>
  <c r="CW272" i="16" s="1"/>
  <c r="BP208" i="16"/>
  <c r="CL208" i="16"/>
  <c r="E56" i="31"/>
  <c r="Z282" i="16"/>
  <c r="AT282" i="16" s="1"/>
  <c r="CC283" i="16" s="1"/>
  <c r="DG235" i="16"/>
  <c r="DG189" i="16"/>
  <c r="AJ168" i="16"/>
  <c r="BD168" i="16" s="1"/>
  <c r="CN169" i="16" s="1"/>
  <c r="AL168" i="16"/>
  <c r="BF168" i="16" s="1"/>
  <c r="CP169" i="16" s="1"/>
  <c r="AN168" i="16"/>
  <c r="BH168" i="16" s="1"/>
  <c r="AE397" i="16"/>
  <c r="AY397" i="16" s="1"/>
  <c r="AJ397" i="16"/>
  <c r="BD397" i="16" s="1"/>
  <c r="DB373" i="16"/>
  <c r="BW30" i="16"/>
  <c r="CX31" i="16" s="1"/>
  <c r="AO374" i="16"/>
  <c r="BI374" i="16" s="1"/>
  <c r="AM374" i="16"/>
  <c r="BG374" i="16" s="1"/>
  <c r="CQ375" i="16" s="1"/>
  <c r="CU446" i="16"/>
  <c r="E64" i="20" s="1"/>
  <c r="E67" i="23" s="1"/>
  <c r="E57" i="31"/>
  <c r="E66" i="18"/>
  <c r="E63" i="31"/>
  <c r="Z328" i="16"/>
  <c r="AT328" i="16" s="1"/>
  <c r="CC329" i="16" s="1"/>
  <c r="Y328" i="16"/>
  <c r="AS328" i="16" s="1"/>
  <c r="DB235" i="16"/>
  <c r="AO30" i="16"/>
  <c r="BI30" i="16" s="1"/>
  <c r="AL30" i="16"/>
  <c r="BF30" i="16" s="1"/>
  <c r="CP31" i="16" s="1"/>
  <c r="Y30" i="16"/>
  <c r="AS30" i="16" s="1"/>
  <c r="AH30" i="16"/>
  <c r="BB30" i="16" s="1"/>
  <c r="AG213" i="16"/>
  <c r="BA213" i="16" s="1"/>
  <c r="AB213" i="16"/>
  <c r="AV213" i="16" s="1"/>
  <c r="E30" i="31"/>
  <c r="DF327" i="16"/>
  <c r="Z259" i="16"/>
  <c r="AT259" i="16" s="1"/>
  <c r="CC260" i="16" s="1"/>
  <c r="Z53" i="16"/>
  <c r="AT53" i="16" s="1"/>
  <c r="AL53" i="16"/>
  <c r="BF53" i="16" s="1"/>
  <c r="CP54" i="16" s="1"/>
  <c r="AG53" i="16"/>
  <c r="BA53" i="16" s="1"/>
  <c r="AM53" i="16"/>
  <c r="BG53" i="16" s="1"/>
  <c r="BW54" i="16" s="1"/>
  <c r="CX55" i="16" s="1"/>
  <c r="AO53" i="16"/>
  <c r="BI53" i="16" s="1"/>
  <c r="BV74" i="16"/>
  <c r="CW75" i="16" s="1"/>
  <c r="CX293" i="16"/>
  <c r="BW293" i="16"/>
  <c r="CV359" i="16"/>
  <c r="BU359" i="16"/>
  <c r="BO249" i="16"/>
  <c r="BV249" i="16"/>
  <c r="CW250" i="16" s="1"/>
  <c r="CK249" i="16"/>
  <c r="CU293" i="16"/>
  <c r="BT293" i="16"/>
  <c r="CV75" i="16"/>
  <c r="BU75" i="16"/>
  <c r="CW118" i="16"/>
  <c r="BV118" i="16"/>
  <c r="BW227" i="16"/>
  <c r="CX227" i="16"/>
  <c r="D59" i="27"/>
  <c r="D20" i="17"/>
  <c r="D36" i="26"/>
  <c r="D39" i="26" s="1"/>
  <c r="D53" i="10"/>
  <c r="CB282" i="16"/>
  <c r="D31" i="21"/>
  <c r="D31" i="23"/>
  <c r="CV119" i="16"/>
  <c r="D15" i="10"/>
  <c r="C34" i="26"/>
  <c r="C6" i="26"/>
  <c r="D14" i="10"/>
  <c r="CB397" i="16"/>
  <c r="DC396" i="16"/>
  <c r="C28" i="27"/>
  <c r="F65" i="13"/>
  <c r="E50" i="18"/>
  <c r="CH7" i="16"/>
  <c r="CH447" i="16" s="1"/>
  <c r="F28" i="20" s="1"/>
  <c r="BP7" i="16"/>
  <c r="AZ446" i="16"/>
  <c r="E15" i="20" s="1"/>
  <c r="BN7" i="16"/>
  <c r="AU446" i="16"/>
  <c r="E5" i="20" s="1"/>
  <c r="E5" i="33" s="1"/>
  <c r="CD7" i="16"/>
  <c r="CD447" i="16" s="1"/>
  <c r="F9" i="20" s="1"/>
  <c r="E52" i="17"/>
  <c r="C11" i="27"/>
  <c r="F64" i="13"/>
  <c r="E49" i="18"/>
  <c r="CV272" i="16"/>
  <c r="BU272" i="16"/>
  <c r="C7" i="21"/>
  <c r="C13" i="17"/>
  <c r="C7" i="23"/>
  <c r="D22" i="20"/>
  <c r="D22" i="33" s="1"/>
  <c r="D22" i="23"/>
  <c r="D22" i="21"/>
  <c r="E45" i="17"/>
  <c r="E11" i="21"/>
  <c r="E11" i="23"/>
  <c r="D59" i="17"/>
  <c r="D59" i="28" s="1"/>
  <c r="D60" i="21"/>
  <c r="D60" i="23"/>
  <c r="CI98" i="16"/>
  <c r="BM98" i="16"/>
  <c r="DH444" i="16"/>
  <c r="E33" i="18"/>
  <c r="E34" i="13"/>
  <c r="CK75" i="16"/>
  <c r="BO75" i="16"/>
  <c r="CB122" i="16"/>
  <c r="DC121" i="16"/>
  <c r="DE445" i="16"/>
  <c r="D39" i="20"/>
  <c r="D39" i="33" s="1"/>
  <c r="CV293" i="16"/>
  <c r="BU293" i="16"/>
  <c r="AG351" i="16"/>
  <c r="BA351" i="16" s="1"/>
  <c r="Y282" i="16"/>
  <c r="AH282" i="16"/>
  <c r="BB282" i="16" s="1"/>
  <c r="C23" i="17"/>
  <c r="C42" i="21"/>
  <c r="C42" i="23"/>
  <c r="D50" i="17"/>
  <c r="D28" i="23"/>
  <c r="D28" i="21"/>
  <c r="D53" i="13"/>
  <c r="D54" i="18"/>
  <c r="D36" i="25"/>
  <c r="AJ305" i="16"/>
  <c r="BD305" i="16" s="1"/>
  <c r="CS447" i="16"/>
  <c r="F62" i="20" s="1"/>
  <c r="F62" i="33" s="1"/>
  <c r="E60" i="17"/>
  <c r="E61" i="21"/>
  <c r="E61" i="23"/>
  <c r="E60" i="25"/>
  <c r="E61" i="18"/>
  <c r="Y7" i="16"/>
  <c r="AF7" i="16"/>
  <c r="AZ7" i="16" s="1"/>
  <c r="AI7" i="16"/>
  <c r="BC7" i="16" s="1"/>
  <c r="AM7" i="16"/>
  <c r="BG7" i="16" s="1"/>
  <c r="AN7" i="16"/>
  <c r="BH7" i="16" s="1"/>
  <c r="BH447" i="16" s="1"/>
  <c r="Z7" i="16"/>
  <c r="AT7" i="16" s="1"/>
  <c r="AC7" i="16"/>
  <c r="AW7" i="16" s="1"/>
  <c r="AJ7" i="16"/>
  <c r="BD7" i="16" s="1"/>
  <c r="AB7" i="16"/>
  <c r="AV7" i="16" s="1"/>
  <c r="AO7" i="16"/>
  <c r="BI7" i="16" s="1"/>
  <c r="BI447" i="16" s="1"/>
  <c r="AL7" i="16"/>
  <c r="BF7" i="16" s="1"/>
  <c r="AH7" i="16"/>
  <c r="BB7" i="16" s="1"/>
  <c r="BB447" i="16" s="1"/>
  <c r="AA7" i="16"/>
  <c r="AU7" i="16" s="1"/>
  <c r="AD7" i="16"/>
  <c r="AX7" i="16" s="1"/>
  <c r="AK7" i="16"/>
  <c r="BE7" i="16" s="1"/>
  <c r="AS6" i="16"/>
  <c r="AE7" i="16"/>
  <c r="AY7" i="16" s="1"/>
  <c r="AG7" i="16"/>
  <c r="BA7" i="16" s="1"/>
  <c r="BA447" i="16" s="1"/>
  <c r="CJ7" i="16"/>
  <c r="BR7" i="16"/>
  <c r="BN446" i="16"/>
  <c r="E18" i="20" s="1"/>
  <c r="E18" i="33" s="1"/>
  <c r="CI292" i="16"/>
  <c r="BM292" i="16"/>
  <c r="BS292" i="16"/>
  <c r="CT293" i="16" s="1"/>
  <c r="D14" i="20"/>
  <c r="DD445" i="16"/>
  <c r="CB236" i="16"/>
  <c r="DC235" i="16"/>
  <c r="BU183" i="16"/>
  <c r="CV183" i="16"/>
  <c r="CR118" i="16"/>
  <c r="BQ118" i="16"/>
  <c r="BP119" i="16"/>
  <c r="BX119" i="16"/>
  <c r="CY120" i="16" s="1"/>
  <c r="CL119" i="16"/>
  <c r="DB445" i="16"/>
  <c r="D4" i="20"/>
  <c r="D4" i="33" s="1"/>
  <c r="F63" i="13"/>
  <c r="E48" i="18"/>
  <c r="CU272" i="16"/>
  <c r="BT272" i="16"/>
  <c r="CB190" i="16"/>
  <c r="DC189" i="16"/>
  <c r="CJ227" i="16"/>
  <c r="BN227" i="16"/>
  <c r="BR227" i="16"/>
  <c r="CS228" i="16" s="1"/>
  <c r="CK97" i="16"/>
  <c r="BV97" i="16"/>
  <c r="CW98" i="16" s="1"/>
  <c r="BO97" i="16"/>
  <c r="E49" i="13"/>
  <c r="D24" i="25"/>
  <c r="D25" i="25" s="1"/>
  <c r="D44" i="18"/>
  <c r="E59" i="13"/>
  <c r="DI5" i="16"/>
  <c r="D16" i="21"/>
  <c r="D14" i="17"/>
  <c r="D16" i="23"/>
  <c r="C34" i="25"/>
  <c r="C26" i="18"/>
  <c r="C76" i="18" s="1"/>
  <c r="C78" i="18" s="1"/>
  <c r="C6" i="25"/>
  <c r="D15" i="13"/>
  <c r="D14" i="13"/>
  <c r="Y351" i="16"/>
  <c r="AO351" i="16"/>
  <c r="BI351" i="16" s="1"/>
  <c r="AK351" i="16"/>
  <c r="BE351" i="16" s="1"/>
  <c r="AA351" i="16"/>
  <c r="AU351" i="16" s="1"/>
  <c r="AJ282" i="16"/>
  <c r="BD282" i="16" s="1"/>
  <c r="D21" i="23"/>
  <c r="D21" i="21"/>
  <c r="BR315" i="16"/>
  <c r="CS316" i="16" s="1"/>
  <c r="CJ315" i="16"/>
  <c r="BN315" i="16"/>
  <c r="BQ338" i="16"/>
  <c r="CR338" i="16"/>
  <c r="D52" i="17"/>
  <c r="D30" i="23"/>
  <c r="D30" i="21"/>
  <c r="D69" i="20"/>
  <c r="D64" i="21"/>
  <c r="D64" i="23"/>
  <c r="D48" i="25"/>
  <c r="AC168" i="16"/>
  <c r="AW168" i="16" s="1"/>
  <c r="CE169" i="16" s="1"/>
  <c r="AM168" i="16"/>
  <c r="BG168" i="16" s="1"/>
  <c r="CB168" i="16"/>
  <c r="DC167" i="16"/>
  <c r="Z168" i="16"/>
  <c r="AT168" i="16" s="1"/>
  <c r="AD168" i="16"/>
  <c r="AX168" i="16" s="1"/>
  <c r="E67" i="18"/>
  <c r="D25" i="26"/>
  <c r="AH305" i="16"/>
  <c r="BB305" i="16" s="1"/>
  <c r="CB305" i="16"/>
  <c r="AM397" i="16"/>
  <c r="BG397" i="16" s="1"/>
  <c r="Y397" i="16"/>
  <c r="AS397" i="16" s="1"/>
  <c r="AH397" i="16"/>
  <c r="BB397" i="16" s="1"/>
  <c r="AK397" i="16"/>
  <c r="BE397" i="16" s="1"/>
  <c r="BO381" i="16"/>
  <c r="CK381" i="16"/>
  <c r="BV381" i="16"/>
  <c r="CW382" i="16" s="1"/>
  <c r="BQ250" i="16"/>
  <c r="CR250" i="16"/>
  <c r="CV139" i="16"/>
  <c r="BU139" i="16"/>
  <c r="CQ7" i="16"/>
  <c r="CQ447" i="16" s="1"/>
  <c r="F59" i="20" s="1"/>
  <c r="BG446" i="16"/>
  <c r="E41" i="20" s="1"/>
  <c r="BW7" i="16"/>
  <c r="BU7" i="16"/>
  <c r="BF446" i="16"/>
  <c r="E40" i="20" s="1"/>
  <c r="E40" i="33" s="1"/>
  <c r="CP7" i="16"/>
  <c r="CP447" i="16" s="1"/>
  <c r="F58" i="20" s="1"/>
  <c r="F58" i="33" s="1"/>
  <c r="BT7" i="16"/>
  <c r="DE6" i="16"/>
  <c r="BE446" i="16"/>
  <c r="CO7" i="16"/>
  <c r="CO447" i="16" s="1"/>
  <c r="F57" i="20" s="1"/>
  <c r="D8" i="23"/>
  <c r="D30" i="17"/>
  <c r="D8" i="21"/>
  <c r="F64" i="10"/>
  <c r="E52" i="10"/>
  <c r="F50" i="27"/>
  <c r="AL374" i="16"/>
  <c r="BF374" i="16" s="1"/>
  <c r="AD374" i="16"/>
  <c r="AX374" i="16" s="1"/>
  <c r="AJ374" i="16"/>
  <c r="BD374" i="16" s="1"/>
  <c r="AB374" i="16"/>
  <c r="AV374" i="16" s="1"/>
  <c r="CB374" i="16"/>
  <c r="DC373" i="16"/>
  <c r="BS30" i="16"/>
  <c r="CT31" i="16" s="1"/>
  <c r="CR7" i="16"/>
  <c r="CK7" i="16"/>
  <c r="BO446" i="16"/>
  <c r="E19" i="20" s="1"/>
  <c r="BV7" i="16"/>
  <c r="D44" i="23"/>
  <c r="D24" i="17"/>
  <c r="D24" i="28" s="1"/>
  <c r="D44" i="21"/>
  <c r="CR162" i="16"/>
  <c r="BQ162" i="16"/>
  <c r="E59" i="25"/>
  <c r="E60" i="18"/>
  <c r="D60" i="17"/>
  <c r="D61" i="21"/>
  <c r="D61" i="23"/>
  <c r="AL328" i="16"/>
  <c r="BF328" i="16" s="1"/>
  <c r="AD328" i="16"/>
  <c r="AX328" i="16" s="1"/>
  <c r="AJ328" i="16"/>
  <c r="BD328" i="16" s="1"/>
  <c r="AB328" i="16"/>
  <c r="AV328" i="16" s="1"/>
  <c r="AN328" i="16"/>
  <c r="BH328" i="16" s="1"/>
  <c r="CR294" i="16"/>
  <c r="BQ294" i="16"/>
  <c r="CK205" i="16"/>
  <c r="BV205" i="16"/>
  <c r="CW206" i="16" s="1"/>
  <c r="BO205" i="16"/>
  <c r="CR272" i="16"/>
  <c r="BQ272" i="16"/>
  <c r="C30" i="29"/>
  <c r="C30" i="28"/>
  <c r="CI53" i="16"/>
  <c r="D35" i="13"/>
  <c r="D37" i="18"/>
  <c r="D53" i="25"/>
  <c r="AJ213" i="16"/>
  <c r="BD213" i="16" s="1"/>
  <c r="DC212" i="16"/>
  <c r="CB213" i="16"/>
  <c r="AE213" i="16"/>
  <c r="AY213" i="16" s="1"/>
  <c r="E21" i="13"/>
  <c r="F45" i="13"/>
  <c r="F30" i="13"/>
  <c r="E20" i="18"/>
  <c r="F17" i="13"/>
  <c r="D23" i="13"/>
  <c r="D32" i="25"/>
  <c r="D24" i="18"/>
  <c r="D15" i="21"/>
  <c r="D9" i="17"/>
  <c r="D15" i="23"/>
  <c r="AK259" i="16"/>
  <c r="BE259" i="16" s="1"/>
  <c r="AE259" i="16"/>
  <c r="AY259" i="16" s="1"/>
  <c r="AB190" i="16"/>
  <c r="AV190" i="16" s="1"/>
  <c r="BX339" i="16"/>
  <c r="CY340" i="16" s="1"/>
  <c r="CL339" i="16"/>
  <c r="BP339" i="16"/>
  <c r="C38" i="27"/>
  <c r="E59" i="17"/>
  <c r="E59" i="28" s="1"/>
  <c r="E60" i="23"/>
  <c r="E60" i="21"/>
  <c r="E51" i="13"/>
  <c r="F61" i="13"/>
  <c r="E46" i="18"/>
  <c r="C32" i="27"/>
  <c r="C39" i="25"/>
  <c r="CB351" i="16"/>
  <c r="DC350" i="16"/>
  <c r="BO121" i="16"/>
  <c r="CK121" i="16"/>
  <c r="CR74" i="16"/>
  <c r="BQ74" i="16"/>
  <c r="E69" i="13"/>
  <c r="E64" i="18"/>
  <c r="CR182" i="16"/>
  <c r="CR446" i="16" s="1"/>
  <c r="E61" i="20" s="1"/>
  <c r="E61" i="33" s="1"/>
  <c r="BQ182" i="16"/>
  <c r="BQ446" i="16" s="1"/>
  <c r="E43" i="20" s="1"/>
  <c r="E43" i="32" s="1"/>
  <c r="BQ445" i="16"/>
  <c r="D43" i="20" s="1"/>
  <c r="D43" i="33" s="1"/>
  <c r="CI272" i="16"/>
  <c r="BM272" i="16"/>
  <c r="E58" i="23"/>
  <c r="E58" i="21"/>
  <c r="E57" i="17"/>
  <c r="E57" i="28" s="1"/>
  <c r="BW272" i="16"/>
  <c r="CX272" i="16"/>
  <c r="BR446" i="16"/>
  <c r="E44" i="20" s="1"/>
  <c r="E44" i="33" s="1"/>
  <c r="CV7" i="16"/>
  <c r="BU446" i="16"/>
  <c r="E47" i="20" s="1"/>
  <c r="E47" i="32" s="1"/>
  <c r="CK293" i="16"/>
  <c r="BO293" i="16"/>
  <c r="BV293" i="16"/>
  <c r="CW294" i="16" s="1"/>
  <c r="CC7" i="16"/>
  <c r="CC447" i="16" s="1"/>
  <c r="F8" i="20" s="1"/>
  <c r="DB6" i="16"/>
  <c r="AT446" i="16"/>
  <c r="DC5" i="16"/>
  <c r="CB6" i="16"/>
  <c r="CB446" i="16" s="1"/>
  <c r="E7" i="20" s="1"/>
  <c r="E7" i="33" s="1"/>
  <c r="AS445" i="16"/>
  <c r="BP186" i="16"/>
  <c r="CL186" i="16"/>
  <c r="D57" i="17"/>
  <c r="D57" i="28" s="1"/>
  <c r="D58" i="23"/>
  <c r="D58" i="21"/>
  <c r="C25" i="27"/>
  <c r="D41" i="21"/>
  <c r="D15" i="17"/>
  <c r="D15" i="28" s="1"/>
  <c r="D41" i="23"/>
  <c r="F43" i="13"/>
  <c r="E15" i="25"/>
  <c r="F56" i="13"/>
  <c r="E41" i="18"/>
  <c r="D10" i="27"/>
  <c r="D11" i="25"/>
  <c r="CR228" i="16"/>
  <c r="BQ228" i="16"/>
  <c r="DC419" i="16"/>
  <c r="CL140" i="16"/>
  <c r="BP140" i="16"/>
  <c r="BX140" i="16"/>
  <c r="CY141" i="16" s="1"/>
  <c r="DC29" i="16"/>
  <c r="CB30" i="16"/>
  <c r="CV205" i="16"/>
  <c r="BU205" i="16"/>
  <c r="BV360" i="16"/>
  <c r="CW361" i="16" s="1"/>
  <c r="CK360" i="16"/>
  <c r="BO360" i="16"/>
  <c r="C10" i="17"/>
  <c r="C40" i="21"/>
  <c r="C40" i="23"/>
  <c r="D15" i="27"/>
  <c r="D16" i="25"/>
  <c r="C8" i="17"/>
  <c r="C6" i="23"/>
  <c r="C6" i="21"/>
  <c r="AM351" i="16"/>
  <c r="BG351" i="16" s="1"/>
  <c r="AA282" i="16"/>
  <c r="AU282" i="16" s="1"/>
  <c r="CI227" i="16"/>
  <c r="BM227" i="16"/>
  <c r="BS227" i="16"/>
  <c r="CT228" i="16" s="1"/>
  <c r="BM315" i="16"/>
  <c r="BS315" i="16"/>
  <c r="CT316" i="16" s="1"/>
  <c r="CI315" i="16"/>
  <c r="CI403" i="16"/>
  <c r="BS403" i="16"/>
  <c r="CT404" i="16" s="1"/>
  <c r="BM403" i="16"/>
  <c r="C46" i="21"/>
  <c r="C46" i="23"/>
  <c r="C51" i="20"/>
  <c r="C51" i="33" s="1"/>
  <c r="CI5" i="16"/>
  <c r="CI445" i="16" s="1"/>
  <c r="D30" i="20" s="1"/>
  <c r="D30" i="33" s="1"/>
  <c r="BM444" i="16"/>
  <c r="C17" i="20" s="1"/>
  <c r="C17" i="33" s="1"/>
  <c r="BM5" i="16"/>
  <c r="BS5" i="16"/>
  <c r="CU52" i="16"/>
  <c r="BT52" i="16"/>
  <c r="F56" i="10"/>
  <c r="E15" i="26"/>
  <c r="F43" i="10"/>
  <c r="F38" i="10"/>
  <c r="CU183" i="16"/>
  <c r="BT183" i="16"/>
  <c r="AI305" i="16"/>
  <c r="BC305" i="16" s="1"/>
  <c r="CJ338" i="16"/>
  <c r="BN338" i="16"/>
  <c r="BX31" i="16"/>
  <c r="CY32" i="16" s="1"/>
  <c r="CL31" i="16"/>
  <c r="BS74" i="16"/>
  <c r="CT75" i="16" s="1"/>
  <c r="CI74" i="16"/>
  <c r="BM74" i="16"/>
  <c r="AV446" i="16"/>
  <c r="DJ6" i="16"/>
  <c r="BN183" i="16"/>
  <c r="BR183" i="16"/>
  <c r="CS184" i="16" s="1"/>
  <c r="CJ183" i="16"/>
  <c r="CX7" i="16"/>
  <c r="BW446" i="16"/>
  <c r="E49" i="20" s="1"/>
  <c r="E49" i="33" s="1"/>
  <c r="D23" i="27"/>
  <c r="CR382" i="16"/>
  <c r="BQ382" i="16"/>
  <c r="CL98" i="16"/>
  <c r="BX98" i="16"/>
  <c r="CY99" i="16" s="1"/>
  <c r="BP98" i="16"/>
  <c r="BW361" i="16"/>
  <c r="CX361" i="16"/>
  <c r="CK446" i="16"/>
  <c r="E32" i="20" s="1"/>
  <c r="E32" i="33" s="1"/>
  <c r="E13" i="27"/>
  <c r="D57" i="27"/>
  <c r="C17" i="23"/>
  <c r="C17" i="21"/>
  <c r="C19" i="17"/>
  <c r="BM381" i="16"/>
  <c r="CI381" i="16"/>
  <c r="BS381" i="16"/>
  <c r="CT382" i="16" s="1"/>
  <c r="BR403" i="16"/>
  <c r="CS404" i="16" s="1"/>
  <c r="CJ403" i="16"/>
  <c r="BN403" i="16"/>
  <c r="F47" i="10"/>
  <c r="CL7" i="16"/>
  <c r="CL447" i="16" s="1"/>
  <c r="F33" i="20" s="1"/>
  <c r="BX7" i="16"/>
  <c r="CY8" i="16" s="1"/>
  <c r="BP446" i="16"/>
  <c r="CU7" i="16"/>
  <c r="BT446" i="16"/>
  <c r="E46" i="20" s="1"/>
  <c r="E46" i="32" s="1"/>
  <c r="E29" i="21"/>
  <c r="E29" i="23"/>
  <c r="E51" i="17"/>
  <c r="E58" i="25"/>
  <c r="E59" i="18"/>
  <c r="BR271" i="16"/>
  <c r="CS272" i="16" s="1"/>
  <c r="CJ271" i="16"/>
  <c r="BN271" i="16"/>
  <c r="E69" i="10"/>
  <c r="CR52" i="16"/>
  <c r="BQ52" i="16"/>
  <c r="AE351" i="16"/>
  <c r="AY351" i="16" s="1"/>
  <c r="AB351" i="16"/>
  <c r="AV351" i="16" s="1"/>
  <c r="AC351" i="16"/>
  <c r="AW351" i="16" s="1"/>
  <c r="CE352" i="16" s="1"/>
  <c r="AD351" i="16"/>
  <c r="AX351" i="16" s="1"/>
  <c r="AB282" i="16"/>
  <c r="AV282" i="16" s="1"/>
  <c r="AO282" i="16"/>
  <c r="BI282" i="16" s="1"/>
  <c r="CX74" i="16"/>
  <c r="BW74" i="16"/>
  <c r="BQ30" i="16"/>
  <c r="CR31" i="16" s="1"/>
  <c r="BM360" i="16"/>
  <c r="CI360" i="16"/>
  <c r="BQ206" i="16"/>
  <c r="CR206" i="16"/>
  <c r="BQ426" i="16"/>
  <c r="CR426" i="16"/>
  <c r="BR139" i="16"/>
  <c r="CS140" i="16" s="1"/>
  <c r="CJ139" i="16"/>
  <c r="BN139" i="16"/>
  <c r="BM139" i="16"/>
  <c r="CI139" i="16"/>
  <c r="BS139" i="16"/>
  <c r="CT140" i="16" s="1"/>
  <c r="AE168" i="16"/>
  <c r="AY168" i="16" s="1"/>
  <c r="AG168" i="16"/>
  <c r="BA168" i="16" s="1"/>
  <c r="AA168" i="16"/>
  <c r="AU168" i="16" s="1"/>
  <c r="AF168" i="16"/>
  <c r="AZ168" i="16" s="1"/>
  <c r="BW206" i="16"/>
  <c r="CX206" i="16"/>
  <c r="D37" i="25"/>
  <c r="D55" i="18"/>
  <c r="D37" i="20"/>
  <c r="D37" i="33" s="1"/>
  <c r="DF445" i="16"/>
  <c r="DG445" i="16"/>
  <c r="F61" i="10"/>
  <c r="E51" i="10"/>
  <c r="Y305" i="16"/>
  <c r="AF397" i="16"/>
  <c r="AZ397" i="16" s="1"/>
  <c r="AO397" i="16"/>
  <c r="BI397" i="16" s="1"/>
  <c r="AL397" i="16"/>
  <c r="BF397" i="16" s="1"/>
  <c r="AG397" i="16"/>
  <c r="BA397" i="16" s="1"/>
  <c r="AB397" i="16"/>
  <c r="AV397" i="16" s="1"/>
  <c r="BT141" i="16"/>
  <c r="CU141" i="16"/>
  <c r="D43" i="21"/>
  <c r="D43" i="23"/>
  <c r="CI204" i="16"/>
  <c r="BS204" i="16"/>
  <c r="CT205" i="16" s="1"/>
  <c r="BM204" i="16"/>
  <c r="CE7" i="16"/>
  <c r="CE447" i="16" s="1"/>
  <c r="F25" i="20" s="1"/>
  <c r="F25" i="33" s="1"/>
  <c r="AW446" i="16"/>
  <c r="E12" i="20" s="1"/>
  <c r="E12" i="33" s="1"/>
  <c r="CM7" i="16"/>
  <c r="CM447" i="16" s="1"/>
  <c r="F55" i="20" s="1"/>
  <c r="F55" i="33" s="1"/>
  <c r="DF6" i="16"/>
  <c r="BC446" i="16"/>
  <c r="DG6" i="16"/>
  <c r="CN7" i="16"/>
  <c r="CN447" i="16" s="1"/>
  <c r="F56" i="20" s="1"/>
  <c r="BQ7" i="16"/>
  <c r="BD446" i="16"/>
  <c r="E38" i="20" s="1"/>
  <c r="E38" i="33" s="1"/>
  <c r="AY446" i="16"/>
  <c r="BO7" i="16"/>
  <c r="DD6" i="16"/>
  <c r="CG7" i="16"/>
  <c r="CG447" i="16" s="1"/>
  <c r="F27" i="20" s="1"/>
  <c r="AX446" i="16"/>
  <c r="E13" i="20" s="1"/>
  <c r="E13" i="33" s="1"/>
  <c r="CF7" i="16"/>
  <c r="CF447" i="16" s="1"/>
  <c r="F26" i="20" s="1"/>
  <c r="E46" i="17"/>
  <c r="E12" i="23"/>
  <c r="E12" i="21"/>
  <c r="D50" i="21"/>
  <c r="D50" i="23"/>
  <c r="AE374" i="16"/>
  <c r="AY374" i="16" s="1"/>
  <c r="AC374" i="16"/>
  <c r="AW374" i="16" s="1"/>
  <c r="CE375" i="16" s="1"/>
  <c r="AA374" i="16"/>
  <c r="AU374" i="16" s="1"/>
  <c r="Y374" i="16"/>
  <c r="BU404" i="16"/>
  <c r="CV404" i="16"/>
  <c r="D52" i="20"/>
  <c r="D52" i="32" s="1"/>
  <c r="D49" i="21"/>
  <c r="D49" i="23"/>
  <c r="BW316" i="16"/>
  <c r="CX316" i="16"/>
  <c r="E59" i="23"/>
  <c r="E59" i="21"/>
  <c r="E58" i="17"/>
  <c r="DH5" i="16"/>
  <c r="E62" i="23"/>
  <c r="E61" i="17"/>
  <c r="E10" i="25"/>
  <c r="F55" i="13"/>
  <c r="E40" i="18"/>
  <c r="F37" i="13"/>
  <c r="F38" i="13"/>
  <c r="E57" i="25"/>
  <c r="E58" i="18"/>
  <c r="F47" i="13"/>
  <c r="F58" i="13"/>
  <c r="E43" i="18"/>
  <c r="CV381" i="16"/>
  <c r="BU381" i="16"/>
  <c r="Z236" i="16"/>
  <c r="AT236" i="16" s="1"/>
  <c r="AE328" i="16"/>
  <c r="AY328" i="16" s="1"/>
  <c r="AH328" i="16"/>
  <c r="BB328" i="16" s="1"/>
  <c r="AM328" i="16"/>
  <c r="BG328" i="16" s="1"/>
  <c r="AK328" i="16"/>
  <c r="BE328" i="16" s="1"/>
  <c r="CB328" i="16"/>
  <c r="DC327" i="16"/>
  <c r="DC75" i="16"/>
  <c r="CB76" i="16"/>
  <c r="CU338" i="16"/>
  <c r="BT338" i="16"/>
  <c r="BO140" i="16"/>
  <c r="CK140" i="16"/>
  <c r="C9" i="28"/>
  <c r="C9" i="29"/>
  <c r="CW205" i="16"/>
  <c r="BV446" i="16"/>
  <c r="E48" i="20" s="1"/>
  <c r="E48" i="33" s="1"/>
  <c r="D58" i="27"/>
  <c r="D44" i="29"/>
  <c r="AI213" i="16"/>
  <c r="BC213" i="16" s="1"/>
  <c r="AF213" i="16"/>
  <c r="AZ213" i="16" s="1"/>
  <c r="AN213" i="16"/>
  <c r="BH213" i="16" s="1"/>
  <c r="H3" i="10"/>
  <c r="H7" i="10"/>
  <c r="G8" i="26"/>
  <c r="E28" i="21"/>
  <c r="E50" i="17"/>
  <c r="E28" i="23"/>
  <c r="BR359" i="16"/>
  <c r="CS360" i="16" s="1"/>
  <c r="CJ359" i="16"/>
  <c r="BN359" i="16"/>
  <c r="AN259" i="16"/>
  <c r="BH259" i="16" s="1"/>
  <c r="DC258" i="16"/>
  <c r="CB259" i="16"/>
  <c r="BW162" i="16"/>
  <c r="CX162" i="16"/>
  <c r="BW426" i="16"/>
  <c r="CX426" i="16"/>
  <c r="BR162" i="16"/>
  <c r="CS163" i="16" s="1"/>
  <c r="DC52" i="16"/>
  <c r="CB53" i="16"/>
  <c r="BT118" i="16"/>
  <c r="CU118" i="16"/>
  <c r="BX361" i="16"/>
  <c r="CY362" i="16" s="1"/>
  <c r="BP361" i="16"/>
  <c r="CL361" i="16"/>
  <c r="AJ190" i="16" l="1"/>
  <c r="BD190" i="16" s="1"/>
  <c r="AH190" i="16"/>
  <c r="BB190" i="16" s="1"/>
  <c r="BS97" i="16"/>
  <c r="CT98" i="16" s="1"/>
  <c r="AO236" i="16"/>
  <c r="BI236" i="16" s="1"/>
  <c r="AF190" i="16"/>
  <c r="AZ190" i="16" s="1"/>
  <c r="CH191" i="16" s="1"/>
  <c r="AN236" i="16"/>
  <c r="BH236" i="16" s="1"/>
  <c r="AD236" i="16"/>
  <c r="AX236" i="16" s="1"/>
  <c r="CF237" i="16" s="1"/>
  <c r="DH281" i="16"/>
  <c r="BR31" i="16"/>
  <c r="CS32" i="16" s="1"/>
  <c r="AC190" i="16"/>
  <c r="AW190" i="16" s="1"/>
  <c r="CE191" i="16" s="1"/>
  <c r="AM259" i="16"/>
  <c r="BG259" i="16" s="1"/>
  <c r="DE259" i="16" s="1"/>
  <c r="Y259" i="16"/>
  <c r="AN282" i="16"/>
  <c r="BH282" i="16" s="1"/>
  <c r="CJ426" i="16"/>
  <c r="AJ259" i="16"/>
  <c r="BD259" i="16" s="1"/>
  <c r="AA236" i="16"/>
  <c r="AM282" i="16"/>
  <c r="BG282" i="16" s="1"/>
  <c r="AD259" i="16"/>
  <c r="AX259" i="16" s="1"/>
  <c r="BQ360" i="16"/>
  <c r="BQ361" i="16" s="1"/>
  <c r="AL190" i="16"/>
  <c r="BF190" i="16" s="1"/>
  <c r="AF282" i="16"/>
  <c r="AZ282" i="16" s="1"/>
  <c r="CH283" i="16" s="1"/>
  <c r="AE236" i="16"/>
  <c r="AY236" i="16" s="1"/>
  <c r="CG237" i="16" s="1"/>
  <c r="BN120" i="16"/>
  <c r="BN121" i="16" s="1"/>
  <c r="CJ122" i="16" s="1"/>
  <c r="DH396" i="16"/>
  <c r="DH419" i="16"/>
  <c r="DD235" i="16"/>
  <c r="DD281" i="16"/>
  <c r="AG259" i="16"/>
  <c r="BA259" i="16" s="1"/>
  <c r="AO213" i="16"/>
  <c r="BI213" i="16" s="1"/>
  <c r="AL236" i="16"/>
  <c r="BF236" i="16" s="1"/>
  <c r="AE282" i="16"/>
  <c r="AY282" i="16" s="1"/>
  <c r="CG283" i="16" s="1"/>
  <c r="AN351" i="16"/>
  <c r="BH351" i="16" s="1"/>
  <c r="DG351" i="16" s="1"/>
  <c r="AI259" i="16"/>
  <c r="BC259" i="16" s="1"/>
  <c r="AL351" i="16"/>
  <c r="BF351" i="16" s="1"/>
  <c r="CP352" i="16" s="1"/>
  <c r="AH259" i="16"/>
  <c r="BB259" i="16" s="1"/>
  <c r="DJ259" i="16" s="1"/>
  <c r="AH213" i="16"/>
  <c r="AA213" i="16"/>
  <c r="AU213" i="16" s="1"/>
  <c r="AM236" i="16"/>
  <c r="BG236" i="16" s="1"/>
  <c r="AK282" i="16"/>
  <c r="BE282" i="16" s="1"/>
  <c r="AH351" i="16"/>
  <c r="Z351" i="16"/>
  <c r="AT351" i="16" s="1"/>
  <c r="DC281" i="16"/>
  <c r="Z190" i="16"/>
  <c r="AT190" i="16" s="1"/>
  <c r="CC191" i="16" s="1"/>
  <c r="AK213" i="16"/>
  <c r="BE213" i="16" s="1"/>
  <c r="AJ351" i="16"/>
  <c r="BD351" i="16" s="1"/>
  <c r="CN352" i="16" s="1"/>
  <c r="DI373" i="16"/>
  <c r="Z213" i="16"/>
  <c r="AT213" i="16" s="1"/>
  <c r="CC214" i="16" s="1"/>
  <c r="AG190" i="16"/>
  <c r="AD213" i="16"/>
  <c r="AX213" i="16" s="1"/>
  <c r="CF214" i="16" s="1"/>
  <c r="DI212" i="16"/>
  <c r="CP351" i="16"/>
  <c r="DE281" i="16"/>
  <c r="DI281" i="16" s="1"/>
  <c r="DD212" i="16"/>
  <c r="BS250" i="16"/>
  <c r="CT251" i="16" s="1"/>
  <c r="AF305" i="16"/>
  <c r="AZ305" i="16" s="1"/>
  <c r="CH306" i="16" s="1"/>
  <c r="CJ121" i="16"/>
  <c r="DC304" i="16"/>
  <c r="AC305" i="16"/>
  <c r="AW305" i="16" s="1"/>
  <c r="CE306" i="16" s="1"/>
  <c r="AD305" i="16"/>
  <c r="AX305" i="16" s="1"/>
  <c r="CF306" i="16" s="1"/>
  <c r="AN190" i="16"/>
  <c r="BH190" i="16" s="1"/>
  <c r="Y236" i="16"/>
  <c r="CI250" i="16"/>
  <c r="AK305" i="16"/>
  <c r="BE305" i="16" s="1"/>
  <c r="CR140" i="16"/>
  <c r="BO404" i="16"/>
  <c r="CK405" i="16" s="1"/>
  <c r="AK190" i="16"/>
  <c r="BE190" i="16" s="1"/>
  <c r="CO191" i="16" s="1"/>
  <c r="AF236" i="16"/>
  <c r="AZ236" i="16" s="1"/>
  <c r="DD236" i="16" s="1"/>
  <c r="AN305" i="16"/>
  <c r="BT75" i="16"/>
  <c r="CU76" i="16" s="1"/>
  <c r="Y190" i="16"/>
  <c r="AS190" i="16" s="1"/>
  <c r="AG305" i="16"/>
  <c r="BA305" i="16" s="1"/>
  <c r="AO190" i="16"/>
  <c r="BI190" i="16" s="1"/>
  <c r="DJ190" i="16" s="1"/>
  <c r="AH236" i="16"/>
  <c r="BB236" i="16" s="1"/>
  <c r="DH258" i="16"/>
  <c r="CP305" i="16"/>
  <c r="CP236" i="16"/>
  <c r="AD190" i="16"/>
  <c r="AX190" i="16" s="1"/>
  <c r="AC259" i="16"/>
  <c r="AW259" i="16" s="1"/>
  <c r="CE260" i="16" s="1"/>
  <c r="AB236" i="16"/>
  <c r="AV236" i="16" s="1"/>
  <c r="E58" i="28"/>
  <c r="AA305" i="16"/>
  <c r="AU305" i="16" s="1"/>
  <c r="CD306" i="16" s="1"/>
  <c r="AD282" i="16"/>
  <c r="AX282" i="16" s="1"/>
  <c r="CF283" i="16" s="1"/>
  <c r="AB305" i="16"/>
  <c r="AV305" i="16" s="1"/>
  <c r="AI190" i="16"/>
  <c r="BC190" i="16" s="1"/>
  <c r="AB259" i="16"/>
  <c r="AV259" i="16" s="1"/>
  <c r="AI236" i="16"/>
  <c r="BC236" i="16" s="1"/>
  <c r="AM305" i="16"/>
  <c r="BG305" i="16" s="1"/>
  <c r="CQ306" i="16" s="1"/>
  <c r="AI282" i="16"/>
  <c r="AO259" i="16"/>
  <c r="BI259" i="16" s="1"/>
  <c r="AL305" i="16"/>
  <c r="BF305" i="16" s="1"/>
  <c r="CP306" i="16" s="1"/>
  <c r="AG282" i="16"/>
  <c r="BA282" i="16" s="1"/>
  <c r="DI327" i="16"/>
  <c r="AC236" i="16"/>
  <c r="AW236" i="16" s="1"/>
  <c r="CE237" i="16" s="1"/>
  <c r="AE305" i="16"/>
  <c r="AY305" i="16" s="1"/>
  <c r="CG306" i="16" s="1"/>
  <c r="DH189" i="16"/>
  <c r="AF259" i="16"/>
  <c r="AZ259" i="16" s="1"/>
  <c r="CH260" i="16" s="1"/>
  <c r="AJ236" i="16"/>
  <c r="BD236" i="16" s="1"/>
  <c r="CN237" i="16" s="1"/>
  <c r="DH304" i="16"/>
  <c r="AO305" i="16"/>
  <c r="BI305" i="16" s="1"/>
  <c r="AL282" i="16"/>
  <c r="BF282" i="16" s="1"/>
  <c r="CP283" i="16" s="1"/>
  <c r="AA190" i="16"/>
  <c r="AU190" i="16" s="1"/>
  <c r="CD191" i="16" s="1"/>
  <c r="AK236" i="16"/>
  <c r="BE236" i="16" s="1"/>
  <c r="CO237" i="16" s="1"/>
  <c r="DH212" i="16"/>
  <c r="AM190" i="16"/>
  <c r="BG190" i="16" s="1"/>
  <c r="CQ191" i="16" s="1"/>
  <c r="Z305" i="16"/>
  <c r="AT305" i="16" s="1"/>
  <c r="CC306" i="16" s="1"/>
  <c r="DI235" i="16"/>
  <c r="AE190" i="16"/>
  <c r="AY190" i="16" s="1"/>
  <c r="CG191" i="16" s="1"/>
  <c r="DE189" i="16"/>
  <c r="DI189" i="16" s="1"/>
  <c r="DE304" i="16"/>
  <c r="DI304" i="16" s="1"/>
  <c r="DE258" i="16"/>
  <c r="DI258" i="16" s="1"/>
  <c r="CR316" i="16"/>
  <c r="CJ31" i="16"/>
  <c r="BN163" i="16"/>
  <c r="BN164" i="16" s="1"/>
  <c r="G44" i="10"/>
  <c r="BM184" i="16"/>
  <c r="CI185" i="16" s="1"/>
  <c r="DH327" i="16"/>
  <c r="DI167" i="16"/>
  <c r="DH121" i="16"/>
  <c r="BR426" i="16"/>
  <c r="CS427" i="16" s="1"/>
  <c r="DH235" i="16"/>
  <c r="CK427" i="16"/>
  <c r="BS184" i="16"/>
  <c r="CT185" i="16" s="1"/>
  <c r="DI350" i="16"/>
  <c r="DI98" i="16"/>
  <c r="BR119" i="16"/>
  <c r="CS120" i="16" s="1"/>
  <c r="DI75" i="16"/>
  <c r="DH373" i="16"/>
  <c r="BR338" i="16"/>
  <c r="CS339" i="16" s="1"/>
  <c r="CJ76" i="16"/>
  <c r="BV404" i="16"/>
  <c r="CW405" i="16" s="1"/>
  <c r="DI396" i="16"/>
  <c r="DH75" i="16"/>
  <c r="DI121" i="16"/>
  <c r="F26" i="32"/>
  <c r="BW119" i="16"/>
  <c r="F11" i="26"/>
  <c r="DB122" i="16"/>
  <c r="DK122" i="16"/>
  <c r="BS272" i="16"/>
  <c r="DC98" i="16"/>
  <c r="G10" i="26"/>
  <c r="G11" i="26" s="1"/>
  <c r="DI52" i="16"/>
  <c r="BW97" i="16"/>
  <c r="CX98" i="16" s="1"/>
  <c r="E10" i="31"/>
  <c r="BS119" i="16"/>
  <c r="CT120" i="16" s="1"/>
  <c r="F48" i="25"/>
  <c r="DB76" i="16"/>
  <c r="DJ76" i="16"/>
  <c r="DD122" i="16"/>
  <c r="CJ53" i="16"/>
  <c r="BR53" i="16"/>
  <c r="CS54" i="16" s="1"/>
  <c r="BV53" i="16"/>
  <c r="CW54" i="16" s="1"/>
  <c r="BM426" i="16"/>
  <c r="CI427" i="16" s="1"/>
  <c r="BT206" i="16"/>
  <c r="CU207" i="16" s="1"/>
  <c r="BN53" i="16"/>
  <c r="BR54" i="16" s="1"/>
  <c r="CS55" i="16" s="1"/>
  <c r="DI29" i="16"/>
  <c r="AC100" i="16"/>
  <c r="AW100" i="16" s="1"/>
  <c r="CE101" i="16" s="1"/>
  <c r="CI162" i="16"/>
  <c r="CU317" i="16"/>
  <c r="AF123" i="16"/>
  <c r="AZ123" i="16" s="1"/>
  <c r="CH124" i="16" s="1"/>
  <c r="BS426" i="16"/>
  <c r="CT427" i="16" s="1"/>
  <c r="F8" i="27"/>
  <c r="CN123" i="16"/>
  <c r="AN123" i="16"/>
  <c r="BH123" i="16" s="1"/>
  <c r="BO54" i="16"/>
  <c r="CK55" i="16" s="1"/>
  <c r="H12" i="10"/>
  <c r="DH29" i="16"/>
  <c r="F47" i="18"/>
  <c r="G5" i="13"/>
  <c r="H5" i="13" s="1"/>
  <c r="I9" i="13" s="1"/>
  <c r="F31" i="31"/>
  <c r="DJ99" i="16"/>
  <c r="DD99" i="16"/>
  <c r="DE99" i="16"/>
  <c r="F21" i="18"/>
  <c r="AI77" i="16"/>
  <c r="BC77" i="16" s="1"/>
  <c r="DH98" i="16"/>
  <c r="BN77" i="16"/>
  <c r="CJ78" i="16" s="1"/>
  <c r="DK76" i="16"/>
  <c r="CH100" i="16"/>
  <c r="DE122" i="16"/>
  <c r="Z100" i="16"/>
  <c r="AT100" i="16" s="1"/>
  <c r="DK99" i="16"/>
  <c r="BP54" i="16"/>
  <c r="CL55" i="16" s="1"/>
  <c r="BN251" i="16"/>
  <c r="BN252" i="16" s="1"/>
  <c r="BX54" i="16"/>
  <c r="CY55" i="16" s="1"/>
  <c r="AO123" i="16"/>
  <c r="BI123" i="16" s="1"/>
  <c r="CP123" i="16"/>
  <c r="AD100" i="16"/>
  <c r="AX100" i="16" s="1"/>
  <c r="CF101" i="16" s="1"/>
  <c r="BQ405" i="16"/>
  <c r="BQ406" i="16" s="1"/>
  <c r="DF76" i="16"/>
  <c r="H37" i="10"/>
  <c r="I55" i="10" s="1"/>
  <c r="AK123" i="16"/>
  <c r="BE123" i="16" s="1"/>
  <c r="CO124" i="16" s="1"/>
  <c r="AI123" i="16"/>
  <c r="BC123" i="16" s="1"/>
  <c r="CM124" i="16" s="1"/>
  <c r="AK100" i="16"/>
  <c r="BE100" i="16" s="1"/>
  <c r="CO101" i="16" s="1"/>
  <c r="C27" i="28"/>
  <c r="CR404" i="16"/>
  <c r="DH144" i="16"/>
  <c r="DE76" i="16"/>
  <c r="DI76" i="16" s="1"/>
  <c r="DH167" i="16"/>
  <c r="DJ122" i="16"/>
  <c r="DF99" i="16"/>
  <c r="DI99" i="16" s="1"/>
  <c r="CY76" i="16"/>
  <c r="BX76" i="16"/>
  <c r="E34" i="23"/>
  <c r="H25" i="10"/>
  <c r="H50" i="26" s="1"/>
  <c r="G12" i="31"/>
  <c r="D47" i="27"/>
  <c r="D13" i="23"/>
  <c r="AC123" i="16"/>
  <c r="AW123" i="16" s="1"/>
  <c r="CE124" i="16" s="1"/>
  <c r="AL123" i="16"/>
  <c r="BF123" i="16" s="1"/>
  <c r="CP124" i="16" s="1"/>
  <c r="AG123" i="16"/>
  <c r="BA123" i="16" s="1"/>
  <c r="DB99" i="16"/>
  <c r="DD76" i="16"/>
  <c r="AN100" i="16"/>
  <c r="BH100" i="16" s="1"/>
  <c r="AE100" i="16"/>
  <c r="AY100" i="16" s="1"/>
  <c r="CG101" i="16" s="1"/>
  <c r="AI100" i="16"/>
  <c r="BC100" i="16" s="1"/>
  <c r="CM101" i="16" s="1"/>
  <c r="DG122" i="16"/>
  <c r="G7" i="31"/>
  <c r="CW447" i="16"/>
  <c r="F66" i="20" s="1"/>
  <c r="F69" i="21" s="1"/>
  <c r="BR251" i="16"/>
  <c r="CS252" i="16" s="1"/>
  <c r="CO77" i="16"/>
  <c r="AM123" i="16"/>
  <c r="BG123" i="16" s="1"/>
  <c r="AH123" i="16"/>
  <c r="BB123" i="16" s="1"/>
  <c r="AJ123" i="16"/>
  <c r="BD123" i="16" s="1"/>
  <c r="CN124" i="16" s="1"/>
  <c r="BN31" i="16"/>
  <c r="BR32" i="16" s="1"/>
  <c r="CS33" i="16" s="1"/>
  <c r="AO100" i="16"/>
  <c r="BI100" i="16" s="1"/>
  <c r="AM100" i="16"/>
  <c r="BG100" i="16" s="1"/>
  <c r="CQ101" i="16" s="1"/>
  <c r="AG100" i="16"/>
  <c r="BA100" i="16" s="1"/>
  <c r="AF100" i="16"/>
  <c r="AZ100" i="16" s="1"/>
  <c r="CH101" i="16" s="1"/>
  <c r="DG99" i="16"/>
  <c r="DF122" i="16"/>
  <c r="CV162" i="16"/>
  <c r="CX140" i="16"/>
  <c r="BR97" i="16"/>
  <c r="CS98" i="16" s="1"/>
  <c r="BS162" i="16"/>
  <c r="CT163" i="16" s="1"/>
  <c r="BX185" i="16"/>
  <c r="CY186" i="16" s="1"/>
  <c r="DI144" i="16"/>
  <c r="AE123" i="16"/>
  <c r="AY123" i="16" s="1"/>
  <c r="Z123" i="16"/>
  <c r="AT123" i="16" s="1"/>
  <c r="CC124" i="16" s="1"/>
  <c r="BS53" i="16"/>
  <c r="CT54" i="16" s="1"/>
  <c r="BP77" i="16"/>
  <c r="Y100" i="16"/>
  <c r="AJ100" i="16"/>
  <c r="BD100" i="16" s="1"/>
  <c r="CN101" i="16" s="1"/>
  <c r="Y77" i="16"/>
  <c r="AD123" i="16"/>
  <c r="AX123" i="16" s="1"/>
  <c r="AA123" i="16"/>
  <c r="AU123" i="16" s="1"/>
  <c r="CD124" i="16" s="1"/>
  <c r="Y123" i="16"/>
  <c r="AB123" i="16"/>
  <c r="AV123" i="16" s="1"/>
  <c r="AH100" i="16"/>
  <c r="BB100" i="16" s="1"/>
  <c r="AB100" i="16"/>
  <c r="AV100" i="16" s="1"/>
  <c r="AA100" i="16"/>
  <c r="AU100" i="16" s="1"/>
  <c r="CD101" i="16" s="1"/>
  <c r="AL100" i="16"/>
  <c r="BF100" i="16" s="1"/>
  <c r="CP101" i="16" s="1"/>
  <c r="AH77" i="16"/>
  <c r="BB77" i="16" s="1"/>
  <c r="CK228" i="16"/>
  <c r="BO228" i="16"/>
  <c r="BV228" i="16"/>
  <c r="CW229" i="16" s="1"/>
  <c r="E60" i="28"/>
  <c r="G13" i="13"/>
  <c r="H26" i="13" s="1"/>
  <c r="H51" i="25" s="1"/>
  <c r="F14" i="25"/>
  <c r="F26" i="31"/>
  <c r="F12" i="18"/>
  <c r="E30" i="27"/>
  <c r="F9" i="33"/>
  <c r="G50" i="25"/>
  <c r="G50" i="27" s="1"/>
  <c r="G15" i="18"/>
  <c r="F9" i="31"/>
  <c r="F34" i="18"/>
  <c r="DG145" i="16"/>
  <c r="AL146" i="16"/>
  <c r="BF146" i="16" s="1"/>
  <c r="CP147" i="16" s="1"/>
  <c r="D65" i="26"/>
  <c r="D66" i="26" s="1"/>
  <c r="D61" i="28"/>
  <c r="AN54" i="16"/>
  <c r="BH54" i="16" s="1"/>
  <c r="AF77" i="16"/>
  <c r="AZ77" i="16" s="1"/>
  <c r="CH78" i="16" s="1"/>
  <c r="AO77" i="16"/>
  <c r="BI77" i="16" s="1"/>
  <c r="AB77" i="16"/>
  <c r="AV77" i="16" s="1"/>
  <c r="AA77" i="16"/>
  <c r="AU77" i="16" s="1"/>
  <c r="AC77" i="16"/>
  <c r="AW77" i="16" s="1"/>
  <c r="CE78" i="16" s="1"/>
  <c r="DB53" i="16"/>
  <c r="BT360" i="16"/>
  <c r="CU361" i="16" s="1"/>
  <c r="D46" i="29"/>
  <c r="CN77" i="16"/>
  <c r="BS31" i="16"/>
  <c r="CT32" i="16" s="1"/>
  <c r="DG76" i="16"/>
  <c r="AL77" i="16"/>
  <c r="BF77" i="16" s="1"/>
  <c r="CP78" i="16" s="1"/>
  <c r="AJ77" i="16"/>
  <c r="BD77" i="16" s="1"/>
  <c r="CN78" i="16" s="1"/>
  <c r="AK77" i="16"/>
  <c r="BE77" i="16" s="1"/>
  <c r="CO78" i="16" s="1"/>
  <c r="AN77" i="16"/>
  <c r="BH77" i="16" s="1"/>
  <c r="AE77" i="16"/>
  <c r="AY77" i="16" s="1"/>
  <c r="CG78" i="16" s="1"/>
  <c r="CB145" i="16"/>
  <c r="F8" i="31"/>
  <c r="DJ145" i="16"/>
  <c r="CL229" i="16"/>
  <c r="BX229" i="16"/>
  <c r="CY230" i="16" s="1"/>
  <c r="BP229" i="16"/>
  <c r="Z77" i="16"/>
  <c r="AT77" i="16" s="1"/>
  <c r="CC78" i="16" s="1"/>
  <c r="AG77" i="16"/>
  <c r="BA77" i="16" s="1"/>
  <c r="AM77" i="16"/>
  <c r="BG77" i="16" s="1"/>
  <c r="CQ78" i="16" s="1"/>
  <c r="AD77" i="16"/>
  <c r="AX77" i="16" s="1"/>
  <c r="CF78" i="16" s="1"/>
  <c r="G5" i="10"/>
  <c r="E46" i="33"/>
  <c r="DD145" i="16"/>
  <c r="G62" i="31"/>
  <c r="F44" i="31"/>
  <c r="F7" i="18"/>
  <c r="G13" i="10"/>
  <c r="G28" i="18"/>
  <c r="E34" i="21"/>
  <c r="F69" i="18"/>
  <c r="F29" i="18"/>
  <c r="G10" i="18"/>
  <c r="F21" i="10"/>
  <c r="F32" i="26" s="1"/>
  <c r="D45" i="29"/>
  <c r="E70" i="21"/>
  <c r="BO31" i="16"/>
  <c r="CK32" i="16" s="1"/>
  <c r="BV140" i="16"/>
  <c r="CW141" i="16" s="1"/>
  <c r="Y146" i="16"/>
  <c r="AS146" i="16" s="1"/>
  <c r="E70" i="23"/>
  <c r="DI445" i="16"/>
  <c r="D63" i="25"/>
  <c r="D63" i="27" s="1"/>
  <c r="E61" i="28"/>
  <c r="DD305" i="16"/>
  <c r="BR163" i="16"/>
  <c r="CS164" i="16" s="1"/>
  <c r="AJ146" i="16"/>
  <c r="BD146" i="16" s="1"/>
  <c r="CN147" i="16" s="1"/>
  <c r="CH146" i="16"/>
  <c r="F30" i="27"/>
  <c r="E68" i="21"/>
  <c r="CG31" i="16"/>
  <c r="G65" i="18"/>
  <c r="DB30" i="16"/>
  <c r="DK168" i="16"/>
  <c r="D40" i="26"/>
  <c r="D41" i="26" s="1"/>
  <c r="CW426" i="16"/>
  <c r="BV426" i="16"/>
  <c r="DF30" i="16"/>
  <c r="CI120" i="16"/>
  <c r="BS120" i="16"/>
  <c r="CT121" i="16" s="1"/>
  <c r="BM120" i="16"/>
  <c r="DF374" i="16"/>
  <c r="E67" i="32"/>
  <c r="E43" i="33"/>
  <c r="E16" i="26"/>
  <c r="DF145" i="16"/>
  <c r="D58" i="29"/>
  <c r="AD146" i="16"/>
  <c r="AX146" i="16" s="1"/>
  <c r="AO146" i="16"/>
  <c r="BI146" i="16" s="1"/>
  <c r="DE145" i="16"/>
  <c r="DI145" i="16" s="1"/>
  <c r="CH31" i="16"/>
  <c r="D52" i="33"/>
  <c r="E47" i="33"/>
  <c r="BM54" i="16"/>
  <c r="CI55" i="16" s="1"/>
  <c r="AM146" i="16"/>
  <c r="BG146" i="16" s="1"/>
  <c r="CQ147" i="16" s="1"/>
  <c r="E37" i="26"/>
  <c r="G63" i="10"/>
  <c r="BP251" i="16"/>
  <c r="CL251" i="16"/>
  <c r="BX251" i="16"/>
  <c r="CY252" i="16" s="1"/>
  <c r="F8" i="18"/>
  <c r="AK146" i="16"/>
  <c r="BE146" i="16" s="1"/>
  <c r="CO147" i="16" s="1"/>
  <c r="AE146" i="16"/>
  <c r="AY146" i="16" s="1"/>
  <c r="CG147" i="16" s="1"/>
  <c r="AI146" i="16"/>
  <c r="BC146" i="16" s="1"/>
  <c r="H57" i="26"/>
  <c r="CN146" i="16"/>
  <c r="BQ31" i="16"/>
  <c r="CR32" i="16" s="1"/>
  <c r="F45" i="26"/>
  <c r="F45" i="27" s="1"/>
  <c r="F8" i="33"/>
  <c r="BU229" i="16"/>
  <c r="CV229" i="16"/>
  <c r="E64" i="33"/>
  <c r="CV53" i="16"/>
  <c r="BU53" i="16"/>
  <c r="CV54" i="16" s="1"/>
  <c r="DK145" i="16"/>
  <c r="DF53" i="16"/>
  <c r="AC31" i="16"/>
  <c r="AW31" i="16" s="1"/>
  <c r="CE32" i="16" s="1"/>
  <c r="DB145" i="16"/>
  <c r="BS360" i="16"/>
  <c r="CT361" i="16" s="1"/>
  <c r="BT31" i="16"/>
  <c r="CU32" i="16" s="1"/>
  <c r="CI54" i="16"/>
  <c r="AG146" i="16"/>
  <c r="BA146" i="16" s="1"/>
  <c r="AS145" i="16"/>
  <c r="CB146" i="16" s="1"/>
  <c r="AC146" i="16"/>
  <c r="AW146" i="16" s="1"/>
  <c r="CE147" i="16" s="1"/>
  <c r="AF146" i="16"/>
  <c r="AZ146" i="16" s="1"/>
  <c r="CH147" i="16" s="1"/>
  <c r="G18" i="10"/>
  <c r="F10" i="10"/>
  <c r="F10" i="31" s="1"/>
  <c r="G9" i="25"/>
  <c r="G9" i="27" s="1"/>
  <c r="CC54" i="16"/>
  <c r="D18" i="23"/>
  <c r="D15" i="33"/>
  <c r="F13" i="26"/>
  <c r="F13" i="27" s="1"/>
  <c r="F5" i="31"/>
  <c r="D47" i="17"/>
  <c r="D47" i="29" s="1"/>
  <c r="D10" i="33"/>
  <c r="F51" i="26"/>
  <c r="F51" i="27" s="1"/>
  <c r="F26" i="33"/>
  <c r="E53" i="26"/>
  <c r="G31" i="13"/>
  <c r="G31" i="31" s="1"/>
  <c r="G44" i="13"/>
  <c r="H62" i="13" s="1"/>
  <c r="G18" i="13"/>
  <c r="E47" i="26"/>
  <c r="CY448" i="16"/>
  <c r="G68" i="20" s="1"/>
  <c r="AH146" i="16"/>
  <c r="BB146" i="16" s="1"/>
  <c r="AA146" i="16"/>
  <c r="AU146" i="16" s="1"/>
  <c r="CD147" i="16" s="1"/>
  <c r="H25" i="13"/>
  <c r="F69" i="10"/>
  <c r="F62" i="26" s="1"/>
  <c r="G65" i="10"/>
  <c r="F58" i="26"/>
  <c r="F56" i="33"/>
  <c r="H62" i="10"/>
  <c r="Z146" i="16"/>
  <c r="AT146" i="16" s="1"/>
  <c r="CC147" i="16" s="1"/>
  <c r="AN146" i="16"/>
  <c r="BH146" i="16" s="1"/>
  <c r="AB146" i="16"/>
  <c r="AV146" i="16" s="1"/>
  <c r="CM31" i="16"/>
  <c r="G9" i="10"/>
  <c r="G4" i="10"/>
  <c r="G13" i="26" s="1"/>
  <c r="D69" i="32"/>
  <c r="D69" i="33"/>
  <c r="D14" i="33"/>
  <c r="G8" i="10"/>
  <c r="F4" i="31"/>
  <c r="F18" i="31"/>
  <c r="AD54" i="16"/>
  <c r="AX54" i="16" s="1"/>
  <c r="BU97" i="16"/>
  <c r="CV97" i="16"/>
  <c r="D34" i="26"/>
  <c r="E13" i="18"/>
  <c r="F25" i="32"/>
  <c r="F9" i="32"/>
  <c r="CL295" i="16"/>
  <c r="BX295" i="16"/>
  <c r="CY296" i="16" s="1"/>
  <c r="BP295" i="16"/>
  <c r="BP428" i="16"/>
  <c r="CL428" i="16"/>
  <c r="CN31" i="16"/>
  <c r="E48" i="32"/>
  <c r="H8" i="13"/>
  <c r="G45" i="10"/>
  <c r="E44" i="32"/>
  <c r="AB54" i="16"/>
  <c r="AV54" i="16" s="1"/>
  <c r="E49" i="32"/>
  <c r="BO316" i="16"/>
  <c r="CK316" i="16"/>
  <c r="BV316" i="16"/>
  <c r="CW317" i="16" s="1"/>
  <c r="D51" i="28"/>
  <c r="D51" i="29"/>
  <c r="G26" i="10"/>
  <c r="G17" i="10"/>
  <c r="F14" i="26"/>
  <c r="F16" i="18"/>
  <c r="DH52" i="16"/>
  <c r="BX427" i="16"/>
  <c r="CY428" i="16" s="1"/>
  <c r="AG31" i="16"/>
  <c r="BA31" i="16" s="1"/>
  <c r="G13" i="25"/>
  <c r="DJ168" i="16"/>
  <c r="C51" i="32"/>
  <c r="H4" i="13"/>
  <c r="I8" i="13" s="1"/>
  <c r="D43" i="32"/>
  <c r="Z54" i="16"/>
  <c r="AT54" i="16" s="1"/>
  <c r="CC55" i="16" s="1"/>
  <c r="CF31" i="16"/>
  <c r="G10" i="13"/>
  <c r="G47" i="25" s="1"/>
  <c r="E59" i="32"/>
  <c r="F62" i="32"/>
  <c r="CR97" i="16"/>
  <c r="BV75" i="16"/>
  <c r="CW76" i="16" s="1"/>
  <c r="D22" i="32"/>
  <c r="G45" i="25"/>
  <c r="DD30" i="16"/>
  <c r="DF397" i="16"/>
  <c r="F13" i="31"/>
  <c r="E31" i="32"/>
  <c r="BV338" i="16"/>
  <c r="CW339" i="16" s="1"/>
  <c r="E68" i="23"/>
  <c r="E65" i="32"/>
  <c r="BP317" i="16"/>
  <c r="BX317" i="16"/>
  <c r="CY318" i="16" s="1"/>
  <c r="CL317" i="16"/>
  <c r="CL383" i="16"/>
  <c r="BX383" i="16"/>
  <c r="CY384" i="16" s="1"/>
  <c r="BP383" i="16"/>
  <c r="CU251" i="16"/>
  <c r="BT251" i="16"/>
  <c r="E61" i="32"/>
  <c r="CJ98" i="16"/>
  <c r="BN98" i="16"/>
  <c r="E40" i="32"/>
  <c r="F55" i="32"/>
  <c r="C17" i="32"/>
  <c r="D15" i="32"/>
  <c r="E18" i="32"/>
  <c r="E38" i="32"/>
  <c r="AL31" i="16"/>
  <c r="BF31" i="16" s="1"/>
  <c r="CP32" i="16" s="1"/>
  <c r="F58" i="32"/>
  <c r="E32" i="32"/>
  <c r="D30" i="32"/>
  <c r="H12" i="13"/>
  <c r="H3" i="13"/>
  <c r="H6" i="18" s="1"/>
  <c r="F56" i="32"/>
  <c r="AE54" i="16"/>
  <c r="AY54" i="16" s="1"/>
  <c r="BV31" i="16"/>
  <c r="CW32" i="16" s="1"/>
  <c r="E5" i="32"/>
  <c r="D10" i="32"/>
  <c r="CY207" i="16"/>
  <c r="BX207" i="16"/>
  <c r="E64" i="32"/>
  <c r="AE31" i="16"/>
  <c r="AY31" i="16" s="1"/>
  <c r="E13" i="32"/>
  <c r="E12" i="32"/>
  <c r="D37" i="32"/>
  <c r="DF351" i="16"/>
  <c r="G6" i="18"/>
  <c r="G8" i="25"/>
  <c r="G8" i="27" s="1"/>
  <c r="DB374" i="16"/>
  <c r="E7" i="32"/>
  <c r="F8" i="32"/>
  <c r="D14" i="32"/>
  <c r="D4" i="32"/>
  <c r="D39" i="32"/>
  <c r="DF168" i="16"/>
  <c r="DE374" i="16"/>
  <c r="DJ30" i="16"/>
  <c r="G3" i="31"/>
  <c r="F58" i="31"/>
  <c r="E34" i="31"/>
  <c r="CX294" i="16"/>
  <c r="BW294" i="16"/>
  <c r="BW404" i="16"/>
  <c r="CX404" i="16"/>
  <c r="CK339" i="16"/>
  <c r="BO339" i="16"/>
  <c r="CK162" i="16"/>
  <c r="BV162" i="16"/>
  <c r="CW163" i="16" s="1"/>
  <c r="BO162" i="16"/>
  <c r="CU405" i="16"/>
  <c r="BT405" i="16"/>
  <c r="DG53" i="16"/>
  <c r="AD31" i="16"/>
  <c r="AX31" i="16" s="1"/>
  <c r="AJ31" i="16"/>
  <c r="BD31" i="16" s="1"/>
  <c r="AA31" i="16"/>
  <c r="AU31" i="16" s="1"/>
  <c r="CD32" i="16" s="1"/>
  <c r="F47" i="31"/>
  <c r="DE30" i="16"/>
  <c r="F43" i="31"/>
  <c r="F61" i="31"/>
  <c r="AM54" i="16"/>
  <c r="BG54" i="16" s="1"/>
  <c r="CQ55" i="16" s="1"/>
  <c r="AH54" i="16"/>
  <c r="BB54" i="16" s="1"/>
  <c r="F30" i="31"/>
  <c r="DI6" i="16"/>
  <c r="DD53" i="16"/>
  <c r="DB397" i="16"/>
  <c r="AK31" i="16"/>
  <c r="BE31" i="16" s="1"/>
  <c r="Y31" i="16"/>
  <c r="AM31" i="16"/>
  <c r="BG31" i="16" s="1"/>
  <c r="CQ32" i="16" s="1"/>
  <c r="AH31" i="16"/>
  <c r="BB31" i="16" s="1"/>
  <c r="BU31" i="16"/>
  <c r="CV32" i="16" s="1"/>
  <c r="F55" i="31"/>
  <c r="CU447" i="16"/>
  <c r="F64" i="20" s="1"/>
  <c r="F67" i="23" s="1"/>
  <c r="CX447" i="16"/>
  <c r="F67" i="20" s="1"/>
  <c r="F70" i="23" s="1"/>
  <c r="DG30" i="16"/>
  <c r="H7" i="31"/>
  <c r="F56" i="31"/>
  <c r="E69" i="31"/>
  <c r="CD54" i="16"/>
  <c r="AF54" i="16"/>
  <c r="AZ54" i="16" s="1"/>
  <c r="CH55" i="16" s="1"/>
  <c r="AJ54" i="16"/>
  <c r="BD54" i="16" s="1"/>
  <c r="AK54" i="16"/>
  <c r="BE54" i="16" s="1"/>
  <c r="CO55" i="16" s="1"/>
  <c r="F17" i="31"/>
  <c r="E21" i="31"/>
  <c r="D35" i="31"/>
  <c r="BM31" i="16"/>
  <c r="CI32" i="16" s="1"/>
  <c r="E59" i="31"/>
  <c r="E67" i="21"/>
  <c r="CR361" i="16"/>
  <c r="CW119" i="16"/>
  <c r="BV119" i="16"/>
  <c r="BT294" i="16"/>
  <c r="CU294" i="16"/>
  <c r="DJ53" i="16"/>
  <c r="D70" i="31"/>
  <c r="CV250" i="16"/>
  <c r="BU250" i="16"/>
  <c r="BN294" i="16"/>
  <c r="CJ294" i="16"/>
  <c r="BR294" i="16"/>
  <c r="CS295" i="16" s="1"/>
  <c r="CX141" i="16"/>
  <c r="BW141" i="16"/>
  <c r="BN206" i="16"/>
  <c r="BR206" i="16"/>
  <c r="CS207" i="16" s="1"/>
  <c r="CJ206" i="16"/>
  <c r="BX163" i="16"/>
  <c r="CY164" i="16" s="1"/>
  <c r="BP163" i="16"/>
  <c r="CL163" i="16"/>
  <c r="BO184" i="16"/>
  <c r="CK184" i="16"/>
  <c r="BV184" i="16"/>
  <c r="CW185" i="16" s="1"/>
  <c r="CX185" i="16"/>
  <c r="BW185" i="16"/>
  <c r="BV272" i="16"/>
  <c r="CW273" i="16" s="1"/>
  <c r="CS75" i="16"/>
  <c r="BR75" i="16"/>
  <c r="F38" i="31"/>
  <c r="D14" i="31"/>
  <c r="F66" i="18"/>
  <c r="F63" i="31"/>
  <c r="CU98" i="16"/>
  <c r="BT98" i="16"/>
  <c r="BT382" i="16"/>
  <c r="CU382" i="16"/>
  <c r="BW250" i="16"/>
  <c r="CX250" i="16"/>
  <c r="BX405" i="16"/>
  <c r="CY406" i="16" s="1"/>
  <c r="BP405" i="16"/>
  <c r="CL405" i="16"/>
  <c r="DE53" i="16"/>
  <c r="AB31" i="16"/>
  <c r="AV31" i="16" s="1"/>
  <c r="AI31" i="16"/>
  <c r="BC31" i="16" s="1"/>
  <c r="F37" i="31"/>
  <c r="DD397" i="16"/>
  <c r="D57" i="29"/>
  <c r="AO54" i="16"/>
  <c r="BI54" i="16" s="1"/>
  <c r="AG54" i="16"/>
  <c r="BA54" i="16" s="1"/>
  <c r="AI54" i="16"/>
  <c r="BC54" i="16" s="1"/>
  <c r="CM55" i="16" s="1"/>
  <c r="BW31" i="16"/>
  <c r="CX32" i="16" s="1"/>
  <c r="D15" i="31"/>
  <c r="D53" i="31"/>
  <c r="CQ54" i="16"/>
  <c r="F64" i="31"/>
  <c r="CX228" i="16"/>
  <c r="BW228" i="16"/>
  <c r="CV76" i="16"/>
  <c r="BU76" i="16"/>
  <c r="CV163" i="16"/>
  <c r="BU163" i="16"/>
  <c r="BO250" i="16"/>
  <c r="CK250" i="16"/>
  <c r="BV250" i="16"/>
  <c r="CW251" i="16" s="1"/>
  <c r="BP209" i="16"/>
  <c r="CL209" i="16"/>
  <c r="CX338" i="16"/>
  <c r="BW338" i="16"/>
  <c r="BM338" i="16"/>
  <c r="CI338" i="16"/>
  <c r="BS338" i="16"/>
  <c r="CT339" i="16" s="1"/>
  <c r="CX383" i="16"/>
  <c r="BW383" i="16"/>
  <c r="BO273" i="16"/>
  <c r="CK273" i="16"/>
  <c r="BT426" i="16"/>
  <c r="CU426" i="16"/>
  <c r="CJ382" i="16"/>
  <c r="BR382" i="16"/>
  <c r="CS383" i="16" s="1"/>
  <c r="BN382" i="16"/>
  <c r="AO31" i="16"/>
  <c r="BI31" i="16" s="1"/>
  <c r="AF31" i="16"/>
  <c r="AZ31" i="16" s="1"/>
  <c r="BP32" i="16" s="1"/>
  <c r="AN31" i="16"/>
  <c r="BH31" i="16" s="1"/>
  <c r="Z31" i="16"/>
  <c r="AT31" i="16" s="1"/>
  <c r="CC32" i="16" s="1"/>
  <c r="DG397" i="16"/>
  <c r="D15" i="29"/>
  <c r="E51" i="31"/>
  <c r="AA54" i="16"/>
  <c r="AU54" i="16" s="1"/>
  <c r="CD55" i="16" s="1"/>
  <c r="Y54" i="16"/>
  <c r="AS54" i="16" s="1"/>
  <c r="AL54" i="16"/>
  <c r="BF54" i="16" s="1"/>
  <c r="AC54" i="16"/>
  <c r="AW54" i="16" s="1"/>
  <c r="CE55" i="16" s="1"/>
  <c r="D23" i="31"/>
  <c r="F45" i="31"/>
  <c r="E41" i="13"/>
  <c r="E24" i="25" s="1"/>
  <c r="DC397" i="16"/>
  <c r="E49" i="31"/>
  <c r="DB259" i="16"/>
  <c r="E52" i="13"/>
  <c r="E55" i="18" s="1"/>
  <c r="F68" i="18"/>
  <c r="F65" i="31"/>
  <c r="CV360" i="16"/>
  <c r="BU360" i="16"/>
  <c r="CU162" i="16"/>
  <c r="BT162" i="16"/>
  <c r="CV338" i="16"/>
  <c r="BU338" i="16"/>
  <c r="CL273" i="16"/>
  <c r="BP273" i="16"/>
  <c r="BX273" i="16"/>
  <c r="CY274" i="16" s="1"/>
  <c r="BU427" i="16"/>
  <c r="CV427" i="16"/>
  <c r="CU228" i="16"/>
  <c r="BT228" i="16"/>
  <c r="BU317" i="16"/>
  <c r="CV317" i="16"/>
  <c r="CL362" i="16"/>
  <c r="BX362" i="16"/>
  <c r="CY363" i="16" s="1"/>
  <c r="BP362" i="16"/>
  <c r="AJ237" i="16"/>
  <c r="BD237" i="16" s="1"/>
  <c r="E57" i="27"/>
  <c r="E57" i="29"/>
  <c r="BW317" i="16"/>
  <c r="CX317" i="16"/>
  <c r="BO447" i="16"/>
  <c r="F19" i="20" s="1"/>
  <c r="BV8" i="16"/>
  <c r="CK8" i="16"/>
  <c r="F58" i="21"/>
  <c r="F57" i="17"/>
  <c r="F57" i="28" s="1"/>
  <c r="F58" i="23"/>
  <c r="DD351" i="16"/>
  <c r="CG352" i="16"/>
  <c r="E51" i="28"/>
  <c r="E51" i="29"/>
  <c r="CM306" i="16"/>
  <c r="F15" i="26"/>
  <c r="G56" i="10"/>
  <c r="G43" i="10"/>
  <c r="G38" i="10"/>
  <c r="CU53" i="16"/>
  <c r="BT53" i="16"/>
  <c r="C53" i="20"/>
  <c r="C53" i="33" s="1"/>
  <c r="C36" i="17"/>
  <c r="C54" i="23"/>
  <c r="C54" i="21"/>
  <c r="BM316" i="16"/>
  <c r="BS316" i="16"/>
  <c r="CT317" i="16" s="1"/>
  <c r="CI316" i="16"/>
  <c r="H44" i="25"/>
  <c r="H10" i="18"/>
  <c r="E4" i="20"/>
  <c r="E4" i="33" s="1"/>
  <c r="DB446" i="16"/>
  <c r="AM169" i="16"/>
  <c r="BG169" i="16" s="1"/>
  <c r="Y169" i="16"/>
  <c r="D32" i="27"/>
  <c r="D39" i="25"/>
  <c r="F33" i="18"/>
  <c r="CN329" i="16"/>
  <c r="E59" i="27"/>
  <c r="E59" i="29"/>
  <c r="DK374" i="16"/>
  <c r="DJ374" i="16"/>
  <c r="E43" i="23"/>
  <c r="E43" i="21"/>
  <c r="CQ169" i="16"/>
  <c r="CN283" i="16"/>
  <c r="CD352" i="16"/>
  <c r="AS351" i="16"/>
  <c r="AN352" i="16"/>
  <c r="BH352" i="16" s="1"/>
  <c r="E61" i="25"/>
  <c r="E62" i="18"/>
  <c r="BV98" i="16"/>
  <c r="CW99" i="16" s="1"/>
  <c r="CK98" i="16"/>
  <c r="BO98" i="16"/>
  <c r="AJ329" i="16"/>
  <c r="BD329" i="16" s="1"/>
  <c r="AC329" i="16"/>
  <c r="AW329" i="16" s="1"/>
  <c r="CE330" i="16" s="1"/>
  <c r="AY447" i="16"/>
  <c r="DD7" i="16"/>
  <c r="CG8" i="16"/>
  <c r="CG448" i="16" s="1"/>
  <c r="G27" i="20" s="1"/>
  <c r="BO8" i="16"/>
  <c r="CN306" i="16"/>
  <c r="AS282" i="16"/>
  <c r="AB283" i="16"/>
  <c r="AV283" i="16" s="1"/>
  <c r="CB214" i="16"/>
  <c r="E45" i="28"/>
  <c r="E45" i="29"/>
  <c r="DE168" i="16"/>
  <c r="CI163" i="16"/>
  <c r="BM163" i="16"/>
  <c r="CN191" i="16"/>
  <c r="CH214" i="16"/>
  <c r="BO141" i="16"/>
  <c r="CK141" i="16"/>
  <c r="DD328" i="16"/>
  <c r="CG329" i="16"/>
  <c r="F60" i="25"/>
  <c r="F61" i="18"/>
  <c r="F57" i="25"/>
  <c r="F58" i="18"/>
  <c r="CI251" i="16"/>
  <c r="BM251" i="16"/>
  <c r="E15" i="21"/>
  <c r="E9" i="17"/>
  <c r="E15" i="23"/>
  <c r="CH169" i="16"/>
  <c r="BQ207" i="16"/>
  <c r="CR207" i="16"/>
  <c r="CX75" i="16"/>
  <c r="BW75" i="16"/>
  <c r="BX447" i="16"/>
  <c r="F50" i="20" s="1"/>
  <c r="E20" i="20"/>
  <c r="E22" i="20" s="1"/>
  <c r="BS382" i="16"/>
  <c r="CT383" i="16" s="1"/>
  <c r="CI382" i="16"/>
  <c r="BM382" i="16"/>
  <c r="E52" i="23"/>
  <c r="E52" i="21"/>
  <c r="BT184" i="16"/>
  <c r="CU184" i="16"/>
  <c r="G61" i="10"/>
  <c r="F51" i="10"/>
  <c r="CV206" i="16"/>
  <c r="BU206" i="16"/>
  <c r="G61" i="13"/>
  <c r="F51" i="13"/>
  <c r="F46" i="18"/>
  <c r="D3" i="20"/>
  <c r="D3" i="33" s="1"/>
  <c r="DC445" i="16"/>
  <c r="AL169" i="16"/>
  <c r="BF169" i="16" s="1"/>
  <c r="AC169" i="16"/>
  <c r="AW169" i="16" s="1"/>
  <c r="CE170" i="16" s="1"/>
  <c r="D46" i="23"/>
  <c r="D46" i="21"/>
  <c r="E70" i="13"/>
  <c r="E62" i="25"/>
  <c r="E72" i="18"/>
  <c r="F64" i="18"/>
  <c r="DC53" i="16"/>
  <c r="CB54" i="16"/>
  <c r="CM191" i="16"/>
  <c r="D34" i="25"/>
  <c r="D26" i="18"/>
  <c r="BQ295" i="16"/>
  <c r="CR295" i="16"/>
  <c r="CQ237" i="16"/>
  <c r="D60" i="28"/>
  <c r="D60" i="29"/>
  <c r="CR163" i="16"/>
  <c r="BQ163" i="16"/>
  <c r="CK382" i="16"/>
  <c r="BV382" i="16"/>
  <c r="CW383" i="16" s="1"/>
  <c r="BO382" i="16"/>
  <c r="CC169" i="16"/>
  <c r="DB168" i="16"/>
  <c r="D52" i="28"/>
  <c r="D52" i="29"/>
  <c r="CQ283" i="16"/>
  <c r="DE351" i="16"/>
  <c r="CO352" i="16"/>
  <c r="C34" i="27"/>
  <c r="AH329" i="16"/>
  <c r="BB329" i="16" s="1"/>
  <c r="AD329" i="16"/>
  <c r="AX329" i="16" s="1"/>
  <c r="AI329" i="16"/>
  <c r="BC329" i="16" s="1"/>
  <c r="BS293" i="16"/>
  <c r="CT294" i="16" s="1"/>
  <c r="CI293" i="16"/>
  <c r="BM293" i="16"/>
  <c r="BR447" i="16"/>
  <c r="F44" i="20" s="1"/>
  <c r="F44" i="33" s="1"/>
  <c r="CS8" i="16"/>
  <c r="CS448" i="16" s="1"/>
  <c r="G62" i="20" s="1"/>
  <c r="G62" i="33" s="1"/>
  <c r="CB7" i="16"/>
  <c r="CB447" i="16" s="1"/>
  <c r="F7" i="20" s="1"/>
  <c r="F7" i="33" s="1"/>
  <c r="AS446" i="16"/>
  <c r="DC6" i="16"/>
  <c r="CQ8" i="16"/>
  <c r="CQ448" i="16" s="1"/>
  <c r="G59" i="20" s="1"/>
  <c r="BW8" i="16"/>
  <c r="BG447" i="16"/>
  <c r="F41" i="20" s="1"/>
  <c r="C16" i="17"/>
  <c r="C13" i="28"/>
  <c r="C13" i="29"/>
  <c r="CV273" i="16"/>
  <c r="BU273" i="16"/>
  <c r="E20" i="17"/>
  <c r="D27" i="17"/>
  <c r="CU119" i="16"/>
  <c r="BT119" i="16"/>
  <c r="I7" i="10"/>
  <c r="I3" i="10"/>
  <c r="H8" i="26"/>
  <c r="E51" i="23"/>
  <c r="E51" i="21"/>
  <c r="CU339" i="16"/>
  <c r="BT339" i="16"/>
  <c r="CO329" i="16"/>
  <c r="DE328" i="16"/>
  <c r="CP237" i="16"/>
  <c r="G65" i="13"/>
  <c r="F50" i="18"/>
  <c r="G43" i="13"/>
  <c r="F15" i="25"/>
  <c r="G56" i="13"/>
  <c r="F41" i="18"/>
  <c r="E10" i="27"/>
  <c r="E11" i="25"/>
  <c r="BU405" i="16"/>
  <c r="CV405" i="16"/>
  <c r="AE375" i="16"/>
  <c r="AY375" i="16" s="1"/>
  <c r="AH375" i="16"/>
  <c r="BB375" i="16" s="1"/>
  <c r="AD375" i="16"/>
  <c r="AX375" i="16" s="1"/>
  <c r="Y375" i="16"/>
  <c r="AS375" i="16" s="1"/>
  <c r="AB375" i="16"/>
  <c r="AV375" i="16" s="1"/>
  <c r="AJ375" i="16"/>
  <c r="BD375" i="16" s="1"/>
  <c r="AG375" i="16"/>
  <c r="BA375" i="16" s="1"/>
  <c r="AA375" i="16"/>
  <c r="AU375" i="16" s="1"/>
  <c r="AS374" i="16"/>
  <c r="AC375" i="16"/>
  <c r="AW375" i="16" s="1"/>
  <c r="AL375" i="16"/>
  <c r="BF375" i="16" s="1"/>
  <c r="AM375" i="16"/>
  <c r="BG375" i="16" s="1"/>
  <c r="AO375" i="16"/>
  <c r="BI375" i="16" s="1"/>
  <c r="AN375" i="16"/>
  <c r="BH375" i="16" s="1"/>
  <c r="Z375" i="16"/>
  <c r="AT375" i="16" s="1"/>
  <c r="AI375" i="16"/>
  <c r="BC375" i="16" s="1"/>
  <c r="AF375" i="16"/>
  <c r="AZ375" i="16" s="1"/>
  <c r="AK375" i="16"/>
  <c r="BE375" i="16" s="1"/>
  <c r="E46" i="28"/>
  <c r="E46" i="29"/>
  <c r="F52" i="17"/>
  <c r="E41" i="21"/>
  <c r="E15" i="17"/>
  <c r="E15" i="28" s="1"/>
  <c r="E41" i="23"/>
  <c r="DG446" i="16"/>
  <c r="E37" i="20"/>
  <c r="E37" i="33" s="1"/>
  <c r="DF446" i="16"/>
  <c r="F28" i="21"/>
  <c r="F50" i="17"/>
  <c r="F28" i="23"/>
  <c r="BT142" i="16"/>
  <c r="CU142" i="16"/>
  <c r="AJ306" i="16"/>
  <c r="BD306" i="16" s="1"/>
  <c r="AS305" i="16"/>
  <c r="E36" i="26"/>
  <c r="E39" i="26" s="1"/>
  <c r="E53" i="10"/>
  <c r="CD169" i="16"/>
  <c r="BN122" i="16"/>
  <c r="BM140" i="16"/>
  <c r="CI140" i="16"/>
  <c r="BS140" i="16"/>
  <c r="CT141" i="16" s="1"/>
  <c r="CI361" i="16"/>
  <c r="BM361" i="16"/>
  <c r="DJ7" i="16"/>
  <c r="AS259" i="16"/>
  <c r="C26" i="17"/>
  <c r="C21" i="17"/>
  <c r="C19" i="28"/>
  <c r="C19" i="29"/>
  <c r="BW362" i="16"/>
  <c r="CX362" i="16"/>
  <c r="BX99" i="16"/>
  <c r="CY100" i="16" s="1"/>
  <c r="CL99" i="16"/>
  <c r="BP99" i="16"/>
  <c r="CJ184" i="16"/>
  <c r="BR184" i="16"/>
  <c r="CS185" i="16" s="1"/>
  <c r="BN184" i="16"/>
  <c r="CT6" i="16"/>
  <c r="CT446" i="16" s="1"/>
  <c r="E63" i="20" s="1"/>
  <c r="E63" i="33" s="1"/>
  <c r="BS445" i="16"/>
  <c r="D45" i="20" s="1"/>
  <c r="D45" i="33" s="1"/>
  <c r="BM228" i="16"/>
  <c r="BS228" i="16"/>
  <c r="CT229" i="16" s="1"/>
  <c r="CI228" i="16"/>
  <c r="CD283" i="16"/>
  <c r="D16" i="27"/>
  <c r="C10" i="28"/>
  <c r="C10" i="29"/>
  <c r="CR141" i="16"/>
  <c r="BQ141" i="16"/>
  <c r="E44" i="17"/>
  <c r="E10" i="21"/>
  <c r="E10" i="20"/>
  <c r="E10" i="33" s="1"/>
  <c r="E10" i="23"/>
  <c r="F11" i="23"/>
  <c r="F45" i="17"/>
  <c r="F11" i="21"/>
  <c r="E50" i="21"/>
  <c r="E50" i="23"/>
  <c r="E47" i="23"/>
  <c r="E47" i="21"/>
  <c r="BW273" i="16"/>
  <c r="CX273" i="16"/>
  <c r="AE169" i="16"/>
  <c r="AY169" i="16" s="1"/>
  <c r="Z169" i="16"/>
  <c r="AT169" i="16" s="1"/>
  <c r="AH169" i="16"/>
  <c r="BB169" i="16" s="1"/>
  <c r="CB169" i="16"/>
  <c r="DC168" i="16"/>
  <c r="AI169" i="16"/>
  <c r="BC169" i="16" s="1"/>
  <c r="CI273" i="16"/>
  <c r="BM273" i="16"/>
  <c r="BQ183" i="16"/>
  <c r="BQ447" i="16" s="1"/>
  <c r="F43" i="20" s="1"/>
  <c r="F43" i="33" s="1"/>
  <c r="CR183" i="16"/>
  <c r="CR447" i="16" s="1"/>
  <c r="F61" i="20" s="1"/>
  <c r="F61" i="32" s="1"/>
  <c r="CR75" i="16"/>
  <c r="BQ75" i="16"/>
  <c r="E36" i="25"/>
  <c r="E54" i="18"/>
  <c r="CG260" i="16"/>
  <c r="D9" i="28"/>
  <c r="D9" i="29"/>
  <c r="F21" i="13"/>
  <c r="G30" i="13"/>
  <c r="G45" i="13"/>
  <c r="F20" i="18"/>
  <c r="G17" i="13"/>
  <c r="E32" i="25"/>
  <c r="E24" i="18"/>
  <c r="BO206" i="16"/>
  <c r="CK206" i="16"/>
  <c r="BV206" i="16"/>
  <c r="CW207" i="16" s="1"/>
  <c r="CP329" i="16"/>
  <c r="CH237" i="16"/>
  <c r="CW8" i="16"/>
  <c r="BV447" i="16"/>
  <c r="F48" i="20" s="1"/>
  <c r="CB100" i="16"/>
  <c r="DC99" i="16"/>
  <c r="CF375" i="16"/>
  <c r="CU8" i="16"/>
  <c r="BT447" i="16"/>
  <c r="F46" i="20" s="1"/>
  <c r="BW447" i="16"/>
  <c r="F49" i="20" s="1"/>
  <c r="CX8" i="16"/>
  <c r="CR251" i="16"/>
  <c r="BQ251" i="16"/>
  <c r="DE397" i="16"/>
  <c r="D62" i="17"/>
  <c r="D70" i="20"/>
  <c r="D72" i="23"/>
  <c r="D72" i="21"/>
  <c r="CO283" i="16"/>
  <c r="D20" i="25"/>
  <c r="E20" i="13"/>
  <c r="E28" i="13"/>
  <c r="D18" i="18"/>
  <c r="D24" i="27"/>
  <c r="D24" i="29"/>
  <c r="BT273" i="16"/>
  <c r="CU273" i="16"/>
  <c r="D7" i="23"/>
  <c r="D13" i="17"/>
  <c r="D7" i="21"/>
  <c r="AL329" i="16"/>
  <c r="BF329" i="16" s="1"/>
  <c r="Y329" i="16"/>
  <c r="AO329" i="16"/>
  <c r="BI329" i="16" s="1"/>
  <c r="AB329" i="16"/>
  <c r="AV329" i="16" s="1"/>
  <c r="DH445" i="16"/>
  <c r="CJ447" i="16"/>
  <c r="F31" i="20" s="1"/>
  <c r="F31" i="33" s="1"/>
  <c r="CO8" i="16"/>
  <c r="CO448" i="16" s="1"/>
  <c r="G57" i="20" s="1"/>
  <c r="DE7" i="16"/>
  <c r="BT8" i="16"/>
  <c r="BE447" i="16"/>
  <c r="BF447" i="16"/>
  <c r="F40" i="20" s="1"/>
  <c r="CP8" i="16"/>
  <c r="CP448" i="16" s="1"/>
  <c r="G58" i="20" s="1"/>
  <c r="BU8" i="16"/>
  <c r="AW447" i="16"/>
  <c r="F12" i="20" s="1"/>
  <c r="F12" i="33" s="1"/>
  <c r="CE8" i="16"/>
  <c r="CE448" i="16" s="1"/>
  <c r="G25" i="20" s="1"/>
  <c r="G25" i="33" s="1"/>
  <c r="DG7" i="16"/>
  <c r="DF7" i="16"/>
  <c r="CM8" i="16"/>
  <c r="CM448" i="16" s="1"/>
  <c r="G55" i="20" s="1"/>
  <c r="G55" i="33" s="1"/>
  <c r="BC447" i="16"/>
  <c r="E60" i="29"/>
  <c r="E60" i="27"/>
  <c r="F65" i="23"/>
  <c r="F65" i="21"/>
  <c r="CK76" i="16"/>
  <c r="BO76" i="16"/>
  <c r="CI99" i="16"/>
  <c r="BM99" i="16"/>
  <c r="F12" i="23"/>
  <c r="F12" i="21"/>
  <c r="F46" i="17"/>
  <c r="BP447" i="16"/>
  <c r="BX8" i="16"/>
  <c r="CY9" i="16" s="1"/>
  <c r="CL8" i="16"/>
  <c r="CL448" i="16" s="1"/>
  <c r="G33" i="20" s="1"/>
  <c r="E19" i="10"/>
  <c r="E19" i="33" s="1"/>
  <c r="E27" i="10"/>
  <c r="E27" i="33" s="1"/>
  <c r="D19" i="26"/>
  <c r="E15" i="10"/>
  <c r="E15" i="33" s="1"/>
  <c r="E14" i="10"/>
  <c r="D6" i="26"/>
  <c r="CV120" i="16"/>
  <c r="BU120" i="16"/>
  <c r="BN360" i="16"/>
  <c r="CJ360" i="16"/>
  <c r="BR360" i="16"/>
  <c r="CS361" i="16" s="1"/>
  <c r="E50" i="28"/>
  <c r="E50" i="29"/>
  <c r="CB31" i="16"/>
  <c r="DC30" i="16"/>
  <c r="CV382" i="16"/>
  <c r="BU382" i="16"/>
  <c r="D37" i="17"/>
  <c r="D37" i="28" s="1"/>
  <c r="D55" i="21"/>
  <c r="D55" i="23"/>
  <c r="E14" i="17"/>
  <c r="E16" i="21"/>
  <c r="E16" i="23"/>
  <c r="F58" i="17"/>
  <c r="F59" i="21"/>
  <c r="F59" i="23"/>
  <c r="BQ317" i="16"/>
  <c r="CR317" i="16"/>
  <c r="DE305" i="16"/>
  <c r="CO306" i="16"/>
  <c r="DD168" i="16"/>
  <c r="CG169" i="16"/>
  <c r="CF352" i="16"/>
  <c r="AS123" i="16"/>
  <c r="E35" i="23"/>
  <c r="E35" i="21"/>
  <c r="D25" i="27"/>
  <c r="C21" i="20"/>
  <c r="C21" i="33" s="1"/>
  <c r="C20" i="21"/>
  <c r="C76" i="21" s="1"/>
  <c r="C78" i="21" s="1"/>
  <c r="C20" i="23"/>
  <c r="C76" i="23" s="1"/>
  <c r="C78" i="23" s="1"/>
  <c r="BX141" i="16"/>
  <c r="CY142" i="16" s="1"/>
  <c r="BP141" i="16"/>
  <c r="CL141" i="16"/>
  <c r="E15" i="27"/>
  <c r="E16" i="25"/>
  <c r="CL187" i="16"/>
  <c r="BP187" i="16"/>
  <c r="CK294" i="16"/>
  <c r="BV294" i="16"/>
  <c r="CW295" i="16" s="1"/>
  <c r="BO294" i="16"/>
  <c r="AO169" i="16"/>
  <c r="BI169" i="16" s="1"/>
  <c r="AJ169" i="16"/>
  <c r="BD169" i="16" s="1"/>
  <c r="BX340" i="16"/>
  <c r="CY341" i="16" s="1"/>
  <c r="BP340" i="16"/>
  <c r="CL340" i="16"/>
  <c r="CD214" i="16"/>
  <c r="BQ273" i="16"/>
  <c r="CR273" i="16"/>
  <c r="G44" i="27"/>
  <c r="CK447" i="16"/>
  <c r="F32" i="20" s="1"/>
  <c r="E39" i="20"/>
  <c r="DE446" i="16"/>
  <c r="F61" i="17"/>
  <c r="CF169" i="16"/>
  <c r="D48" i="27"/>
  <c r="BR316" i="16"/>
  <c r="CS317" i="16" s="1"/>
  <c r="BN316" i="16"/>
  <c r="CJ316" i="16"/>
  <c r="CF260" i="16"/>
  <c r="CR119" i="16"/>
  <c r="BQ119" i="16"/>
  <c r="AA329" i="16"/>
  <c r="AU329" i="16" s="1"/>
  <c r="Z329" i="16"/>
  <c r="AT329" i="16" s="1"/>
  <c r="DC328" i="16"/>
  <c r="CB329" i="16"/>
  <c r="E21" i="21"/>
  <c r="E21" i="23"/>
  <c r="CD8" i="16"/>
  <c r="CD448" i="16" s="1"/>
  <c r="G9" i="20" s="1"/>
  <c r="BN8" i="16"/>
  <c r="AU447" i="16"/>
  <c r="F5" i="20" s="1"/>
  <c r="F5" i="33" s="1"/>
  <c r="AV447" i="16"/>
  <c r="DJ447" i="16" s="1"/>
  <c r="AA8" i="16"/>
  <c r="AU8" i="16" s="1"/>
  <c r="AD8" i="16"/>
  <c r="AX8" i="16" s="1"/>
  <c r="AK8" i="16"/>
  <c r="BE8" i="16" s="1"/>
  <c r="AG8" i="16"/>
  <c r="BA8" i="16" s="1"/>
  <c r="BA448" i="16" s="1"/>
  <c r="AS7" i="16"/>
  <c r="AE8" i="16"/>
  <c r="AY8" i="16" s="1"/>
  <c r="AL8" i="16"/>
  <c r="BF8" i="16" s="1"/>
  <c r="AH8" i="16"/>
  <c r="BB8" i="16" s="1"/>
  <c r="BB448" i="16" s="1"/>
  <c r="Z8" i="16"/>
  <c r="AT8" i="16" s="1"/>
  <c r="AJ8" i="16"/>
  <c r="BD8" i="16" s="1"/>
  <c r="AB8" i="16"/>
  <c r="AV8" i="16" s="1"/>
  <c r="Y8" i="16"/>
  <c r="AF8" i="16"/>
  <c r="AZ8" i="16" s="1"/>
  <c r="AC8" i="16"/>
  <c r="AW8" i="16" s="1"/>
  <c r="AI8" i="16"/>
  <c r="BC8" i="16" s="1"/>
  <c r="AM8" i="16"/>
  <c r="BG8" i="16" s="1"/>
  <c r="AN8" i="16"/>
  <c r="BH8" i="16" s="1"/>
  <c r="BH448" i="16" s="1"/>
  <c r="AO8" i="16"/>
  <c r="BI8" i="16" s="1"/>
  <c r="BI448" i="16" s="1"/>
  <c r="D50" i="28"/>
  <c r="D50" i="29"/>
  <c r="CV294" i="16"/>
  <c r="BU294" i="16"/>
  <c r="D23" i="17"/>
  <c r="D42" i="23"/>
  <c r="D42" i="21"/>
  <c r="BX32" i="16"/>
  <c r="CY33" i="16" s="1"/>
  <c r="CL32" i="16"/>
  <c r="BR8" i="16"/>
  <c r="BN447" i="16"/>
  <c r="F18" i="20" s="1"/>
  <c r="F18" i="33" s="1"/>
  <c r="CJ8" i="16"/>
  <c r="BW427" i="16"/>
  <c r="CX427" i="16"/>
  <c r="H44" i="26"/>
  <c r="DD374" i="16"/>
  <c r="CG375" i="16"/>
  <c r="E14" i="20"/>
  <c r="DD446" i="16"/>
  <c r="BM205" i="16"/>
  <c r="BS205" i="16"/>
  <c r="CT206" i="16" s="1"/>
  <c r="CI205" i="16"/>
  <c r="DK397" i="16"/>
  <c r="DJ397" i="16"/>
  <c r="D37" i="27"/>
  <c r="CR53" i="16"/>
  <c r="BQ53" i="16"/>
  <c r="CR383" i="16"/>
  <c r="BQ383" i="16"/>
  <c r="DJ446" i="16"/>
  <c r="D34" i="20"/>
  <c r="D34" i="33" s="1"/>
  <c r="D33" i="21"/>
  <c r="D33" i="23"/>
  <c r="CQ352" i="16"/>
  <c r="C11" i="17"/>
  <c r="C8" i="28"/>
  <c r="C8" i="29"/>
  <c r="BN427" i="16"/>
  <c r="CJ427" i="16"/>
  <c r="D40" i="25"/>
  <c r="CB191" i="16"/>
  <c r="BO405" i="16"/>
  <c r="BQ229" i="16"/>
  <c r="CR229" i="16"/>
  <c r="AN169" i="16"/>
  <c r="BH169" i="16" s="1"/>
  <c r="AD169" i="16"/>
  <c r="AX169" i="16" s="1"/>
  <c r="DB282" i="16"/>
  <c r="G63" i="13"/>
  <c r="F48" i="18"/>
  <c r="D53" i="27"/>
  <c r="CF329" i="16"/>
  <c r="E46" i="21"/>
  <c r="E46" i="23"/>
  <c r="CN375" i="16"/>
  <c r="D30" i="28"/>
  <c r="D30" i="29"/>
  <c r="BU447" i="16"/>
  <c r="F47" i="20" s="1"/>
  <c r="F47" i="33" s="1"/>
  <c r="CV8" i="16"/>
  <c r="CR339" i="16"/>
  <c r="BQ339" i="16"/>
  <c r="E27" i="13"/>
  <c r="E15" i="13"/>
  <c r="D19" i="25"/>
  <c r="E19" i="13"/>
  <c r="D17" i="18"/>
  <c r="D6" i="25"/>
  <c r="E14" i="13"/>
  <c r="AM329" i="16"/>
  <c r="BG329" i="16" s="1"/>
  <c r="AG329" i="16"/>
  <c r="BA329" i="16" s="1"/>
  <c r="BD447" i="16"/>
  <c r="F38" i="20" s="1"/>
  <c r="F38" i="33" s="1"/>
  <c r="CN8" i="16"/>
  <c r="CN448" i="16" s="1"/>
  <c r="G56" i="20" s="1"/>
  <c r="BQ8" i="16"/>
  <c r="D36" i="27"/>
  <c r="C25" i="17"/>
  <c r="C23" i="28"/>
  <c r="C23" i="29"/>
  <c r="CR98" i="16"/>
  <c r="BQ98" i="16"/>
  <c r="DF328" i="16"/>
  <c r="E28" i="10"/>
  <c r="D20" i="26"/>
  <c r="D27" i="26" s="1"/>
  <c r="E20" i="10"/>
  <c r="CU318" i="16"/>
  <c r="BT318" i="16"/>
  <c r="CX163" i="16"/>
  <c r="BW163" i="16"/>
  <c r="CQ260" i="16"/>
  <c r="DF213" i="16"/>
  <c r="CM214" i="16"/>
  <c r="DG213" i="16"/>
  <c r="CQ329" i="16"/>
  <c r="CC237" i="16"/>
  <c r="G55" i="13"/>
  <c r="F10" i="25"/>
  <c r="F40" i="18"/>
  <c r="G37" i="13"/>
  <c r="G38" i="13"/>
  <c r="E62" i="21"/>
  <c r="CD375" i="16"/>
  <c r="F51" i="17"/>
  <c r="F29" i="23"/>
  <c r="F29" i="21"/>
  <c r="DH6" i="16"/>
  <c r="CR8" i="16"/>
  <c r="D40" i="21"/>
  <c r="D10" i="17"/>
  <c r="D40" i="23"/>
  <c r="BW207" i="16"/>
  <c r="CX207" i="16"/>
  <c r="BR140" i="16"/>
  <c r="CS141" i="16" s="1"/>
  <c r="CJ140" i="16"/>
  <c r="BN140" i="16"/>
  <c r="CR427" i="16"/>
  <c r="BQ427" i="16"/>
  <c r="DJ282" i="16"/>
  <c r="DK282" i="16"/>
  <c r="E70" i="10"/>
  <c r="E62" i="26"/>
  <c r="CJ272" i="16"/>
  <c r="BN272" i="16"/>
  <c r="BR272" i="16"/>
  <c r="CS273" i="16" s="1"/>
  <c r="E58" i="27"/>
  <c r="E58" i="29"/>
  <c r="E52" i="20"/>
  <c r="E52" i="33" s="1"/>
  <c r="E49" i="23"/>
  <c r="E49" i="21"/>
  <c r="DC122" i="16"/>
  <c r="CB123" i="16"/>
  <c r="CJ404" i="16"/>
  <c r="BN404" i="16"/>
  <c r="BR404" i="16"/>
  <c r="CS405" i="16" s="1"/>
  <c r="DF259" i="16"/>
  <c r="CM260" i="16"/>
  <c r="BS75" i="16"/>
  <c r="CT76" i="16" s="1"/>
  <c r="CI75" i="16"/>
  <c r="BM75" i="16"/>
  <c r="CJ339" i="16"/>
  <c r="BN339" i="16"/>
  <c r="DJ305" i="16"/>
  <c r="DK305" i="16"/>
  <c r="BM445" i="16"/>
  <c r="D17" i="20" s="1"/>
  <c r="D17" i="33" s="1"/>
  <c r="BS6" i="16"/>
  <c r="CI6" i="16"/>
  <c r="CI446" i="16" s="1"/>
  <c r="E30" i="20" s="1"/>
  <c r="E30" i="33" s="1"/>
  <c r="BM6" i="16"/>
  <c r="DG168" i="16"/>
  <c r="BM404" i="16"/>
  <c r="BS404" i="16"/>
  <c r="CT405" i="16" s="1"/>
  <c r="CI404" i="16"/>
  <c r="BV361" i="16"/>
  <c r="CW362" i="16" s="1"/>
  <c r="CK361" i="16"/>
  <c r="BO361" i="16"/>
  <c r="D11" i="27"/>
  <c r="F58" i="25"/>
  <c r="F59" i="18"/>
  <c r="CV447" i="16"/>
  <c r="F65" i="20" s="1"/>
  <c r="F65" i="32" s="1"/>
  <c r="AK169" i="16"/>
  <c r="BE169" i="16" s="1"/>
  <c r="AB169" i="16"/>
  <c r="AV169" i="16" s="1"/>
  <c r="AG169" i="16"/>
  <c r="BA169" i="16" s="1"/>
  <c r="AF169" i="16"/>
  <c r="AZ169" i="16" s="1"/>
  <c r="AA169" i="16"/>
  <c r="AU169" i="16" s="1"/>
  <c r="E64" i="23"/>
  <c r="E64" i="21"/>
  <c r="CK122" i="16"/>
  <c r="BO122" i="16"/>
  <c r="C41" i="25"/>
  <c r="C39" i="27"/>
  <c r="DK190" i="16"/>
  <c r="CO260" i="16"/>
  <c r="CG214" i="16"/>
  <c r="CN214" i="16"/>
  <c r="D54" i="25"/>
  <c r="D38" i="18"/>
  <c r="DJ328" i="16"/>
  <c r="DK328" i="16"/>
  <c r="DG236" i="16"/>
  <c r="CM237" i="16"/>
  <c r="CP375" i="16"/>
  <c r="F59" i="17"/>
  <c r="F60" i="17"/>
  <c r="F60" i="28" s="1"/>
  <c r="F61" i="23"/>
  <c r="F61" i="21"/>
  <c r="E24" i="17"/>
  <c r="BU140" i="16"/>
  <c r="CV140" i="16"/>
  <c r="CK428" i="16"/>
  <c r="BO428" i="16"/>
  <c r="C6" i="27"/>
  <c r="D14" i="28"/>
  <c r="D14" i="29"/>
  <c r="F67" i="13"/>
  <c r="F69" i="13" s="1"/>
  <c r="E52" i="18"/>
  <c r="BS185" i="16"/>
  <c r="CT186" i="16" s="1"/>
  <c r="BM185" i="16"/>
  <c r="BN228" i="16"/>
  <c r="BR228" i="16"/>
  <c r="CS229" i="16" s="1"/>
  <c r="CJ228" i="16"/>
  <c r="CL120" i="16"/>
  <c r="BX120" i="16"/>
  <c r="CY121" i="16" s="1"/>
  <c r="BP120" i="16"/>
  <c r="CV184" i="16"/>
  <c r="BU184" i="16"/>
  <c r="CB77" i="16"/>
  <c r="DC76" i="16"/>
  <c r="CM78" i="16"/>
  <c r="AN329" i="16"/>
  <c r="BH329" i="16" s="1"/>
  <c r="AE329" i="16"/>
  <c r="AY329" i="16" s="1"/>
  <c r="AF329" i="16"/>
  <c r="AZ329" i="16" s="1"/>
  <c r="AK329" i="16"/>
  <c r="BE329" i="16" s="1"/>
  <c r="DB328" i="16"/>
  <c r="D17" i="23"/>
  <c r="D19" i="17"/>
  <c r="D17" i="21"/>
  <c r="DG374" i="16"/>
  <c r="CF8" i="16"/>
  <c r="CF448" i="16" s="1"/>
  <c r="G26" i="20" s="1"/>
  <c r="AX447" i="16"/>
  <c r="F13" i="20" s="1"/>
  <c r="F13" i="33" s="1"/>
  <c r="AT447" i="16"/>
  <c r="DB7" i="16"/>
  <c r="CC8" i="16"/>
  <c r="CC448" i="16" s="1"/>
  <c r="G8" i="20" s="1"/>
  <c r="AZ447" i="16"/>
  <c r="F15" i="20" s="1"/>
  <c r="CH8" i="16"/>
  <c r="CH448" i="16" s="1"/>
  <c r="G28" i="20" s="1"/>
  <c r="BP8" i="16"/>
  <c r="D38" i="25"/>
  <c r="D56" i="18"/>
  <c r="E39" i="13"/>
  <c r="CC352" i="16"/>
  <c r="DB351" i="16"/>
  <c r="E53" i="25"/>
  <c r="E37" i="18"/>
  <c r="AG214" i="16"/>
  <c r="BA214" i="16" s="1"/>
  <c r="D33" i="17"/>
  <c r="D25" i="21"/>
  <c r="D25" i="23"/>
  <c r="DG328" i="16"/>
  <c r="F67" i="18"/>
  <c r="E8" i="23"/>
  <c r="E30" i="17"/>
  <c r="E8" i="21"/>
  <c r="D38" i="26"/>
  <c r="E41" i="10"/>
  <c r="E39" i="10"/>
  <c r="D18" i="21"/>
  <c r="D59" i="29"/>
  <c r="BC282" i="16" l="1"/>
  <c r="AO283" i="16"/>
  <c r="BI283" i="16" s="1"/>
  <c r="AH283" i="16"/>
  <c r="BB283" i="16" s="1"/>
  <c r="DJ283" i="16" s="1"/>
  <c r="Y283" i="16"/>
  <c r="AI284" i="16" s="1"/>
  <c r="BC284" i="16" s="1"/>
  <c r="DF190" i="16"/>
  <c r="DG190" i="16"/>
  <c r="BH305" i="16"/>
  <c r="AC306" i="16"/>
  <c r="AW306" i="16" s="1"/>
  <c r="CE307" i="16" s="1"/>
  <c r="BA190" i="16"/>
  <c r="AC191" i="16"/>
  <c r="AW191" i="16" s="1"/>
  <c r="CE192" i="16" s="1"/>
  <c r="CO214" i="16"/>
  <c r="DE213" i="16"/>
  <c r="DI213" i="16" s="1"/>
  <c r="BB351" i="16"/>
  <c r="AD352" i="16"/>
  <c r="AX352" i="16" s="1"/>
  <c r="AM352" i="16"/>
  <c r="BG352" i="16" s="1"/>
  <c r="AB352" i="16"/>
  <c r="AV352" i="16" s="1"/>
  <c r="DK352" i="16" s="1"/>
  <c r="AG352" i="16"/>
  <c r="BA352" i="16" s="1"/>
  <c r="AC352" i="16"/>
  <c r="AW352" i="16" s="1"/>
  <c r="CE353" i="16" s="1"/>
  <c r="AO352" i="16"/>
  <c r="BI352" i="16" s="1"/>
  <c r="AL352" i="16"/>
  <c r="BF352" i="16" s="1"/>
  <c r="AA352" i="16"/>
  <c r="AU352" i="16" s="1"/>
  <c r="Y352" i="16"/>
  <c r="AO353" i="16" s="1"/>
  <c r="BI353" i="16" s="1"/>
  <c r="AF352" i="16"/>
  <c r="AZ352" i="16" s="1"/>
  <c r="AI352" i="16"/>
  <c r="BC352" i="16" s="1"/>
  <c r="CM353" i="16" s="1"/>
  <c r="Z352" i="16"/>
  <c r="AT352" i="16" s="1"/>
  <c r="AE352" i="16"/>
  <c r="AY352" i="16" s="1"/>
  <c r="CG353" i="16" s="1"/>
  <c r="AH352" i="16"/>
  <c r="BB352" i="16" s="1"/>
  <c r="BB213" i="16"/>
  <c r="AL214" i="16"/>
  <c r="BF214" i="16" s="1"/>
  <c r="AE214" i="16"/>
  <c r="AY214" i="16" s="1"/>
  <c r="CP191" i="16"/>
  <c r="DD190" i="16"/>
  <c r="DH190" i="16" s="1"/>
  <c r="AU236" i="16"/>
  <c r="CD237" i="16" s="1"/>
  <c r="AL237" i="16"/>
  <c r="BF237" i="16" s="1"/>
  <c r="AC237" i="16"/>
  <c r="AW237" i="16" s="1"/>
  <c r="CE238" i="16" s="1"/>
  <c r="Z237" i="16"/>
  <c r="AT237" i="16" s="1"/>
  <c r="DB237" i="16" s="1"/>
  <c r="AD237" i="16"/>
  <c r="AX237" i="16" s="1"/>
  <c r="AA260" i="16"/>
  <c r="AU260" i="16" s="1"/>
  <c r="AK260" i="16"/>
  <c r="BE260" i="16" s="1"/>
  <c r="CO261" i="16" s="1"/>
  <c r="AE260" i="16"/>
  <c r="AY260" i="16" s="1"/>
  <c r="CG261" i="16" s="1"/>
  <c r="Z214" i="16"/>
  <c r="AT214" i="16" s="1"/>
  <c r="DD259" i="16"/>
  <c r="AK352" i="16"/>
  <c r="BE352" i="16" s="1"/>
  <c r="DD282" i="16"/>
  <c r="CT273" i="16"/>
  <c r="BS273" i="16"/>
  <c r="CT274" i="16" s="1"/>
  <c r="BW120" i="16"/>
  <c r="CX120" i="16"/>
  <c r="DG259" i="16"/>
  <c r="DD213" i="16"/>
  <c r="AB214" i="16"/>
  <c r="AV214" i="16" s="1"/>
  <c r="DK214" i="16" s="1"/>
  <c r="AF214" i="16"/>
  <c r="AZ214" i="16" s="1"/>
  <c r="CH215" i="16" s="1"/>
  <c r="AD214" i="16"/>
  <c r="AX214" i="16" s="1"/>
  <c r="AK283" i="16"/>
  <c r="BE283" i="16" s="1"/>
  <c r="DE283" i="16" s="1"/>
  <c r="AJ352" i="16"/>
  <c r="BD352" i="16" s="1"/>
  <c r="DB352" i="16" s="1"/>
  <c r="AI214" i="16"/>
  <c r="BC214" i="16" s="1"/>
  <c r="CM215" i="16" s="1"/>
  <c r="AD283" i="16"/>
  <c r="AX283" i="16" s="1"/>
  <c r="Y214" i="16"/>
  <c r="AK215" i="16" s="1"/>
  <c r="BE215" i="16" s="1"/>
  <c r="AC214" i="16"/>
  <c r="AW214" i="16" s="1"/>
  <c r="CE215" i="16" s="1"/>
  <c r="AN214" i="16"/>
  <c r="BH214" i="16" s="1"/>
  <c r="AJ214" i="16"/>
  <c r="BD214" i="16" s="1"/>
  <c r="AD191" i="16"/>
  <c r="AX191" i="16" s="1"/>
  <c r="AA306" i="16"/>
  <c r="AU306" i="16" s="1"/>
  <c r="AB306" i="16"/>
  <c r="AV306" i="16" s="1"/>
  <c r="DK306" i="16" s="1"/>
  <c r="AO214" i="16"/>
  <c r="BI214" i="16" s="1"/>
  <c r="Y191" i="16"/>
  <c r="AM192" i="16" s="1"/>
  <c r="BG192" i="16" s="1"/>
  <c r="DC213" i="16"/>
  <c r="AL283" i="16"/>
  <c r="BF283" i="16" s="1"/>
  <c r="CP284" i="16" s="1"/>
  <c r="AE191" i="16"/>
  <c r="AY191" i="16" s="1"/>
  <c r="DB213" i="16"/>
  <c r="AK214" i="16"/>
  <c r="BE214" i="16" s="1"/>
  <c r="BS98" i="16"/>
  <c r="CT99" i="16" s="1"/>
  <c r="E22" i="23"/>
  <c r="CN260" i="16"/>
  <c r="DE236" i="16"/>
  <c r="AI191" i="16"/>
  <c r="BC191" i="16" s="1"/>
  <c r="CM192" i="16" s="1"/>
  <c r="AM214" i="16"/>
  <c r="BG214" i="16" s="1"/>
  <c r="AH214" i="16"/>
  <c r="BB214" i="16" s="1"/>
  <c r="BM427" i="16"/>
  <c r="CI428" i="16" s="1"/>
  <c r="AK306" i="16"/>
  <c r="BE306" i="16" s="1"/>
  <c r="CO307" i="16" s="1"/>
  <c r="BS251" i="16"/>
  <c r="CT252" i="16" s="1"/>
  <c r="AA214" i="16"/>
  <c r="AU214" i="16" s="1"/>
  <c r="AE283" i="16"/>
  <c r="AY283" i="16" s="1"/>
  <c r="CG284" i="16" s="1"/>
  <c r="AJ283" i="16"/>
  <c r="BD283" i="16" s="1"/>
  <c r="DG283" i="16" s="1"/>
  <c r="BR120" i="16"/>
  <c r="CS121" i="16" s="1"/>
  <c r="DK259" i="16"/>
  <c r="DB190" i="16"/>
  <c r="DJ236" i="16"/>
  <c r="AA237" i="16"/>
  <c r="AU237" i="16" s="1"/>
  <c r="AM191" i="16"/>
  <c r="BG191" i="16" s="1"/>
  <c r="AB191" i="16"/>
  <c r="AV191" i="16" s="1"/>
  <c r="DK236" i="16"/>
  <c r="AB260" i="16"/>
  <c r="AV260" i="16" s="1"/>
  <c r="AC260" i="16"/>
  <c r="AW260" i="16" s="1"/>
  <c r="CE261" i="16" s="1"/>
  <c r="AM306" i="16"/>
  <c r="BG306" i="16" s="1"/>
  <c r="AI306" i="16"/>
  <c r="BC306" i="16" s="1"/>
  <c r="CM307" i="16" s="1"/>
  <c r="Z191" i="16"/>
  <c r="AT191" i="16" s="1"/>
  <c r="CC192" i="16" s="1"/>
  <c r="AM237" i="16"/>
  <c r="BG237" i="16" s="1"/>
  <c r="AI237" i="16"/>
  <c r="BC237" i="16" s="1"/>
  <c r="DG237" i="16" s="1"/>
  <c r="CF191" i="16"/>
  <c r="BT76" i="16"/>
  <c r="CU77" i="16" s="1"/>
  <c r="AF260" i="16"/>
  <c r="AZ260" i="16" s="1"/>
  <c r="AG260" i="16"/>
  <c r="BA260" i="16" s="1"/>
  <c r="AE306" i="16"/>
  <c r="AY306" i="16" s="1"/>
  <c r="DD306" i="16" s="1"/>
  <c r="Z306" i="16"/>
  <c r="AT306" i="16" s="1"/>
  <c r="CC307" i="16" s="1"/>
  <c r="AH306" i="16"/>
  <c r="BB306" i="16" s="1"/>
  <c r="AF306" i="16"/>
  <c r="AZ306" i="16" s="1"/>
  <c r="AM283" i="16"/>
  <c r="BG283" i="16" s="1"/>
  <c r="CQ284" i="16" s="1"/>
  <c r="AI283" i="16"/>
  <c r="BC283" i="16" s="1"/>
  <c r="CM284" i="16" s="1"/>
  <c r="AA283" i="16"/>
  <c r="AU283" i="16" s="1"/>
  <c r="AG283" i="16"/>
  <c r="BA283" i="16" s="1"/>
  <c r="AK237" i="16"/>
  <c r="BE237" i="16" s="1"/>
  <c r="DE237" i="16" s="1"/>
  <c r="AF237" i="16"/>
  <c r="AZ237" i="16" s="1"/>
  <c r="CH238" i="16" s="1"/>
  <c r="AS236" i="16"/>
  <c r="AE237" i="16"/>
  <c r="AY237" i="16" s="1"/>
  <c r="CG238" i="16" s="1"/>
  <c r="DF236" i="16"/>
  <c r="DB305" i="16"/>
  <c r="DC190" i="16"/>
  <c r="AK191" i="16"/>
  <c r="BE191" i="16" s="1"/>
  <c r="DE191" i="16" s="1"/>
  <c r="CJ164" i="16"/>
  <c r="DI397" i="16"/>
  <c r="AO191" i="16"/>
  <c r="BI191" i="16" s="1"/>
  <c r="AN260" i="16"/>
  <c r="BH260" i="16" s="1"/>
  <c r="DF260" i="16" s="1"/>
  <c r="Z260" i="16"/>
  <c r="AT260" i="16" s="1"/>
  <c r="CC261" i="16" s="1"/>
  <c r="AH260" i="16"/>
  <c r="BB260" i="16" s="1"/>
  <c r="AL306" i="16"/>
  <c r="BF306" i="16" s="1"/>
  <c r="AG306" i="16"/>
  <c r="BA306" i="16" s="1"/>
  <c r="AO237" i="16"/>
  <c r="BI237" i="16" s="1"/>
  <c r="AN237" i="16"/>
  <c r="BH237" i="16" s="1"/>
  <c r="G44" i="31"/>
  <c r="DG282" i="16"/>
  <c r="AH191" i="16"/>
  <c r="BB191" i="16" s="1"/>
  <c r="DJ191" i="16" s="1"/>
  <c r="BV405" i="16"/>
  <c r="CW406" i="16" s="1"/>
  <c r="AG191" i="16"/>
  <c r="BA191" i="16" s="1"/>
  <c r="BV76" i="16"/>
  <c r="CW77" i="16" s="1"/>
  <c r="AL191" i="16"/>
  <c r="BF191" i="16" s="1"/>
  <c r="CP192" i="16" s="1"/>
  <c r="AI260" i="16"/>
  <c r="BC260" i="16" s="1"/>
  <c r="Y260" i="16"/>
  <c r="Z261" i="16" s="1"/>
  <c r="AT261" i="16" s="1"/>
  <c r="AO260" i="16"/>
  <c r="BI260" i="16" s="1"/>
  <c r="AJ191" i="16"/>
  <c r="BD191" i="16" s="1"/>
  <c r="CN192" i="16" s="1"/>
  <c r="DB236" i="16"/>
  <c r="AA191" i="16"/>
  <c r="AU191" i="16" s="1"/>
  <c r="CD192" i="16" s="1"/>
  <c r="DE282" i="16"/>
  <c r="AF191" i="16"/>
  <c r="AZ191" i="16" s="1"/>
  <c r="CH192" i="16" s="1"/>
  <c r="AJ260" i="16"/>
  <c r="BD260" i="16" s="1"/>
  <c r="CN261" i="16" s="1"/>
  <c r="AM260" i="16"/>
  <c r="BG260" i="16" s="1"/>
  <c r="CQ261" i="16" s="1"/>
  <c r="AD260" i="16"/>
  <c r="AX260" i="16" s="1"/>
  <c r="AL260" i="16"/>
  <c r="BF260" i="16" s="1"/>
  <c r="CP261" i="16" s="1"/>
  <c r="Y306" i="16"/>
  <c r="AO306" i="16"/>
  <c r="BI306" i="16" s="1"/>
  <c r="AN306" i="16"/>
  <c r="BH306" i="16" s="1"/>
  <c r="AD306" i="16"/>
  <c r="AX306" i="16" s="1"/>
  <c r="CF307" i="16" s="1"/>
  <c r="AF283" i="16"/>
  <c r="AZ283" i="16" s="1"/>
  <c r="AC283" i="16"/>
  <c r="AW283" i="16" s="1"/>
  <c r="CE284" i="16" s="1"/>
  <c r="Z283" i="16"/>
  <c r="AT283" i="16" s="1"/>
  <c r="AN283" i="16"/>
  <c r="BH283" i="16" s="1"/>
  <c r="DE190" i="16"/>
  <c r="DI190" i="16" s="1"/>
  <c r="AN191" i="16"/>
  <c r="BH191" i="16" s="1"/>
  <c r="AG237" i="16"/>
  <c r="BA237" i="16" s="1"/>
  <c r="AB237" i="16"/>
  <c r="AV237" i="16" s="1"/>
  <c r="DK237" i="16" s="1"/>
  <c r="AH237" i="16"/>
  <c r="BB237" i="16" s="1"/>
  <c r="Y237" i="16"/>
  <c r="AS237" i="16" s="1"/>
  <c r="H9" i="13"/>
  <c r="H46" i="25" s="1"/>
  <c r="BR339" i="16"/>
  <c r="CS340" i="16" s="1"/>
  <c r="BS163" i="16"/>
  <c r="CT164" i="16" s="1"/>
  <c r="BW98" i="16"/>
  <c r="CX99" i="16" s="1"/>
  <c r="DH122" i="16"/>
  <c r="F13" i="18"/>
  <c r="DH76" i="16"/>
  <c r="D47" i="28"/>
  <c r="BR427" i="16"/>
  <c r="CS428" i="16" s="1"/>
  <c r="CJ32" i="16"/>
  <c r="H25" i="31"/>
  <c r="BX186" i="16"/>
  <c r="CY187" i="16" s="1"/>
  <c r="CJ54" i="16"/>
  <c r="G30" i="25"/>
  <c r="G8" i="18"/>
  <c r="BN54" i="16"/>
  <c r="BR55" i="16" s="1"/>
  <c r="CS56" i="16" s="1"/>
  <c r="G14" i="25"/>
  <c r="DI53" i="16"/>
  <c r="DF123" i="16"/>
  <c r="BV54" i="16"/>
  <c r="CW55" i="16" s="1"/>
  <c r="CJ252" i="16"/>
  <c r="BS54" i="16"/>
  <c r="CT55" i="16" s="1"/>
  <c r="BS427" i="16"/>
  <c r="CT428" i="16" s="1"/>
  <c r="BT207" i="16"/>
  <c r="BT208" i="16" s="1"/>
  <c r="DH99" i="16"/>
  <c r="I37" i="10"/>
  <c r="I10" i="26" s="1"/>
  <c r="BW55" i="16"/>
  <c r="CX56" i="16" s="1"/>
  <c r="H9" i="26"/>
  <c r="F66" i="32"/>
  <c r="BR98" i="16"/>
  <c r="CS99" i="16" s="1"/>
  <c r="DG123" i="16"/>
  <c r="Y101" i="16"/>
  <c r="AS101" i="16" s="1"/>
  <c r="H12" i="31"/>
  <c r="BN78" i="16"/>
  <c r="CJ79" i="16" s="1"/>
  <c r="DH145" i="16"/>
  <c r="DI122" i="16"/>
  <c r="BX55" i="16"/>
  <c r="CY56" i="16" s="1"/>
  <c r="DC145" i="16"/>
  <c r="CR406" i="16"/>
  <c r="BO55" i="16"/>
  <c r="CK56" i="16" s="1"/>
  <c r="BR121" i="16"/>
  <c r="CS122" i="16" s="1"/>
  <c r="D48" i="17"/>
  <c r="D48" i="28" s="1"/>
  <c r="H28" i="18"/>
  <c r="AH124" i="16"/>
  <c r="BB124" i="16" s="1"/>
  <c r="I12" i="10"/>
  <c r="I9" i="26" s="1"/>
  <c r="I25" i="10"/>
  <c r="I50" i="26" s="1"/>
  <c r="DE123" i="16"/>
  <c r="DB100" i="16"/>
  <c r="Y78" i="16"/>
  <c r="AS78" i="16" s="1"/>
  <c r="DE100" i="16"/>
  <c r="H10" i="26"/>
  <c r="F69" i="23"/>
  <c r="Y124" i="16"/>
  <c r="AS124" i="16" s="1"/>
  <c r="BS361" i="16"/>
  <c r="CT362" i="16" s="1"/>
  <c r="G13" i="31"/>
  <c r="AN101" i="16"/>
  <c r="BH101" i="16" s="1"/>
  <c r="AS77" i="16"/>
  <c r="DC77" i="16" s="1"/>
  <c r="DD100" i="16"/>
  <c r="AI101" i="16"/>
  <c r="BC101" i="16" s="1"/>
  <c r="CM102" i="16" s="1"/>
  <c r="CD78" i="16"/>
  <c r="F58" i="28"/>
  <c r="CC101" i="16"/>
  <c r="BR252" i="16"/>
  <c r="CS253" i="16" s="1"/>
  <c r="BP78" i="16"/>
  <c r="CL79" i="16" s="1"/>
  <c r="CY77" i="16"/>
  <c r="BX77" i="16"/>
  <c r="CY78" i="16" s="1"/>
  <c r="CQ124" i="16"/>
  <c r="AB124" i="16"/>
  <c r="AV124" i="16" s="1"/>
  <c r="G30" i="26"/>
  <c r="AO101" i="16"/>
  <c r="BI101" i="16" s="1"/>
  <c r="AF101" i="16"/>
  <c r="AZ101" i="16" s="1"/>
  <c r="CH102" i="16" s="1"/>
  <c r="AL124" i="16"/>
  <c r="BF124" i="16" s="1"/>
  <c r="CP125" i="16" s="1"/>
  <c r="AC124" i="16"/>
  <c r="AW124" i="16" s="1"/>
  <c r="CE125" i="16" s="1"/>
  <c r="DJ100" i="16"/>
  <c r="Z101" i="16"/>
  <c r="AT101" i="16" s="1"/>
  <c r="CC102" i="16" s="1"/>
  <c r="DD123" i="16"/>
  <c r="DK123" i="16"/>
  <c r="G47" i="18"/>
  <c r="H26" i="10"/>
  <c r="H26" i="31" s="1"/>
  <c r="H13" i="25"/>
  <c r="H45" i="10"/>
  <c r="I63" i="10" s="1"/>
  <c r="AB78" i="16"/>
  <c r="AV78" i="16" s="1"/>
  <c r="AH101" i="16"/>
  <c r="BB101" i="16" s="1"/>
  <c r="AE101" i="16"/>
  <c r="AY101" i="16" s="1"/>
  <c r="CG102" i="16" s="1"/>
  <c r="AK124" i="16"/>
  <c r="BE124" i="16" s="1"/>
  <c r="CO125" i="16" s="1"/>
  <c r="AI124" i="16"/>
  <c r="BC124" i="16" s="1"/>
  <c r="CM125" i="16" s="1"/>
  <c r="CG124" i="16"/>
  <c r="DJ123" i="16"/>
  <c r="G5" i="31"/>
  <c r="F66" i="33"/>
  <c r="DG77" i="16"/>
  <c r="AK78" i="16"/>
  <c r="BE78" i="16" s="1"/>
  <c r="CO79" i="16" s="1"/>
  <c r="DG100" i="16"/>
  <c r="AJ101" i="16"/>
  <c r="BD101" i="16" s="1"/>
  <c r="CN102" i="16" s="1"/>
  <c r="AD101" i="16"/>
  <c r="AX101" i="16" s="1"/>
  <c r="CF102" i="16" s="1"/>
  <c r="AM101" i="16"/>
  <c r="BG101" i="16" s="1"/>
  <c r="CQ102" i="16" s="1"/>
  <c r="AG101" i="16"/>
  <c r="BA101" i="16" s="1"/>
  <c r="DK100" i="16"/>
  <c r="AA124" i="16"/>
  <c r="AU124" i="16" s="1"/>
  <c r="CD125" i="16" s="1"/>
  <c r="AO124" i="16"/>
  <c r="BI124" i="16" s="1"/>
  <c r="Z124" i="16"/>
  <c r="AT124" i="16" s="1"/>
  <c r="CC125" i="16" s="1"/>
  <c r="CF124" i="16"/>
  <c r="CL78" i="16"/>
  <c r="DB123" i="16"/>
  <c r="BT361" i="16"/>
  <c r="BT362" i="16" s="1"/>
  <c r="G16" i="18"/>
  <c r="H9" i="10"/>
  <c r="H46" i="26" s="1"/>
  <c r="H46" i="27" s="1"/>
  <c r="DF100" i="16"/>
  <c r="AB101" i="16"/>
  <c r="AV101" i="16" s="1"/>
  <c r="AL101" i="16"/>
  <c r="BF101" i="16" s="1"/>
  <c r="CP102" i="16" s="1"/>
  <c r="AM124" i="16"/>
  <c r="BG124" i="16" s="1"/>
  <c r="CQ125" i="16" s="1"/>
  <c r="AF124" i="16"/>
  <c r="AZ124" i="16" s="1"/>
  <c r="AG124" i="16"/>
  <c r="BA124" i="16" s="1"/>
  <c r="AI78" i="16"/>
  <c r="BC78" i="16" s="1"/>
  <c r="CM79" i="16" s="1"/>
  <c r="AS100" i="16"/>
  <c r="DC100" i="16" s="1"/>
  <c r="AC101" i="16"/>
  <c r="AW101" i="16" s="1"/>
  <c r="CE102" i="16" s="1"/>
  <c r="AA101" i="16"/>
  <c r="AU101" i="16" s="1"/>
  <c r="CD102" i="16" s="1"/>
  <c r="AK101" i="16"/>
  <c r="BE101" i="16" s="1"/>
  <c r="CO102" i="16" s="1"/>
  <c r="AD124" i="16"/>
  <c r="AX124" i="16" s="1"/>
  <c r="AJ124" i="16"/>
  <c r="BD124" i="16" s="1"/>
  <c r="AN124" i="16"/>
  <c r="BH124" i="16" s="1"/>
  <c r="AE124" i="16"/>
  <c r="AY124" i="16" s="1"/>
  <c r="CG125" i="16" s="1"/>
  <c r="BT32" i="16"/>
  <c r="CU33" i="16" s="1"/>
  <c r="BO32" i="16"/>
  <c r="H13" i="13"/>
  <c r="H14" i="25" s="1"/>
  <c r="AE147" i="16"/>
  <c r="AY147" i="16" s="1"/>
  <c r="CG148" i="16" s="1"/>
  <c r="DD77" i="16"/>
  <c r="DJ77" i="16"/>
  <c r="BV229" i="16"/>
  <c r="CW230" i="16" s="1"/>
  <c r="CK229" i="16"/>
  <c r="BO229" i="16"/>
  <c r="G14" i="26"/>
  <c r="G10" i="10"/>
  <c r="G10" i="31" s="1"/>
  <c r="F14" i="27"/>
  <c r="H10" i="13"/>
  <c r="H47" i="25" s="1"/>
  <c r="H48" i="25" s="1"/>
  <c r="AC78" i="16"/>
  <c r="AW78" i="16" s="1"/>
  <c r="CE79" i="16" s="1"/>
  <c r="AA78" i="16"/>
  <c r="AU78" i="16" s="1"/>
  <c r="AJ78" i="16"/>
  <c r="BD78" i="16" s="1"/>
  <c r="CN79" i="16" s="1"/>
  <c r="AH78" i="16"/>
  <c r="BB78" i="16" s="1"/>
  <c r="DE77" i="16"/>
  <c r="DK77" i="16"/>
  <c r="DF77" i="16"/>
  <c r="AO78" i="16"/>
  <c r="BI78" i="16" s="1"/>
  <c r="AM78" i="16"/>
  <c r="BG78" i="16" s="1"/>
  <c r="CQ79" i="16" s="1"/>
  <c r="AG78" i="16"/>
  <c r="BA78" i="16" s="1"/>
  <c r="AD78" i="16"/>
  <c r="AX78" i="16" s="1"/>
  <c r="CF79" i="16" s="1"/>
  <c r="BN32" i="16"/>
  <c r="CJ33" i="16" s="1"/>
  <c r="DB77" i="16"/>
  <c r="I7" i="13"/>
  <c r="I44" i="25" s="1"/>
  <c r="BV141" i="16"/>
  <c r="CW142" i="16" s="1"/>
  <c r="DI374" i="16"/>
  <c r="BM55" i="16"/>
  <c r="CI56" i="16" s="1"/>
  <c r="DK146" i="16"/>
  <c r="DB146" i="16"/>
  <c r="DI446" i="16"/>
  <c r="Z78" i="16"/>
  <c r="AT78" i="16" s="1"/>
  <c r="CC79" i="16" s="1"/>
  <c r="AE78" i="16"/>
  <c r="AY78" i="16" s="1"/>
  <c r="CG79" i="16" s="1"/>
  <c r="AL78" i="16"/>
  <c r="BF78" i="16" s="1"/>
  <c r="CP79" i="16" s="1"/>
  <c r="AF78" i="16"/>
  <c r="AZ78" i="16" s="1"/>
  <c r="CH79" i="16" s="1"/>
  <c r="AN78" i="16"/>
  <c r="BH78" i="16" s="1"/>
  <c r="DD146" i="16"/>
  <c r="BP55" i="16"/>
  <c r="CL230" i="16"/>
  <c r="BP230" i="16"/>
  <c r="BX230" i="16"/>
  <c r="CY231" i="16" s="1"/>
  <c r="E20" i="33"/>
  <c r="DH446" i="16"/>
  <c r="D64" i="25"/>
  <c r="D64" i="27" s="1"/>
  <c r="I25" i="13"/>
  <c r="I50" i="25" s="1"/>
  <c r="CG32" i="16"/>
  <c r="CH32" i="16"/>
  <c r="G8" i="31"/>
  <c r="G11" i="18"/>
  <c r="CO32" i="16"/>
  <c r="DI30" i="16"/>
  <c r="G13" i="27"/>
  <c r="BV32" i="16"/>
  <c r="CW33" i="16" s="1"/>
  <c r="E69" i="20"/>
  <c r="E69" i="32" s="1"/>
  <c r="H9" i="25"/>
  <c r="AK147" i="16"/>
  <c r="BE147" i="16" s="1"/>
  <c r="CO148" i="16" s="1"/>
  <c r="CF147" i="16"/>
  <c r="DE146" i="16"/>
  <c r="H13" i="10"/>
  <c r="DJ54" i="16"/>
  <c r="Z147" i="16"/>
  <c r="AT147" i="16" s="1"/>
  <c r="CC148" i="16" s="1"/>
  <c r="AH147" i="16"/>
  <c r="BB147" i="16" s="1"/>
  <c r="H50" i="25"/>
  <c r="H50" i="27" s="1"/>
  <c r="BR164" i="16"/>
  <c r="CS165" i="16" s="1"/>
  <c r="CW448" i="16"/>
  <c r="G66" i="20" s="1"/>
  <c r="CF55" i="16"/>
  <c r="DF146" i="16"/>
  <c r="AL147" i="16"/>
  <c r="BF147" i="16" s="1"/>
  <c r="BS32" i="16"/>
  <c r="CT33" i="16" s="1"/>
  <c r="CG55" i="16"/>
  <c r="DH30" i="16"/>
  <c r="DJ146" i="16"/>
  <c r="BM121" i="16"/>
  <c r="CI121" i="16"/>
  <c r="BS121" i="16"/>
  <c r="CT122" i="16" s="1"/>
  <c r="CW427" i="16"/>
  <c r="BV427" i="16"/>
  <c r="G58" i="26"/>
  <c r="G56" i="33"/>
  <c r="H4" i="10"/>
  <c r="F65" i="33"/>
  <c r="CL252" i="16"/>
  <c r="BP252" i="16"/>
  <c r="BX252" i="16"/>
  <c r="CY253" i="16" s="1"/>
  <c r="H5" i="10"/>
  <c r="I9" i="10" s="1"/>
  <c r="AO147" i="16"/>
  <c r="BI147" i="16" s="1"/>
  <c r="AB147" i="16"/>
  <c r="AV147" i="16" s="1"/>
  <c r="AJ147" i="16"/>
  <c r="BD147" i="16" s="1"/>
  <c r="CN148" i="16" s="1"/>
  <c r="AD147" i="16"/>
  <c r="AX147" i="16" s="1"/>
  <c r="CF148" i="16" s="1"/>
  <c r="E63" i="26"/>
  <c r="E64" i="26" s="1"/>
  <c r="H31" i="10"/>
  <c r="E38" i="26"/>
  <c r="AI32" i="16"/>
  <c r="BC32" i="16" s="1"/>
  <c r="Y55" i="16"/>
  <c r="AS55" i="16" s="1"/>
  <c r="DG146" i="16"/>
  <c r="F16" i="26"/>
  <c r="G18" i="31"/>
  <c r="DG31" i="16"/>
  <c r="G21" i="10"/>
  <c r="H30" i="10"/>
  <c r="H63" i="10"/>
  <c r="CV98" i="16"/>
  <c r="BU98" i="16"/>
  <c r="G46" i="26"/>
  <c r="G46" i="27" s="1"/>
  <c r="G9" i="33"/>
  <c r="E48" i="26"/>
  <c r="E48" i="27" s="1"/>
  <c r="E47" i="27"/>
  <c r="F67" i="33"/>
  <c r="CV230" i="16"/>
  <c r="BU230" i="16"/>
  <c r="G7" i="18"/>
  <c r="H65" i="18"/>
  <c r="H8" i="10"/>
  <c r="H11" i="18" s="1"/>
  <c r="AA147" i="16"/>
  <c r="AU147" i="16" s="1"/>
  <c r="CD148" i="16" s="1"/>
  <c r="Y147" i="16"/>
  <c r="AC147" i="16"/>
  <c r="AW147" i="16" s="1"/>
  <c r="CE148" i="16" s="1"/>
  <c r="G12" i="18"/>
  <c r="H44" i="10"/>
  <c r="E14" i="33"/>
  <c r="D70" i="32"/>
  <c r="D70" i="33"/>
  <c r="CM147" i="16"/>
  <c r="H38" i="10"/>
  <c r="I56" i="10" s="1"/>
  <c r="DF54" i="16"/>
  <c r="DH53" i="16"/>
  <c r="BQ32" i="16"/>
  <c r="CR33" i="16" s="1"/>
  <c r="G4" i="31"/>
  <c r="F47" i="32"/>
  <c r="G26" i="33"/>
  <c r="BX428" i="16"/>
  <c r="CY429" i="16" s="1"/>
  <c r="G45" i="26"/>
  <c r="G45" i="27" s="1"/>
  <c r="G8" i="33"/>
  <c r="F61" i="33"/>
  <c r="G21" i="18"/>
  <c r="H31" i="13"/>
  <c r="H44" i="13"/>
  <c r="I62" i="13" s="1"/>
  <c r="H18" i="13"/>
  <c r="I18" i="13" s="1"/>
  <c r="J31" i="13" s="1"/>
  <c r="G34" i="18"/>
  <c r="F47" i="26"/>
  <c r="E44" i="23"/>
  <c r="E41" i="33"/>
  <c r="I57" i="26"/>
  <c r="E39" i="33"/>
  <c r="H18" i="10"/>
  <c r="AF147" i="16"/>
  <c r="AZ147" i="16" s="1"/>
  <c r="CH148" i="16" s="1"/>
  <c r="AM147" i="16"/>
  <c r="BG147" i="16" s="1"/>
  <c r="CQ148" i="16" s="1"/>
  <c r="AG147" i="16"/>
  <c r="BA147" i="16" s="1"/>
  <c r="AN147" i="16"/>
  <c r="BH147" i="16" s="1"/>
  <c r="AI147" i="16"/>
  <c r="BC147" i="16" s="1"/>
  <c r="E31" i="23"/>
  <c r="E28" i="33"/>
  <c r="H17" i="10"/>
  <c r="I30" i="10" s="1"/>
  <c r="DI168" i="16"/>
  <c r="G9" i="31"/>
  <c r="BV273" i="16"/>
  <c r="CW274" i="16" s="1"/>
  <c r="H62" i="31"/>
  <c r="BV339" i="16"/>
  <c r="CW340" i="16" s="1"/>
  <c r="BU54" i="16"/>
  <c r="CV55" i="16" s="1"/>
  <c r="F64" i="33"/>
  <c r="F43" i="32"/>
  <c r="D17" i="32"/>
  <c r="E27" i="32"/>
  <c r="D34" i="32"/>
  <c r="F5" i="32"/>
  <c r="C21" i="32"/>
  <c r="F12" i="32"/>
  <c r="F31" i="32"/>
  <c r="E37" i="32"/>
  <c r="G51" i="26"/>
  <c r="G51" i="27" s="1"/>
  <c r="G29" i="18"/>
  <c r="G26" i="31"/>
  <c r="E35" i="13"/>
  <c r="E54" i="25" s="1"/>
  <c r="G55" i="32"/>
  <c r="CM32" i="16"/>
  <c r="E19" i="32"/>
  <c r="E20" i="32"/>
  <c r="I12" i="13"/>
  <c r="J25" i="13" s="1"/>
  <c r="DK375" i="16"/>
  <c r="F7" i="32"/>
  <c r="E41" i="32"/>
  <c r="DJ31" i="16"/>
  <c r="BT252" i="16"/>
  <c r="CU252" i="16"/>
  <c r="E30" i="32"/>
  <c r="E14" i="32"/>
  <c r="F18" i="32"/>
  <c r="G9" i="32"/>
  <c r="CP55" i="16"/>
  <c r="F67" i="21"/>
  <c r="CY449" i="16"/>
  <c r="H68" i="20" s="1"/>
  <c r="F59" i="13"/>
  <c r="F62" i="21" s="1"/>
  <c r="H8" i="25"/>
  <c r="H8" i="27" s="1"/>
  <c r="I3" i="13"/>
  <c r="I3" i="31" s="1"/>
  <c r="D45" i="32"/>
  <c r="BU32" i="16"/>
  <c r="CV33" i="16" s="1"/>
  <c r="G62" i="32"/>
  <c r="DI351" i="16"/>
  <c r="AL32" i="16"/>
  <c r="BF32" i="16" s="1"/>
  <c r="AC55" i="16"/>
  <c r="AW55" i="16" s="1"/>
  <c r="CE56" i="16" s="1"/>
  <c r="E4" i="32"/>
  <c r="C53" i="32"/>
  <c r="DH351" i="16"/>
  <c r="DH397" i="16"/>
  <c r="AA32" i="16"/>
  <c r="AU32" i="16" s="1"/>
  <c r="DB31" i="16"/>
  <c r="H3" i="31"/>
  <c r="F64" i="32"/>
  <c r="BP384" i="16"/>
  <c r="BX384" i="16"/>
  <c r="CY385" i="16" s="1"/>
  <c r="CL384" i="16"/>
  <c r="F38" i="32"/>
  <c r="BP429" i="16"/>
  <c r="CL429" i="16"/>
  <c r="G8" i="32"/>
  <c r="G26" i="32"/>
  <c r="E28" i="32"/>
  <c r="E10" i="32"/>
  <c r="E52" i="32"/>
  <c r="I5" i="13"/>
  <c r="J9" i="13" s="1"/>
  <c r="DE31" i="16"/>
  <c r="H30" i="25"/>
  <c r="AN32" i="16"/>
  <c r="BH32" i="16" s="1"/>
  <c r="H45" i="25"/>
  <c r="BO317" i="16"/>
  <c r="CK317" i="16"/>
  <c r="BV317" i="16"/>
  <c r="CW318" i="16" s="1"/>
  <c r="E39" i="32"/>
  <c r="F13" i="32"/>
  <c r="F67" i="32"/>
  <c r="E44" i="21"/>
  <c r="E15" i="32"/>
  <c r="G25" i="32"/>
  <c r="DK329" i="16"/>
  <c r="F49" i="13"/>
  <c r="G67" i="13" s="1"/>
  <c r="I4" i="13"/>
  <c r="I13" i="25" s="1"/>
  <c r="H15" i="18"/>
  <c r="E63" i="32"/>
  <c r="F70" i="21"/>
  <c r="DJ306" i="16"/>
  <c r="DB375" i="16"/>
  <c r="G56" i="32"/>
  <c r="F44" i="32"/>
  <c r="DE54" i="16"/>
  <c r="D3" i="32"/>
  <c r="AH32" i="16"/>
  <c r="BB32" i="16" s="1"/>
  <c r="Y32" i="16"/>
  <c r="AO55" i="16"/>
  <c r="BI55" i="16" s="1"/>
  <c r="CY208" i="16"/>
  <c r="BX208" i="16"/>
  <c r="BN99" i="16"/>
  <c r="BR99" i="16"/>
  <c r="CS100" i="16" s="1"/>
  <c r="CJ99" i="16"/>
  <c r="BX318" i="16"/>
  <c r="CY319" i="16" s="1"/>
  <c r="CL318" i="16"/>
  <c r="BP318" i="16"/>
  <c r="BX296" i="16"/>
  <c r="CY297" i="16" s="1"/>
  <c r="CL296" i="16"/>
  <c r="BP296" i="16"/>
  <c r="E19" i="31"/>
  <c r="G66" i="18"/>
  <c r="G63" i="31"/>
  <c r="F21" i="31"/>
  <c r="F69" i="31"/>
  <c r="G61" i="31"/>
  <c r="BT383" i="16"/>
  <c r="CU383" i="16"/>
  <c r="BN207" i="16"/>
  <c r="CJ207" i="16"/>
  <c r="BR207" i="16"/>
  <c r="CS208" i="16" s="1"/>
  <c r="BT295" i="16"/>
  <c r="CU295" i="16"/>
  <c r="E14" i="31"/>
  <c r="CN55" i="16"/>
  <c r="DH374" i="16"/>
  <c r="CU448" i="16"/>
  <c r="G64" i="20" s="1"/>
  <c r="G56" i="31"/>
  <c r="AD32" i="16"/>
  <c r="AX32" i="16" s="1"/>
  <c r="CF33" i="16" s="1"/>
  <c r="AB32" i="16"/>
  <c r="AV32" i="16" s="1"/>
  <c r="AF55" i="16"/>
  <c r="AZ55" i="16" s="1"/>
  <c r="CH56" i="16" s="1"/>
  <c r="AJ55" i="16"/>
  <c r="BD55" i="16" s="1"/>
  <c r="CN56" i="16" s="1"/>
  <c r="AM55" i="16"/>
  <c r="BG55" i="16" s="1"/>
  <c r="CU229" i="16"/>
  <c r="BT229" i="16"/>
  <c r="CV339" i="16"/>
  <c r="BU339" i="16"/>
  <c r="BU361" i="16"/>
  <c r="CV361" i="16"/>
  <c r="E52" i="31"/>
  <c r="CK274" i="16"/>
  <c r="BO274" i="16"/>
  <c r="CV77" i="16"/>
  <c r="BU77" i="16"/>
  <c r="CX142" i="16"/>
  <c r="BW142" i="16"/>
  <c r="CJ295" i="16"/>
  <c r="BR295" i="16"/>
  <c r="CS296" i="16" s="1"/>
  <c r="BN295" i="16"/>
  <c r="BV163" i="16"/>
  <c r="CW164" i="16" s="1"/>
  <c r="CK163" i="16"/>
  <c r="BO163" i="16"/>
  <c r="CK340" i="16"/>
  <c r="BO340" i="16"/>
  <c r="CX295" i="16"/>
  <c r="BW295" i="16"/>
  <c r="E39" i="31"/>
  <c r="E22" i="21"/>
  <c r="DJ329" i="16"/>
  <c r="DI259" i="16"/>
  <c r="DG54" i="16"/>
  <c r="G38" i="31"/>
  <c r="G55" i="31"/>
  <c r="CN32" i="16"/>
  <c r="BM32" i="16"/>
  <c r="CI33" i="16" s="1"/>
  <c r="E15" i="31"/>
  <c r="BW32" i="16"/>
  <c r="CX33" i="16" s="1"/>
  <c r="E15" i="29"/>
  <c r="E28" i="31"/>
  <c r="CX448" i="16"/>
  <c r="G67" i="20" s="1"/>
  <c r="G45" i="31"/>
  <c r="DD54" i="16"/>
  <c r="DK54" i="16"/>
  <c r="E53" i="13"/>
  <c r="E38" i="25" s="1"/>
  <c r="DD31" i="16"/>
  <c r="AS31" i="16"/>
  <c r="DC31" i="16" s="1"/>
  <c r="AJ32" i="16"/>
  <c r="BD32" i="16" s="1"/>
  <c r="BQ33" i="16" s="1"/>
  <c r="CR34" i="16" s="1"/>
  <c r="AK32" i="16"/>
  <c r="BE32" i="16" s="1"/>
  <c r="CO33" i="16" s="1"/>
  <c r="AF32" i="16"/>
  <c r="AZ32" i="16" s="1"/>
  <c r="BP33" i="16" s="1"/>
  <c r="E37" i="25"/>
  <c r="E37" i="27" s="1"/>
  <c r="DJ375" i="16"/>
  <c r="AA55" i="16"/>
  <c r="AU55" i="16" s="1"/>
  <c r="CD56" i="16" s="1"/>
  <c r="AI55" i="16"/>
  <c r="BC55" i="16" s="1"/>
  <c r="AN55" i="16"/>
  <c r="BH55" i="16" s="1"/>
  <c r="AK55" i="16"/>
  <c r="BE55" i="16" s="1"/>
  <c r="CO56" i="16" s="1"/>
  <c r="Z55" i="16"/>
  <c r="AT55" i="16" s="1"/>
  <c r="CC56" i="16" s="1"/>
  <c r="BP274" i="16"/>
  <c r="CL274" i="16"/>
  <c r="BX274" i="16"/>
  <c r="CY275" i="16" s="1"/>
  <c r="BP210" i="16"/>
  <c r="CL210" i="16"/>
  <c r="BO251" i="16"/>
  <c r="CK251" i="16"/>
  <c r="BV251" i="16"/>
  <c r="CW252" i="16" s="1"/>
  <c r="BW251" i="16"/>
  <c r="CX251" i="16"/>
  <c r="CU99" i="16"/>
  <c r="BT99" i="16"/>
  <c r="CK185" i="16"/>
  <c r="BO185" i="16"/>
  <c r="BV185" i="16"/>
  <c r="CW186" i="16" s="1"/>
  <c r="CV251" i="16"/>
  <c r="BU251" i="16"/>
  <c r="CJ448" i="16"/>
  <c r="G31" i="20" s="1"/>
  <c r="G31" i="33" s="1"/>
  <c r="G17" i="31"/>
  <c r="BU428" i="16"/>
  <c r="CV428" i="16"/>
  <c r="CJ383" i="16"/>
  <c r="BR383" i="16"/>
  <c r="CS384" i="16" s="1"/>
  <c r="BN383" i="16"/>
  <c r="CS76" i="16"/>
  <c r="BR76" i="16"/>
  <c r="BP164" i="16"/>
  <c r="CL164" i="16"/>
  <c r="BX164" i="16"/>
  <c r="CY165" i="16" s="1"/>
  <c r="CR362" i="16"/>
  <c r="BQ362" i="16"/>
  <c r="BW405" i="16"/>
  <c r="CX405" i="16"/>
  <c r="CR407" i="16"/>
  <c r="BQ407" i="16"/>
  <c r="F70" i="18"/>
  <c r="F67" i="31"/>
  <c r="DH213" i="16"/>
  <c r="DF31" i="16"/>
  <c r="DB54" i="16"/>
  <c r="G68" i="18"/>
  <c r="G65" i="31"/>
  <c r="AC32" i="16"/>
  <c r="AW32" i="16" s="1"/>
  <c r="CE33" i="16" s="1"/>
  <c r="AM32" i="16"/>
  <c r="BG32" i="16" s="1"/>
  <c r="CQ33" i="16" s="1"/>
  <c r="AH55" i="16"/>
  <c r="BB55" i="16" s="1"/>
  <c r="CW120" i="16"/>
  <c r="BV120" i="16"/>
  <c r="G37" i="31"/>
  <c r="CF32" i="16"/>
  <c r="E27" i="31"/>
  <c r="E20" i="31"/>
  <c r="G30" i="31"/>
  <c r="G43" i="31"/>
  <c r="E70" i="31"/>
  <c r="F51" i="31"/>
  <c r="AE32" i="16"/>
  <c r="AY32" i="16" s="1"/>
  <c r="CG33" i="16" s="1"/>
  <c r="AG32" i="16"/>
  <c r="BA32" i="16" s="1"/>
  <c r="Z32" i="16"/>
  <c r="AT32" i="16" s="1"/>
  <c r="CC33" i="16" s="1"/>
  <c r="AO32" i="16"/>
  <c r="BI32" i="16" s="1"/>
  <c r="DH7" i="16"/>
  <c r="AD55" i="16"/>
  <c r="AX55" i="16" s="1"/>
  <c r="AE55" i="16"/>
  <c r="AY55" i="16" s="1"/>
  <c r="BO56" i="16" s="1"/>
  <c r="AG55" i="16"/>
  <c r="BA55" i="16" s="1"/>
  <c r="AL55" i="16"/>
  <c r="BF55" i="16" s="1"/>
  <c r="CP56" i="16" s="1"/>
  <c r="AB55" i="16"/>
  <c r="AV55" i="16" s="1"/>
  <c r="CV318" i="16"/>
  <c r="BU318" i="16"/>
  <c r="BT163" i="16"/>
  <c r="CU163" i="16"/>
  <c r="E41" i="31"/>
  <c r="CU427" i="16"/>
  <c r="BT427" i="16"/>
  <c r="BW384" i="16"/>
  <c r="CX384" i="16"/>
  <c r="BM339" i="16"/>
  <c r="CI339" i="16"/>
  <c r="BS339" i="16"/>
  <c r="CT340" i="16" s="1"/>
  <c r="BW339" i="16"/>
  <c r="CX339" i="16"/>
  <c r="CV164" i="16"/>
  <c r="BU164" i="16"/>
  <c r="CX229" i="16"/>
  <c r="BW229" i="16"/>
  <c r="CL406" i="16"/>
  <c r="BX406" i="16"/>
  <c r="CY407" i="16" s="1"/>
  <c r="BP406" i="16"/>
  <c r="CX186" i="16"/>
  <c r="BW186" i="16"/>
  <c r="CU406" i="16"/>
  <c r="BT406" i="16"/>
  <c r="AG215" i="16"/>
  <c r="BA215" i="16" s="1"/>
  <c r="AJ215" i="16"/>
  <c r="BD215" i="16" s="1"/>
  <c r="AC215" i="16"/>
  <c r="AW215" i="16" s="1"/>
  <c r="CE216" i="16" s="1"/>
  <c r="AS214" i="16"/>
  <c r="AA215" i="16"/>
  <c r="AU215" i="16" s="1"/>
  <c r="AM215" i="16"/>
  <c r="BG215" i="16" s="1"/>
  <c r="E53" i="27"/>
  <c r="F20" i="17"/>
  <c r="D19" i="28"/>
  <c r="D26" i="17"/>
  <c r="D21" i="17"/>
  <c r="DE169" i="16"/>
  <c r="CO170" i="16"/>
  <c r="BV362" i="16"/>
  <c r="CW363" i="16" s="1"/>
  <c r="BO362" i="16"/>
  <c r="CK362" i="16"/>
  <c r="E37" i="17"/>
  <c r="E37" i="28" s="1"/>
  <c r="E55" i="21"/>
  <c r="E55" i="23"/>
  <c r="BW208" i="16"/>
  <c r="CX208" i="16"/>
  <c r="BW164" i="16"/>
  <c r="CX164" i="16"/>
  <c r="D26" i="25"/>
  <c r="D19" i="27"/>
  <c r="D21" i="25"/>
  <c r="D19" i="29"/>
  <c r="CX428" i="16"/>
  <c r="BW428" i="16"/>
  <c r="BU295" i="16"/>
  <c r="CV295" i="16"/>
  <c r="CH9" i="16"/>
  <c r="CH449" i="16" s="1"/>
  <c r="H28" i="20" s="1"/>
  <c r="BP9" i="16"/>
  <c r="AZ448" i="16"/>
  <c r="G15" i="20" s="1"/>
  <c r="BN9" i="16"/>
  <c r="AU448" i="16"/>
  <c r="G5" i="20" s="1"/>
  <c r="G5" i="33" s="1"/>
  <c r="CD9" i="16"/>
  <c r="CD449" i="16" s="1"/>
  <c r="H9" i="20" s="1"/>
  <c r="CD330" i="16"/>
  <c r="CK295" i="16"/>
  <c r="BV295" i="16"/>
  <c r="CW296" i="16" s="1"/>
  <c r="BO295" i="16"/>
  <c r="D21" i="26"/>
  <c r="D26" i="26"/>
  <c r="D28" i="26" s="1"/>
  <c r="G58" i="21"/>
  <c r="G57" i="17"/>
  <c r="G57" i="28" s="1"/>
  <c r="G58" i="23"/>
  <c r="DE447" i="16"/>
  <c r="F39" i="20"/>
  <c r="AK330" i="16"/>
  <c r="BE330" i="16" s="1"/>
  <c r="AI330" i="16"/>
  <c r="BC330" i="16" s="1"/>
  <c r="Y330" i="16"/>
  <c r="AO330" i="16"/>
  <c r="BI330" i="16" s="1"/>
  <c r="AM330" i="16"/>
  <c r="BG330" i="16" s="1"/>
  <c r="AC330" i="16"/>
  <c r="AW330" i="16" s="1"/>
  <c r="CE331" i="16" s="1"/>
  <c r="AS329" i="16"/>
  <c r="Z330" i="16"/>
  <c r="AT330" i="16" s="1"/>
  <c r="AN330" i="16"/>
  <c r="BH330" i="16" s="1"/>
  <c r="AE330" i="16"/>
  <c r="AY330" i="16" s="1"/>
  <c r="AB330" i="16"/>
  <c r="AV330" i="16" s="1"/>
  <c r="AA330" i="16"/>
  <c r="AU330" i="16" s="1"/>
  <c r="AH330" i="16"/>
  <c r="BB330" i="16" s="1"/>
  <c r="AL330" i="16"/>
  <c r="BF330" i="16" s="1"/>
  <c r="AJ330" i="16"/>
  <c r="BD330" i="16" s="1"/>
  <c r="AG330" i="16"/>
  <c r="BA330" i="16" s="1"/>
  <c r="AF330" i="16"/>
  <c r="AZ330" i="16" s="1"/>
  <c r="AD330" i="16"/>
  <c r="AX330" i="16" s="1"/>
  <c r="D27" i="25"/>
  <c r="D20" i="27"/>
  <c r="D20" i="29"/>
  <c r="E24" i="29"/>
  <c r="BO207" i="16"/>
  <c r="CK207" i="16"/>
  <c r="BV207" i="16"/>
  <c r="CW208" i="16" s="1"/>
  <c r="CR76" i="16"/>
  <c r="BQ76" i="16"/>
  <c r="BM274" i="16"/>
  <c r="CI274" i="16"/>
  <c r="BS274" i="16"/>
  <c r="CT275" i="16" s="1"/>
  <c r="CI229" i="16"/>
  <c r="BM229" i="16"/>
  <c r="BS229" i="16"/>
  <c r="CT230" i="16" s="1"/>
  <c r="CF261" i="16"/>
  <c r="CJ123" i="16"/>
  <c r="BN123" i="16"/>
  <c r="DF375" i="16"/>
  <c r="DG375" i="16"/>
  <c r="DC375" i="16"/>
  <c r="F10" i="20"/>
  <c r="F10" i="33" s="1"/>
  <c r="F10" i="21"/>
  <c r="F44" i="17"/>
  <c r="F10" i="23"/>
  <c r="D34" i="27"/>
  <c r="BM252" i="16"/>
  <c r="CI252" i="16"/>
  <c r="BS252" i="16"/>
  <c r="CT253" i="16" s="1"/>
  <c r="BV99" i="16"/>
  <c r="CW100" i="16" s="1"/>
  <c r="CK99" i="16"/>
  <c r="BO99" i="16"/>
  <c r="E61" i="27"/>
  <c r="E61" i="29"/>
  <c r="CQ353" i="16"/>
  <c r="C36" i="28"/>
  <c r="C36" i="29"/>
  <c r="CW9" i="16"/>
  <c r="BV448" i="16"/>
  <c r="G48" i="20" s="1"/>
  <c r="CQ238" i="16"/>
  <c r="CO215" i="16"/>
  <c r="DE214" i="16"/>
  <c r="G11" i="23"/>
  <c r="G11" i="21"/>
  <c r="G45" i="17"/>
  <c r="CH170" i="16"/>
  <c r="CQ215" i="16"/>
  <c r="CR9" i="16"/>
  <c r="F28" i="13"/>
  <c r="E20" i="25"/>
  <c r="F20" i="13"/>
  <c r="E18" i="18"/>
  <c r="BR428" i="16"/>
  <c r="CS429" i="16" s="1"/>
  <c r="BN428" i="16"/>
  <c r="CJ428" i="16"/>
  <c r="Y9" i="16"/>
  <c r="AF9" i="16"/>
  <c r="AZ9" i="16" s="1"/>
  <c r="AI9" i="16"/>
  <c r="BC9" i="16" s="1"/>
  <c r="AM9" i="16"/>
  <c r="BG9" i="16" s="1"/>
  <c r="AN9" i="16"/>
  <c r="BH9" i="16" s="1"/>
  <c r="BH449" i="16" s="1"/>
  <c r="Z9" i="16"/>
  <c r="AT9" i="16" s="1"/>
  <c r="AC9" i="16"/>
  <c r="AW9" i="16" s="1"/>
  <c r="AJ9" i="16"/>
  <c r="BD9" i="16" s="1"/>
  <c r="AB9" i="16"/>
  <c r="AV9" i="16" s="1"/>
  <c r="AO9" i="16"/>
  <c r="BI9" i="16" s="1"/>
  <c r="BI449" i="16" s="1"/>
  <c r="AE9" i="16"/>
  <c r="AY9" i="16" s="1"/>
  <c r="AA9" i="16"/>
  <c r="AU9" i="16" s="1"/>
  <c r="AS8" i="16"/>
  <c r="AL9" i="16"/>
  <c r="BF9" i="16" s="1"/>
  <c r="AD9" i="16"/>
  <c r="AX9" i="16" s="1"/>
  <c r="AG9" i="16"/>
  <c r="BA9" i="16" s="1"/>
  <c r="BA449" i="16" s="1"/>
  <c r="AK9" i="16"/>
  <c r="BE9" i="16" s="1"/>
  <c r="AH9" i="16"/>
  <c r="BB9" i="16" s="1"/>
  <c r="BB449" i="16" s="1"/>
  <c r="BP341" i="16"/>
  <c r="BX341" i="16"/>
  <c r="CY342" i="16" s="1"/>
  <c r="CL341" i="16"/>
  <c r="CV383" i="16"/>
  <c r="BU383" i="16"/>
  <c r="CP330" i="16"/>
  <c r="BQ252" i="16"/>
  <c r="CR252" i="16"/>
  <c r="E32" i="27"/>
  <c r="E39" i="25"/>
  <c r="E44" i="28"/>
  <c r="E44" i="29"/>
  <c r="CJ185" i="16"/>
  <c r="BN185" i="16"/>
  <c r="BR185" i="16"/>
  <c r="CS186" i="16" s="1"/>
  <c r="CD261" i="16"/>
  <c r="CB260" i="16"/>
  <c r="DC259" i="16"/>
  <c r="CD307" i="16"/>
  <c r="DE306" i="16"/>
  <c r="CV406" i="16"/>
  <c r="BU406" i="16"/>
  <c r="BU274" i="16"/>
  <c r="CV274" i="16"/>
  <c r="G65" i="21"/>
  <c r="G65" i="23"/>
  <c r="CI294" i="16"/>
  <c r="BM294" i="16"/>
  <c r="BS294" i="16"/>
  <c r="CT295" i="16" s="1"/>
  <c r="F62" i="25"/>
  <c r="F72" i="18"/>
  <c r="CI164" i="16"/>
  <c r="BM164" i="16"/>
  <c r="CC284" i="16"/>
  <c r="DB283" i="16"/>
  <c r="F14" i="20"/>
  <c r="DD447" i="16"/>
  <c r="CN353" i="16"/>
  <c r="G15" i="26"/>
  <c r="H56" i="10"/>
  <c r="H43" i="10"/>
  <c r="CB237" i="16"/>
  <c r="DC236" i="16"/>
  <c r="F46" i="10"/>
  <c r="E23" i="26"/>
  <c r="F57" i="10"/>
  <c r="F57" i="33" s="1"/>
  <c r="F40" i="10"/>
  <c r="F39" i="10"/>
  <c r="DF214" i="16"/>
  <c r="CL9" i="16"/>
  <c r="CL449" i="16" s="1"/>
  <c r="H33" i="20" s="1"/>
  <c r="BP448" i="16"/>
  <c r="BX9" i="16"/>
  <c r="CY10" i="16" s="1"/>
  <c r="G29" i="23"/>
  <c r="G29" i="21"/>
  <c r="G51" i="17"/>
  <c r="CI186" i="16"/>
  <c r="BS186" i="16"/>
  <c r="CT187" i="16" s="1"/>
  <c r="BM186" i="16"/>
  <c r="CK123" i="16"/>
  <c r="BO123" i="16"/>
  <c r="F68" i="23"/>
  <c r="F68" i="21"/>
  <c r="F58" i="29"/>
  <c r="F58" i="27"/>
  <c r="DI236" i="16"/>
  <c r="I45" i="25"/>
  <c r="CQ192" i="16"/>
  <c r="E34" i="20"/>
  <c r="E34" i="33" s="1"/>
  <c r="E33" i="23"/>
  <c r="E33" i="21"/>
  <c r="CR428" i="16"/>
  <c r="BQ428" i="16"/>
  <c r="D10" i="28"/>
  <c r="D10" i="29"/>
  <c r="G10" i="25"/>
  <c r="H55" i="13"/>
  <c r="G40" i="18"/>
  <c r="H38" i="13"/>
  <c r="H37" i="13"/>
  <c r="BT319" i="16"/>
  <c r="CU319" i="16"/>
  <c r="CR99" i="16"/>
  <c r="BQ99" i="16"/>
  <c r="C25" i="28"/>
  <c r="C25" i="29"/>
  <c r="G59" i="21"/>
  <c r="G58" i="17"/>
  <c r="G59" i="23"/>
  <c r="E30" i="18"/>
  <c r="E52" i="25"/>
  <c r="E30" i="21"/>
  <c r="CV448" i="16"/>
  <c r="G65" i="20" s="1"/>
  <c r="G65" i="32" s="1"/>
  <c r="BO406" i="16"/>
  <c r="CK406" i="16"/>
  <c r="D40" i="27"/>
  <c r="CR54" i="16"/>
  <c r="BQ54" i="16"/>
  <c r="E17" i="23"/>
  <c r="E19" i="17"/>
  <c r="E17" i="21"/>
  <c r="CS9" i="16"/>
  <c r="CS449" i="16" s="1"/>
  <c r="H62" i="20" s="1"/>
  <c r="H62" i="33" s="1"/>
  <c r="BR448" i="16"/>
  <c r="G44" i="20" s="1"/>
  <c r="G44" i="33" s="1"/>
  <c r="CM9" i="16"/>
  <c r="CM449" i="16" s="1"/>
  <c r="H55" i="20" s="1"/>
  <c r="H55" i="33" s="1"/>
  <c r="DF8" i="16"/>
  <c r="DG8" i="16"/>
  <c r="BC448" i="16"/>
  <c r="AV448" i="16"/>
  <c r="BU9" i="16"/>
  <c r="CP9" i="16"/>
  <c r="CP449" i="16" s="1"/>
  <c r="H58" i="20" s="1"/>
  <c r="BF448" i="16"/>
  <c r="G40" i="20" s="1"/>
  <c r="BE448" i="16"/>
  <c r="BT9" i="16"/>
  <c r="DE8" i="16"/>
  <c r="CO9" i="16"/>
  <c r="CO449" i="16" s="1"/>
  <c r="H57" i="20" s="1"/>
  <c r="CJ9" i="16"/>
  <c r="BR9" i="16"/>
  <c r="BN448" i="16"/>
  <c r="G18" i="20" s="1"/>
  <c r="G18" i="33" s="1"/>
  <c r="CJ317" i="16"/>
  <c r="BR317" i="16"/>
  <c r="CS318" i="16" s="1"/>
  <c r="BN317" i="16"/>
  <c r="E42" i="23"/>
  <c r="E42" i="21"/>
  <c r="E23" i="17"/>
  <c r="CN170" i="16"/>
  <c r="E16" i="27"/>
  <c r="CO192" i="16"/>
  <c r="C23" i="20"/>
  <c r="C23" i="33" s="1"/>
  <c r="C24" i="23"/>
  <c r="C32" i="17"/>
  <c r="C24" i="21"/>
  <c r="F19" i="10"/>
  <c r="F19" i="33" s="1"/>
  <c r="F27" i="10"/>
  <c r="F27" i="33" s="1"/>
  <c r="E19" i="26"/>
  <c r="E22" i="10"/>
  <c r="F48" i="10"/>
  <c r="F32" i="10"/>
  <c r="F32" i="33" s="1"/>
  <c r="CG215" i="16"/>
  <c r="CI100" i="16"/>
  <c r="BM100" i="16"/>
  <c r="G60" i="17"/>
  <c r="DI7" i="16"/>
  <c r="D13" i="28"/>
  <c r="D16" i="17"/>
  <c r="D13" i="29"/>
  <c r="E31" i="18"/>
  <c r="E31" i="21"/>
  <c r="D63" i="17"/>
  <c r="D73" i="21"/>
  <c r="D73" i="23"/>
  <c r="F64" i="23"/>
  <c r="F64" i="21"/>
  <c r="G33" i="18"/>
  <c r="DH259" i="16"/>
  <c r="E36" i="27"/>
  <c r="CX274" i="16"/>
  <c r="BW274" i="16"/>
  <c r="CR142" i="16"/>
  <c r="BQ142" i="16"/>
  <c r="E66" i="23"/>
  <c r="E66" i="21"/>
  <c r="BX100" i="16"/>
  <c r="CY101" i="16" s="1"/>
  <c r="CL100" i="16"/>
  <c r="BP100" i="16"/>
  <c r="BW363" i="16"/>
  <c r="CX363" i="16"/>
  <c r="C21" i="28"/>
  <c r="C21" i="29"/>
  <c r="CQ307" i="16"/>
  <c r="CP307" i="16"/>
  <c r="DE375" i="16"/>
  <c r="E11" i="27"/>
  <c r="G58" i="25"/>
  <c r="G59" i="18"/>
  <c r="J3" i="10"/>
  <c r="I8" i="26"/>
  <c r="J7" i="10"/>
  <c r="D27" i="28"/>
  <c r="E18" i="21"/>
  <c r="C16" i="28"/>
  <c r="C16" i="29"/>
  <c r="F47" i="23"/>
  <c r="F47" i="21"/>
  <c r="CR164" i="16"/>
  <c r="BQ164" i="16"/>
  <c r="G48" i="25"/>
  <c r="G64" i="18"/>
  <c r="BQ208" i="16"/>
  <c r="CR208" i="16"/>
  <c r="E9" i="28"/>
  <c r="E9" i="29"/>
  <c r="F57" i="27"/>
  <c r="F57" i="29"/>
  <c r="CF215" i="16"/>
  <c r="CB283" i="16"/>
  <c r="DC282" i="16"/>
  <c r="CO284" i="16"/>
  <c r="CF284" i="16"/>
  <c r="CK9" i="16"/>
  <c r="BV9" i="16"/>
  <c r="BO448" i="16"/>
  <c r="G19" i="20" s="1"/>
  <c r="CN330" i="16"/>
  <c r="DD352" i="16"/>
  <c r="CC353" i="16"/>
  <c r="DG352" i="16"/>
  <c r="CI317" i="16"/>
  <c r="BM317" i="16"/>
  <c r="BS317" i="16"/>
  <c r="CT318" i="16" s="1"/>
  <c r="CU54" i="16"/>
  <c r="BT54" i="16"/>
  <c r="G51" i="10"/>
  <c r="H61" i="10"/>
  <c r="AF238" i="16"/>
  <c r="AZ238" i="16" s="1"/>
  <c r="CD238" i="16"/>
  <c r="BX363" i="16"/>
  <c r="CY364" i="16" s="1"/>
  <c r="BP363" i="16"/>
  <c r="CL363" i="16"/>
  <c r="DJ8" i="16"/>
  <c r="F16" i="23"/>
  <c r="F14" i="17"/>
  <c r="F16" i="21"/>
  <c r="CH330" i="16"/>
  <c r="D55" i="25"/>
  <c r="D54" i="27"/>
  <c r="D65" i="25"/>
  <c r="C41" i="27"/>
  <c r="CD170" i="16"/>
  <c r="D21" i="20"/>
  <c r="D21" i="33" s="1"/>
  <c r="D20" i="23"/>
  <c r="D20" i="21"/>
  <c r="BN405" i="16"/>
  <c r="BR405" i="16"/>
  <c r="CS406" i="16" s="1"/>
  <c r="CJ405" i="16"/>
  <c r="BN273" i="16"/>
  <c r="BR273" i="16"/>
  <c r="CS274" i="16" s="1"/>
  <c r="CJ273" i="16"/>
  <c r="CJ141" i="16"/>
  <c r="BR141" i="16"/>
  <c r="CS142" i="16" s="1"/>
  <c r="BN141" i="16"/>
  <c r="H43" i="13"/>
  <c r="H56" i="13"/>
  <c r="G15" i="25"/>
  <c r="G41" i="18"/>
  <c r="F10" i="27"/>
  <c r="F11" i="25"/>
  <c r="F33" i="10"/>
  <c r="F50" i="10"/>
  <c r="F27" i="13"/>
  <c r="E19" i="25"/>
  <c r="F19" i="13"/>
  <c r="E17" i="18"/>
  <c r="C11" i="28"/>
  <c r="C11" i="29"/>
  <c r="CR384" i="16"/>
  <c r="BQ384" i="16"/>
  <c r="CI206" i="16"/>
  <c r="BS206" i="16"/>
  <c r="CT207" i="16" s="1"/>
  <c r="BM206" i="16"/>
  <c r="CC9" i="16"/>
  <c r="CC449" i="16" s="1"/>
  <c r="H8" i="20" s="1"/>
  <c r="DB8" i="16"/>
  <c r="AT448" i="16"/>
  <c r="DC7" i="16"/>
  <c r="AS447" i="16"/>
  <c r="CB8" i="16"/>
  <c r="CB448" i="16" s="1"/>
  <c r="G7" i="20" s="1"/>
  <c r="G7" i="33" s="1"/>
  <c r="CR274" i="16"/>
  <c r="BQ274" i="16"/>
  <c r="CB124" i="16"/>
  <c r="DC123" i="16"/>
  <c r="F46" i="28"/>
  <c r="F46" i="29"/>
  <c r="F15" i="21"/>
  <c r="F9" i="17"/>
  <c r="F15" i="23"/>
  <c r="F34" i="21"/>
  <c r="F34" i="23"/>
  <c r="DD169" i="16"/>
  <c r="CG170" i="16"/>
  <c r="F45" i="28"/>
  <c r="F45" i="29"/>
  <c r="CF192" i="16"/>
  <c r="AK307" i="16"/>
  <c r="BE307" i="16" s="1"/>
  <c r="AS306" i="16"/>
  <c r="CB306" i="16"/>
  <c r="DC305" i="16"/>
  <c r="E40" i="21"/>
  <c r="E40" i="23"/>
  <c r="E10" i="17"/>
  <c r="G51" i="13"/>
  <c r="H61" i="13"/>
  <c r="G46" i="18"/>
  <c r="CX9" i="16"/>
  <c r="BW448" i="16"/>
  <c r="G49" i="20" s="1"/>
  <c r="DG329" i="16"/>
  <c r="DF329" i="16"/>
  <c r="CM330" i="16"/>
  <c r="CR296" i="16"/>
  <c r="BQ296" i="16"/>
  <c r="E63" i="25"/>
  <c r="E73" i="18"/>
  <c r="AA192" i="16"/>
  <c r="AU192" i="16" s="1"/>
  <c r="AS191" i="16"/>
  <c r="AL192" i="16"/>
  <c r="BF192" i="16" s="1"/>
  <c r="F36" i="26"/>
  <c r="F39" i="26" s="1"/>
  <c r="F60" i="29"/>
  <c r="F60" i="27"/>
  <c r="CD284" i="16"/>
  <c r="CF353" i="16"/>
  <c r="CQ170" i="16"/>
  <c r="E7" i="23"/>
  <c r="E7" i="21"/>
  <c r="E13" i="17"/>
  <c r="D38" i="27"/>
  <c r="DD329" i="16"/>
  <c r="CG330" i="16"/>
  <c r="BU185" i="16"/>
  <c r="CV185" i="16"/>
  <c r="CJ229" i="16"/>
  <c r="BR229" i="16"/>
  <c r="CS230" i="16" s="1"/>
  <c r="BN229" i="16"/>
  <c r="E33" i="17"/>
  <c r="DH236" i="16"/>
  <c r="CI7" i="16"/>
  <c r="CI447" i="16" s="1"/>
  <c r="F30" i="20" s="1"/>
  <c r="F30" i="33" s="1"/>
  <c r="BS7" i="16"/>
  <c r="BM446" i="16"/>
  <c r="E17" i="20" s="1"/>
  <c r="E17" i="33" s="1"/>
  <c r="BM7" i="16"/>
  <c r="G57" i="25"/>
  <c r="G58" i="18"/>
  <c r="D6" i="27"/>
  <c r="BQ340" i="16"/>
  <c r="CR340" i="16"/>
  <c r="D53" i="17"/>
  <c r="D35" i="20"/>
  <c r="D35" i="33" s="1"/>
  <c r="D37" i="21"/>
  <c r="D37" i="23"/>
  <c r="F21" i="23"/>
  <c r="F21" i="21"/>
  <c r="CQ9" i="16"/>
  <c r="CQ449" i="16" s="1"/>
  <c r="H59" i="20" s="1"/>
  <c r="BW9" i="16"/>
  <c r="BG448" i="16"/>
  <c r="G41" i="20" s="1"/>
  <c r="F30" i="17"/>
  <c r="F8" i="21"/>
  <c r="F8" i="23"/>
  <c r="CR120" i="16"/>
  <c r="BQ120" i="16"/>
  <c r="CL142" i="16"/>
  <c r="BX142" i="16"/>
  <c r="CY143" i="16" s="1"/>
  <c r="BP142" i="16"/>
  <c r="DH168" i="16"/>
  <c r="E14" i="28"/>
  <c r="E14" i="29"/>
  <c r="CJ361" i="16"/>
  <c r="BN361" i="16"/>
  <c r="BR361" i="16"/>
  <c r="CS362" i="16" s="1"/>
  <c r="E52" i="26"/>
  <c r="E52" i="28" s="1"/>
  <c r="E35" i="10"/>
  <c r="E30" i="23"/>
  <c r="DB214" i="16"/>
  <c r="CC215" i="16"/>
  <c r="CK77" i="16"/>
  <c r="BO77" i="16"/>
  <c r="CV9" i="16"/>
  <c r="BU448" i="16"/>
  <c r="G47" i="20" s="1"/>
  <c r="CU9" i="16"/>
  <c r="BT448" i="16"/>
  <c r="G46" i="20" s="1"/>
  <c r="F52" i="20"/>
  <c r="H63" i="13"/>
  <c r="G48" i="18"/>
  <c r="D48" i="21"/>
  <c r="D48" i="23"/>
  <c r="DD260" i="16"/>
  <c r="CN307" i="16"/>
  <c r="F50" i="28"/>
  <c r="F50" i="29"/>
  <c r="D20" i="28"/>
  <c r="E27" i="17"/>
  <c r="G61" i="17"/>
  <c r="CF330" i="16"/>
  <c r="CP170" i="16"/>
  <c r="F36" i="25"/>
  <c r="F54" i="18"/>
  <c r="CX76" i="16"/>
  <c r="BW76" i="16"/>
  <c r="CD215" i="16"/>
  <c r="CO353" i="16"/>
  <c r="DE352" i="16"/>
  <c r="DC351" i="16"/>
  <c r="CB352" i="16"/>
  <c r="CG192" i="16"/>
  <c r="C38" i="17"/>
  <c r="C56" i="23"/>
  <c r="C56" i="21"/>
  <c r="CO238" i="16"/>
  <c r="BX33" i="16"/>
  <c r="CY34" i="16" s="1"/>
  <c r="CL33" i="16"/>
  <c r="F59" i="10"/>
  <c r="F59" i="33" s="1"/>
  <c r="E24" i="26"/>
  <c r="E24" i="28" s="1"/>
  <c r="F49" i="10"/>
  <c r="F41" i="10"/>
  <c r="E30" i="28"/>
  <c r="E30" i="29"/>
  <c r="D40" i="17"/>
  <c r="D40" i="28" s="1"/>
  <c r="D33" i="28"/>
  <c r="D33" i="29"/>
  <c r="F40" i="13"/>
  <c r="F57" i="13"/>
  <c r="E23" i="25"/>
  <c r="F46" i="13"/>
  <c r="E42" i="18"/>
  <c r="DB447" i="16"/>
  <c r="F4" i="20"/>
  <c r="F4" i="33" s="1"/>
  <c r="CO330" i="16"/>
  <c r="DE329" i="16"/>
  <c r="CL121" i="16"/>
  <c r="BX121" i="16"/>
  <c r="CY122" i="16" s="1"/>
  <c r="BP121" i="16"/>
  <c r="CK429" i="16"/>
  <c r="BO429" i="16"/>
  <c r="BU141" i="16"/>
  <c r="CV141" i="16"/>
  <c r="DJ169" i="16"/>
  <c r="DK169" i="16"/>
  <c r="CX121" i="16"/>
  <c r="BW121" i="16"/>
  <c r="CI405" i="16"/>
  <c r="BS405" i="16"/>
  <c r="CT406" i="16" s="1"/>
  <c r="BM405" i="16"/>
  <c r="DC146" i="16"/>
  <c r="CB147" i="16"/>
  <c r="CT7" i="16"/>
  <c r="CT447" i="16" s="1"/>
  <c r="F63" i="20" s="1"/>
  <c r="F63" i="33" s="1"/>
  <c r="BS446" i="16"/>
  <c r="E45" i="20" s="1"/>
  <c r="E45" i="33" s="1"/>
  <c r="CJ340" i="16"/>
  <c r="BN340" i="16"/>
  <c r="CI76" i="16"/>
  <c r="BS76" i="16"/>
  <c r="CT77" i="16" s="1"/>
  <c r="BM76" i="16"/>
  <c r="F46" i="23"/>
  <c r="F46" i="21"/>
  <c r="F51" i="28"/>
  <c r="F51" i="29"/>
  <c r="F41" i="23"/>
  <c r="F41" i="21"/>
  <c r="F15" i="17"/>
  <c r="F15" i="28" s="1"/>
  <c r="CQ330" i="16"/>
  <c r="F48" i="13"/>
  <c r="F51" i="21" s="1"/>
  <c r="E22" i="13"/>
  <c r="F32" i="13"/>
  <c r="E22" i="18"/>
  <c r="F50" i="23"/>
  <c r="F50" i="21"/>
  <c r="CF170" i="16"/>
  <c r="BQ230" i="16"/>
  <c r="CR230" i="16"/>
  <c r="D37" i="29"/>
  <c r="D25" i="17"/>
  <c r="D23" i="28"/>
  <c r="D23" i="29"/>
  <c r="AW448" i="16"/>
  <c r="G12" i="20" s="1"/>
  <c r="G12" i="33" s="1"/>
  <c r="CE9" i="16"/>
  <c r="CE449" i="16" s="1"/>
  <c r="H25" i="20" s="1"/>
  <c r="H25" i="33" s="1"/>
  <c r="CN9" i="16"/>
  <c r="CN449" i="16" s="1"/>
  <c r="H56" i="20" s="1"/>
  <c r="BQ9" i="16"/>
  <c r="BD448" i="16"/>
  <c r="G38" i="20" s="1"/>
  <c r="G38" i="33" s="1"/>
  <c r="BO9" i="16"/>
  <c r="AY448" i="16"/>
  <c r="DD8" i="16"/>
  <c r="CG9" i="16"/>
  <c r="CG449" i="16" s="1"/>
  <c r="H27" i="20" s="1"/>
  <c r="CF9" i="16"/>
  <c r="CF449" i="16" s="1"/>
  <c r="H26" i="20" s="1"/>
  <c r="AX448" i="16"/>
  <c r="G13" i="20" s="1"/>
  <c r="G13" i="33" s="1"/>
  <c r="G12" i="21"/>
  <c r="G12" i="23"/>
  <c r="G46" i="17"/>
  <c r="DB329" i="16"/>
  <c r="CC330" i="16"/>
  <c r="CL188" i="16"/>
  <c r="BP188" i="16"/>
  <c r="BN165" i="16"/>
  <c r="CJ165" i="16"/>
  <c r="CR318" i="16"/>
  <c r="BQ318" i="16"/>
  <c r="CV121" i="16"/>
  <c r="BU121" i="16"/>
  <c r="F20" i="10"/>
  <c r="F28" i="10"/>
  <c r="E20" i="26"/>
  <c r="BX448" i="16"/>
  <c r="G50" i="20" s="1"/>
  <c r="F20" i="20"/>
  <c r="CN215" i="16"/>
  <c r="DG447" i="16"/>
  <c r="F37" i="20"/>
  <c r="F37" i="33" s="1"/>
  <c r="DF447" i="16"/>
  <c r="G28" i="21"/>
  <c r="G28" i="23"/>
  <c r="G50" i="17"/>
  <c r="G59" i="17"/>
  <c r="BT274" i="16"/>
  <c r="CU274" i="16"/>
  <c r="F50" i="13"/>
  <c r="F33" i="13"/>
  <c r="E23" i="18"/>
  <c r="D62" i="28"/>
  <c r="D62" i="29"/>
  <c r="E44" i="18"/>
  <c r="H45" i="13"/>
  <c r="H30" i="13"/>
  <c r="G21" i="13"/>
  <c r="G20" i="18"/>
  <c r="H17" i="13"/>
  <c r="F32" i="25"/>
  <c r="F24" i="18"/>
  <c r="BQ184" i="16"/>
  <c r="BQ448" i="16" s="1"/>
  <c r="G43" i="20" s="1"/>
  <c r="G43" i="33" s="1"/>
  <c r="CR184" i="16"/>
  <c r="CR448" i="16" s="1"/>
  <c r="G61" i="20" s="1"/>
  <c r="G61" i="32" s="1"/>
  <c r="DG169" i="16"/>
  <c r="DF169" i="16"/>
  <c r="CM170" i="16"/>
  <c r="DB169" i="16"/>
  <c r="CC170" i="16"/>
  <c r="E47" i="17"/>
  <c r="E13" i="23"/>
  <c r="E13" i="21"/>
  <c r="C28" i="17"/>
  <c r="C26" i="28"/>
  <c r="C26" i="29"/>
  <c r="CH261" i="16"/>
  <c r="AO261" i="16"/>
  <c r="BI261" i="16" s="1"/>
  <c r="AS260" i="16"/>
  <c r="AJ261" i="16"/>
  <c r="BD261" i="16" s="1"/>
  <c r="CI362" i="16"/>
  <c r="BM362" i="16"/>
  <c r="BS141" i="16"/>
  <c r="CT142" i="16" s="1"/>
  <c r="BM141" i="16"/>
  <c r="CI141" i="16"/>
  <c r="CH307" i="16"/>
  <c r="BT143" i="16"/>
  <c r="CU143" i="16"/>
  <c r="CB375" i="16"/>
  <c r="DC374" i="16"/>
  <c r="DD375" i="16"/>
  <c r="F15" i="27"/>
  <c r="F16" i="25"/>
  <c r="DI328" i="16"/>
  <c r="BT340" i="16"/>
  <c r="CU340" i="16"/>
  <c r="I46" i="25"/>
  <c r="BN253" i="16"/>
  <c r="CJ253" i="16"/>
  <c r="I44" i="26"/>
  <c r="BT120" i="16"/>
  <c r="CU120" i="16"/>
  <c r="E18" i="23"/>
  <c r="CP215" i="16"/>
  <c r="F24" i="17"/>
  <c r="DC446" i="16"/>
  <c r="E3" i="20"/>
  <c r="E3" i="33" s="1"/>
  <c r="BV383" i="16"/>
  <c r="CW384" i="16" s="1"/>
  <c r="CK383" i="16"/>
  <c r="BO383" i="16"/>
  <c r="D76" i="18"/>
  <c r="D78" i="18" s="1"/>
  <c r="E62" i="27"/>
  <c r="D51" i="20"/>
  <c r="D51" i="33" s="1"/>
  <c r="D6" i="21"/>
  <c r="D6" i="23"/>
  <c r="D8" i="17"/>
  <c r="CV207" i="16"/>
  <c r="BU207" i="16"/>
  <c r="CU185" i="16"/>
  <c r="BT185" i="16"/>
  <c r="BM383" i="16"/>
  <c r="CI383" i="16"/>
  <c r="BS383" i="16"/>
  <c r="CT384" i="16" s="1"/>
  <c r="E23" i="23"/>
  <c r="E23" i="21"/>
  <c r="DH328" i="16"/>
  <c r="CK142" i="16"/>
  <c r="BO142" i="16"/>
  <c r="AL284" i="16"/>
  <c r="BF284" i="16" s="1"/>
  <c r="AN284" i="16"/>
  <c r="BH284" i="16" s="1"/>
  <c r="G52" i="17"/>
  <c r="CH353" i="16"/>
  <c r="AB353" i="16"/>
  <c r="AV353" i="16" s="1"/>
  <c r="AD353" i="16"/>
  <c r="AX353" i="16" s="1"/>
  <c r="AM353" i="16"/>
  <c r="BG353" i="16" s="1"/>
  <c r="AS352" i="16"/>
  <c r="CD353" i="16"/>
  <c r="CP353" i="16"/>
  <c r="D41" i="25"/>
  <c r="D39" i="27"/>
  <c r="DC54" i="16"/>
  <c r="CB55" i="16"/>
  <c r="AS169" i="16"/>
  <c r="AC170" i="16"/>
  <c r="AW170" i="16" s="1"/>
  <c r="CE171" i="16" s="1"/>
  <c r="AH170" i="16"/>
  <c r="BB170" i="16" s="1"/>
  <c r="AK170" i="16"/>
  <c r="BE170" i="16" s="1"/>
  <c r="AM170" i="16"/>
  <c r="BG170" i="16" s="1"/>
  <c r="Y170" i="16"/>
  <c r="AN170" i="16"/>
  <c r="BH170" i="16" s="1"/>
  <c r="AI170" i="16"/>
  <c r="BC170" i="16" s="1"/>
  <c r="AB170" i="16"/>
  <c r="AV170" i="16" s="1"/>
  <c r="AA170" i="16"/>
  <c r="AU170" i="16" s="1"/>
  <c r="AD170" i="16"/>
  <c r="AX170" i="16" s="1"/>
  <c r="AL170" i="16"/>
  <c r="BF170" i="16" s="1"/>
  <c r="AE170" i="16"/>
  <c r="AY170" i="16" s="1"/>
  <c r="AJ170" i="16"/>
  <c r="BD170" i="16" s="1"/>
  <c r="AG170" i="16"/>
  <c r="BA170" i="16" s="1"/>
  <c r="Z170" i="16"/>
  <c r="AT170" i="16" s="1"/>
  <c r="AO170" i="16"/>
  <c r="BI170" i="16" s="1"/>
  <c r="AF170" i="16"/>
  <c r="AZ170" i="16" s="1"/>
  <c r="H44" i="27"/>
  <c r="DH282" i="16"/>
  <c r="CK448" i="16"/>
  <c r="G32" i="20" s="1"/>
  <c r="BW318" i="16"/>
  <c r="CX318" i="16"/>
  <c r="CN238" i="16"/>
  <c r="CF238" i="16"/>
  <c r="CP238" i="16"/>
  <c r="DK213" i="16" l="1"/>
  <c r="DJ213" i="16"/>
  <c r="CC238" i="16"/>
  <c r="Y353" i="16"/>
  <c r="AS353" i="16" s="1"/>
  <c r="DC353" i="16" s="1"/>
  <c r="AC353" i="16"/>
  <c r="AW353" i="16" s="1"/>
  <c r="AF353" i="16"/>
  <c r="AZ353" i="16" s="1"/>
  <c r="AE353" i="16"/>
  <c r="AY353" i="16" s="1"/>
  <c r="DD353" i="16" s="1"/>
  <c r="AD284" i="16"/>
  <c r="AX284" i="16" s="1"/>
  <c r="CF285" i="16" s="1"/>
  <c r="AO284" i="16"/>
  <c r="BI284" i="16" s="1"/>
  <c r="CG307" i="16"/>
  <c r="Y261" i="16"/>
  <c r="AF262" i="16" s="1"/>
  <c r="AZ262" i="16" s="1"/>
  <c r="DD191" i="16"/>
  <c r="DE260" i="16"/>
  <c r="DF191" i="16"/>
  <c r="AJ192" i="16"/>
  <c r="BD192" i="16" s="1"/>
  <c r="CN193" i="16" s="1"/>
  <c r="AC307" i="16"/>
  <c r="AW307" i="16" s="1"/>
  <c r="CE308" i="16" s="1"/>
  <c r="AG238" i="16"/>
  <c r="BA238" i="16" s="1"/>
  <c r="DG214" i="16"/>
  <c r="AE215" i="16"/>
  <c r="AY215" i="16" s="1"/>
  <c r="CG216" i="16" s="1"/>
  <c r="AH215" i="16"/>
  <c r="BB215" i="16" s="1"/>
  <c r="AN215" i="16"/>
  <c r="BH215" i="16" s="1"/>
  <c r="DJ352" i="16"/>
  <c r="DF305" i="16"/>
  <c r="DI305" i="16" s="1"/>
  <c r="DG305" i="16"/>
  <c r="DH305" i="16" s="1"/>
  <c r="AN353" i="16"/>
  <c r="BH353" i="16" s="1"/>
  <c r="AH353" i="16"/>
  <c r="BB353" i="16" s="1"/>
  <c r="AA353" i="16"/>
  <c r="AU353" i="16" s="1"/>
  <c r="AJ353" i="16"/>
  <c r="BD353" i="16" s="1"/>
  <c r="DG353" i="16" s="1"/>
  <c r="AL353" i="16"/>
  <c r="BF353" i="16" s="1"/>
  <c r="CN284" i="16"/>
  <c r="AS283" i="16"/>
  <c r="CB284" i="16" s="1"/>
  <c r="BV77" i="16"/>
  <c r="CW78" i="16" s="1"/>
  <c r="J55" i="10"/>
  <c r="AF307" i="16"/>
  <c r="AZ307" i="16" s="1"/>
  <c r="AL238" i="16"/>
  <c r="BF238" i="16" s="1"/>
  <c r="DF352" i="16"/>
  <c r="DI352" i="16" s="1"/>
  <c r="DD214" i="16"/>
  <c r="BM428" i="16"/>
  <c r="BM429" i="16" s="1"/>
  <c r="CM238" i="16"/>
  <c r="DJ214" i="16"/>
  <c r="Y215" i="16"/>
  <c r="AD215" i="16"/>
  <c r="AX215" i="16" s="1"/>
  <c r="CF216" i="16" s="1"/>
  <c r="AO215" i="16"/>
  <c r="BI215" i="16" s="1"/>
  <c r="AB215" i="16"/>
  <c r="AV215" i="16" s="1"/>
  <c r="DJ215" i="16" s="1"/>
  <c r="DK283" i="16"/>
  <c r="AK353" i="16"/>
  <c r="BE353" i="16" s="1"/>
  <c r="DE353" i="16" s="1"/>
  <c r="AG353" i="16"/>
  <c r="BA353" i="16" s="1"/>
  <c r="Z353" i="16"/>
  <c r="AT353" i="16" s="1"/>
  <c r="DB353" i="16" s="1"/>
  <c r="AI353" i="16"/>
  <c r="BC353" i="16" s="1"/>
  <c r="BS99" i="16"/>
  <c r="CT100" i="16" s="1"/>
  <c r="BR340" i="16"/>
  <c r="CS341" i="16" s="1"/>
  <c r="AF192" i="16"/>
  <c r="AZ192" i="16" s="1"/>
  <c r="CH193" i="16" s="1"/>
  <c r="DF306" i="16"/>
  <c r="AI215" i="16"/>
  <c r="BC215" i="16" s="1"/>
  <c r="AL215" i="16"/>
  <c r="BF215" i="16" s="1"/>
  <c r="CP216" i="16" s="1"/>
  <c r="AF215" i="16"/>
  <c r="AZ215" i="16" s="1"/>
  <c r="CH216" i="16" s="1"/>
  <c r="Z215" i="16"/>
  <c r="AT215" i="16" s="1"/>
  <c r="I12" i="31"/>
  <c r="E69" i="33"/>
  <c r="BN79" i="16"/>
  <c r="G30" i="27"/>
  <c r="DJ237" i="16"/>
  <c r="DD283" i="16"/>
  <c r="AJ307" i="16"/>
  <c r="BD307" i="16" s="1"/>
  <c r="CN308" i="16" s="1"/>
  <c r="DG260" i="16"/>
  <c r="DF237" i="16"/>
  <c r="DK351" i="16"/>
  <c r="DJ351" i="16"/>
  <c r="CM283" i="16"/>
  <c r="DF282" i="16"/>
  <c r="DI282" i="16" s="1"/>
  <c r="AJ284" i="16"/>
  <c r="BD284" i="16" s="1"/>
  <c r="DG284" i="16" s="1"/>
  <c r="AM284" i="16"/>
  <c r="BG284" i="16" s="1"/>
  <c r="AD261" i="16"/>
  <c r="AX261" i="16" s="1"/>
  <c r="AF261" i="16"/>
  <c r="AZ261" i="16" s="1"/>
  <c r="CH262" i="16" s="1"/>
  <c r="BV406" i="16"/>
  <c r="CW407" i="16" s="1"/>
  <c r="BT77" i="16"/>
  <c r="CU78" i="16" s="1"/>
  <c r="BS164" i="16"/>
  <c r="CT165" i="16" s="1"/>
  <c r="AB284" i="16"/>
  <c r="AV284" i="16" s="1"/>
  <c r="DK284" i="16" s="1"/>
  <c r="AE284" i="16"/>
  <c r="AY284" i="16" s="1"/>
  <c r="Y284" i="16"/>
  <c r="AE285" i="16" s="1"/>
  <c r="AY285" i="16" s="1"/>
  <c r="DB306" i="16"/>
  <c r="AG261" i="16"/>
  <c r="BA261" i="16" s="1"/>
  <c r="AN261" i="16"/>
  <c r="BH261" i="16" s="1"/>
  <c r="AI261" i="16"/>
  <c r="BC261" i="16" s="1"/>
  <c r="CM262" i="16" s="1"/>
  <c r="AB261" i="16"/>
  <c r="AV261" i="16" s="1"/>
  <c r="CM261" i="16"/>
  <c r="DD237" i="16"/>
  <c r="DH237" i="16" s="1"/>
  <c r="AD192" i="16"/>
  <c r="AX192" i="16" s="1"/>
  <c r="AG192" i="16"/>
  <c r="BA192" i="16" s="1"/>
  <c r="AN192" i="16"/>
  <c r="BH192" i="16" s="1"/>
  <c r="AK192" i="16"/>
  <c r="BE192" i="16" s="1"/>
  <c r="CO193" i="16" s="1"/>
  <c r="Z307" i="16"/>
  <c r="AT307" i="16" s="1"/>
  <c r="CC308" i="16" s="1"/>
  <c r="AA307" i="16"/>
  <c r="AU307" i="16" s="1"/>
  <c r="AO307" i="16"/>
  <c r="BI307" i="16" s="1"/>
  <c r="AH307" i="16"/>
  <c r="BB307" i="16" s="1"/>
  <c r="AI307" i="16"/>
  <c r="BC307" i="16" s="1"/>
  <c r="CM308" i="16" s="1"/>
  <c r="AN238" i="16"/>
  <c r="BH238" i="16" s="1"/>
  <c r="AO238" i="16"/>
  <c r="BI238" i="16" s="1"/>
  <c r="AH238" i="16"/>
  <c r="BB238" i="16" s="1"/>
  <c r="Y238" i="16"/>
  <c r="AA239" i="16" s="1"/>
  <c r="AU239" i="16" s="1"/>
  <c r="AB238" i="16"/>
  <c r="AV238" i="16" s="1"/>
  <c r="DG306" i="16"/>
  <c r="DH306" i="16" s="1"/>
  <c r="DB260" i="16"/>
  <c r="CH284" i="16"/>
  <c r="DB191" i="16"/>
  <c r="DF283" i="16"/>
  <c r="DI283" i="16" s="1"/>
  <c r="DK191" i="16"/>
  <c r="DK260" i="16"/>
  <c r="AF284" i="16"/>
  <c r="AZ284" i="16" s="1"/>
  <c r="CH285" i="16" s="1"/>
  <c r="AA284" i="16"/>
  <c r="AU284" i="16" s="1"/>
  <c r="CD285" i="16" s="1"/>
  <c r="AC284" i="16"/>
  <c r="AW284" i="16" s="1"/>
  <c r="CE285" i="16" s="1"/>
  <c r="AC261" i="16"/>
  <c r="AW261" i="16" s="1"/>
  <c r="CE262" i="16" s="1"/>
  <c r="AE261" i="16"/>
  <c r="AY261" i="16" s="1"/>
  <c r="AI192" i="16"/>
  <c r="BC192" i="16" s="1"/>
  <c r="AO192" i="16"/>
  <c r="BI192" i="16" s="1"/>
  <c r="Z192" i="16"/>
  <c r="AT192" i="16" s="1"/>
  <c r="CC193" i="16" s="1"/>
  <c r="AH192" i="16"/>
  <c r="BB192" i="16" s="1"/>
  <c r="AB307" i="16"/>
  <c r="AV307" i="16" s="1"/>
  <c r="AL307" i="16"/>
  <c r="BF307" i="16" s="1"/>
  <c r="Y307" i="16"/>
  <c r="AC308" i="16" s="1"/>
  <c r="AW308" i="16" s="1"/>
  <c r="CE309" i="16" s="1"/>
  <c r="AM307" i="16"/>
  <c r="BG307" i="16" s="1"/>
  <c r="AN307" i="16"/>
  <c r="BH307" i="16" s="1"/>
  <c r="AE238" i="16"/>
  <c r="AY238" i="16" s="1"/>
  <c r="AM238" i="16"/>
  <c r="BG238" i="16" s="1"/>
  <c r="DD238" i="16" s="1"/>
  <c r="AK238" i="16"/>
  <c r="BE238" i="16" s="1"/>
  <c r="CO239" i="16" s="1"/>
  <c r="AI238" i="16"/>
  <c r="BC238" i="16" s="1"/>
  <c r="CM239" i="16" s="1"/>
  <c r="AG284" i="16"/>
  <c r="BA284" i="16" s="1"/>
  <c r="AK284" i="16"/>
  <c r="BE284" i="16" s="1"/>
  <c r="CO285" i="16" s="1"/>
  <c r="AH284" i="16"/>
  <c r="BB284" i="16" s="1"/>
  <c r="Z284" i="16"/>
  <c r="AT284" i="16" s="1"/>
  <c r="CC285" i="16" s="1"/>
  <c r="J37" i="10"/>
  <c r="J10" i="26" s="1"/>
  <c r="AH261" i="16"/>
  <c r="BB261" i="16" s="1"/>
  <c r="DJ261" i="16" s="1"/>
  <c r="AM261" i="16"/>
  <c r="BG261" i="16" s="1"/>
  <c r="CQ262" i="16" s="1"/>
  <c r="AK261" i="16"/>
  <c r="BE261" i="16" s="1"/>
  <c r="AL261" i="16"/>
  <c r="BF261" i="16" s="1"/>
  <c r="CP262" i="16" s="1"/>
  <c r="AA261" i="16"/>
  <c r="AU261" i="16" s="1"/>
  <c r="CD262" i="16" s="1"/>
  <c r="DG191" i="16"/>
  <c r="AE192" i="16"/>
  <c r="AY192" i="16" s="1"/>
  <c r="Y192" i="16"/>
  <c r="AN193" i="16" s="1"/>
  <c r="BH193" i="16" s="1"/>
  <c r="AB192" i="16"/>
  <c r="AV192" i="16" s="1"/>
  <c r="DK192" i="16" s="1"/>
  <c r="AC192" i="16"/>
  <c r="AW192" i="16" s="1"/>
  <c r="CE193" i="16" s="1"/>
  <c r="AD307" i="16"/>
  <c r="AX307" i="16" s="1"/>
  <c r="AG307" i="16"/>
  <c r="BA307" i="16" s="1"/>
  <c r="AE307" i="16"/>
  <c r="AY307" i="16" s="1"/>
  <c r="CG308" i="16" s="1"/>
  <c r="AJ238" i="16"/>
  <c r="BD238" i="16" s="1"/>
  <c r="Z238" i="16"/>
  <c r="AT238" i="16" s="1"/>
  <c r="AC238" i="16"/>
  <c r="AW238" i="16" s="1"/>
  <c r="CE239" i="16" s="1"/>
  <c r="AD238" i="16"/>
  <c r="AX238" i="16" s="1"/>
  <c r="CF239" i="16" s="1"/>
  <c r="AA238" i="16"/>
  <c r="AU238" i="16" s="1"/>
  <c r="DJ260" i="16"/>
  <c r="BS55" i="16"/>
  <c r="CT56" i="16" s="1"/>
  <c r="BW99" i="16"/>
  <c r="CX100" i="16" s="1"/>
  <c r="BX187" i="16"/>
  <c r="CY188" i="16" s="1"/>
  <c r="BS428" i="16"/>
  <c r="CT429" i="16" s="1"/>
  <c r="DF101" i="16"/>
  <c r="BN55" i="16"/>
  <c r="BR56" i="16" s="1"/>
  <c r="CS57" i="16" s="1"/>
  <c r="CJ55" i="16"/>
  <c r="DI123" i="16"/>
  <c r="BV55" i="16"/>
  <c r="CW56" i="16" s="1"/>
  <c r="H11" i="26"/>
  <c r="DJ101" i="16"/>
  <c r="G14" i="27"/>
  <c r="CU208" i="16"/>
  <c r="CB78" i="16"/>
  <c r="DI100" i="16"/>
  <c r="H15" i="26"/>
  <c r="BW56" i="16"/>
  <c r="CX57" i="16" s="1"/>
  <c r="BR122" i="16"/>
  <c r="CS123" i="16" s="1"/>
  <c r="H9" i="27"/>
  <c r="DH123" i="16"/>
  <c r="I7" i="31"/>
  <c r="DK147" i="16"/>
  <c r="DF124" i="16"/>
  <c r="J25" i="10"/>
  <c r="J25" i="31" s="1"/>
  <c r="I28" i="18"/>
  <c r="CN125" i="16"/>
  <c r="CD79" i="16"/>
  <c r="J12" i="10"/>
  <c r="I26" i="13"/>
  <c r="I51" i="25" s="1"/>
  <c r="G13" i="18"/>
  <c r="I10" i="13"/>
  <c r="I47" i="25" s="1"/>
  <c r="I48" i="25" s="1"/>
  <c r="CU362" i="16"/>
  <c r="DH146" i="16"/>
  <c r="G47" i="26"/>
  <c r="G47" i="27" s="1"/>
  <c r="BX56" i="16"/>
  <c r="CY57" i="16" s="1"/>
  <c r="DK101" i="16"/>
  <c r="AA79" i="16"/>
  <c r="AU79" i="16" s="1"/>
  <c r="AK102" i="16"/>
  <c r="BE102" i="16" s="1"/>
  <c r="DD101" i="16"/>
  <c r="H51" i="26"/>
  <c r="H51" i="27" s="1"/>
  <c r="I25" i="31"/>
  <c r="BS362" i="16"/>
  <c r="CT363" i="16" s="1"/>
  <c r="H26" i="33"/>
  <c r="D48" i="29"/>
  <c r="DJ78" i="16"/>
  <c r="DH77" i="16"/>
  <c r="DB124" i="16"/>
  <c r="DK124" i="16"/>
  <c r="DH100" i="16"/>
  <c r="DK78" i="16"/>
  <c r="AJ79" i="16"/>
  <c r="BD79" i="16" s="1"/>
  <c r="CN80" i="16" s="1"/>
  <c r="AI125" i="16"/>
  <c r="BC125" i="16" s="1"/>
  <c r="BP79" i="16"/>
  <c r="CL80" i="16" s="1"/>
  <c r="CF125" i="16"/>
  <c r="DG124" i="16"/>
  <c r="DB101" i="16"/>
  <c r="DJ124" i="16"/>
  <c r="G34" i="21"/>
  <c r="AA102" i="16"/>
  <c r="AU102" i="16" s="1"/>
  <c r="CD103" i="16" s="1"/>
  <c r="AM125" i="16"/>
  <c r="BG125" i="16" s="1"/>
  <c r="BR33" i="16"/>
  <c r="CS34" i="16" s="1"/>
  <c r="H29" i="18"/>
  <c r="DE101" i="16"/>
  <c r="AG102" i="16"/>
  <c r="BA102" i="16" s="1"/>
  <c r="AN125" i="16"/>
  <c r="BH125" i="16" s="1"/>
  <c r="BR253" i="16"/>
  <c r="CS254" i="16" s="1"/>
  <c r="CB101" i="16"/>
  <c r="AO102" i="16"/>
  <c r="BI102" i="16" s="1"/>
  <c r="AH102" i="16"/>
  <c r="BB102" i="16" s="1"/>
  <c r="AO125" i="16"/>
  <c r="BI125" i="16" s="1"/>
  <c r="BV33" i="16"/>
  <c r="CW34" i="16" s="1"/>
  <c r="DD124" i="16"/>
  <c r="DE124" i="16"/>
  <c r="BX78" i="16"/>
  <c r="CY79" i="16" s="1"/>
  <c r="I9" i="25"/>
  <c r="DH8" i="16"/>
  <c r="E62" i="17"/>
  <c r="E62" i="28" s="1"/>
  <c r="G16" i="26"/>
  <c r="CH125" i="16"/>
  <c r="E72" i="23"/>
  <c r="AD79" i="16"/>
  <c r="AX79" i="16" s="1"/>
  <c r="Z102" i="16"/>
  <c r="AT102" i="16" s="1"/>
  <c r="CC103" i="16" s="1"/>
  <c r="AL102" i="16"/>
  <c r="BF102" i="16" s="1"/>
  <c r="CP103" i="16" s="1"/>
  <c r="AB102" i="16"/>
  <c r="AV102" i="16" s="1"/>
  <c r="AF102" i="16"/>
  <c r="AZ102" i="16" s="1"/>
  <c r="CH103" i="16" s="1"/>
  <c r="AF125" i="16"/>
  <c r="AZ125" i="16" s="1"/>
  <c r="CH126" i="16" s="1"/>
  <c r="AC125" i="16"/>
  <c r="AW125" i="16" s="1"/>
  <c r="CE126" i="16" s="1"/>
  <c r="AK125" i="16"/>
  <c r="BE125" i="16" s="1"/>
  <c r="CO126" i="16" s="1"/>
  <c r="BV230" i="16"/>
  <c r="CW231" i="16" s="1"/>
  <c r="BO230" i="16"/>
  <c r="CK230" i="16"/>
  <c r="BR165" i="16"/>
  <c r="CS166" i="16" s="1"/>
  <c r="E70" i="20"/>
  <c r="E70" i="33" s="1"/>
  <c r="AG79" i="16"/>
  <c r="BA79" i="16" s="1"/>
  <c r="AO79" i="16"/>
  <c r="BI79" i="16" s="1"/>
  <c r="DG101" i="16"/>
  <c r="AJ102" i="16"/>
  <c r="BD102" i="16" s="1"/>
  <c r="AI102" i="16"/>
  <c r="BC102" i="16" s="1"/>
  <c r="CM103" i="16" s="1"/>
  <c r="Y102" i="16"/>
  <c r="AM102" i="16"/>
  <c r="BG102" i="16" s="1"/>
  <c r="CQ103" i="16" s="1"/>
  <c r="CK33" i="16"/>
  <c r="AA125" i="16"/>
  <c r="AU125" i="16" s="1"/>
  <c r="CD126" i="16" s="1"/>
  <c r="Y125" i="16"/>
  <c r="AS125" i="16" s="1"/>
  <c r="AL125" i="16"/>
  <c r="BF125" i="16" s="1"/>
  <c r="CP126" i="16" s="1"/>
  <c r="AH125" i="16"/>
  <c r="BB125" i="16" s="1"/>
  <c r="AD125" i="16"/>
  <c r="AX125" i="16" s="1"/>
  <c r="CF126" i="16" s="1"/>
  <c r="CW449" i="16"/>
  <c r="H66" i="20" s="1"/>
  <c r="H9" i="31"/>
  <c r="BM56" i="16"/>
  <c r="I13" i="13"/>
  <c r="J26" i="13" s="1"/>
  <c r="BU33" i="16"/>
  <c r="CV34" i="16" s="1"/>
  <c r="DJ147" i="16"/>
  <c r="H13" i="31"/>
  <c r="H12" i="18"/>
  <c r="DI77" i="16"/>
  <c r="AE102" i="16"/>
  <c r="AY102" i="16" s="1"/>
  <c r="CG103" i="16" s="1"/>
  <c r="AC102" i="16"/>
  <c r="AW102" i="16" s="1"/>
  <c r="CE103" i="16" s="1"/>
  <c r="AD102" i="16"/>
  <c r="AX102" i="16" s="1"/>
  <c r="CF103" i="16" s="1"/>
  <c r="AN102" i="16"/>
  <c r="BH102" i="16" s="1"/>
  <c r="DH214" i="16"/>
  <c r="AB125" i="16"/>
  <c r="AV125" i="16" s="1"/>
  <c r="AJ125" i="16"/>
  <c r="BD125" i="16" s="1"/>
  <c r="CN126" i="16" s="1"/>
  <c r="AG125" i="16"/>
  <c r="BA125" i="16" s="1"/>
  <c r="AE125" i="16"/>
  <c r="AY125" i="16" s="1"/>
  <c r="Z125" i="16"/>
  <c r="AT125" i="16" s="1"/>
  <c r="H9" i="33"/>
  <c r="BT33" i="16"/>
  <c r="CU34" i="16" s="1"/>
  <c r="BN33" i="16"/>
  <c r="CJ34" i="16" s="1"/>
  <c r="DF147" i="16"/>
  <c r="H10" i="10"/>
  <c r="H47" i="26" s="1"/>
  <c r="DI146" i="16"/>
  <c r="F22" i="23"/>
  <c r="H8" i="31"/>
  <c r="CD33" i="16"/>
  <c r="AC79" i="16"/>
  <c r="AW79" i="16" s="1"/>
  <c r="CE80" i="16" s="1"/>
  <c r="AM79" i="16"/>
  <c r="BG79" i="16" s="1"/>
  <c r="CQ80" i="16" s="1"/>
  <c r="DG78" i="16"/>
  <c r="CL56" i="16"/>
  <c r="I38" i="10"/>
  <c r="I15" i="26" s="1"/>
  <c r="DD78" i="16"/>
  <c r="BV274" i="16"/>
  <c r="CW275" i="16" s="1"/>
  <c r="I26" i="10"/>
  <c r="DE147" i="16"/>
  <c r="AN148" i="16"/>
  <c r="BH148" i="16" s="1"/>
  <c r="Y79" i="16"/>
  <c r="AL79" i="16"/>
  <c r="BF79" i="16" s="1"/>
  <c r="CP80" i="16" s="1"/>
  <c r="AK79" i="16"/>
  <c r="BE79" i="16" s="1"/>
  <c r="CO80" i="16" s="1"/>
  <c r="DF78" i="16"/>
  <c r="DB78" i="16"/>
  <c r="I10" i="18"/>
  <c r="BX231" i="16"/>
  <c r="CY232" i="16" s="1"/>
  <c r="BP231" i="16"/>
  <c r="CL231" i="16"/>
  <c r="AJ148" i="16"/>
  <c r="BD148" i="16" s="1"/>
  <c r="CN149" i="16" s="1"/>
  <c r="AH79" i="16"/>
  <c r="BB79" i="16" s="1"/>
  <c r="AN79" i="16"/>
  <c r="BH79" i="16" s="1"/>
  <c r="DE78" i="16"/>
  <c r="BV142" i="16"/>
  <c r="CW143" i="16" s="1"/>
  <c r="AF79" i="16"/>
  <c r="AZ79" i="16" s="1"/>
  <c r="CH80" i="16" s="1"/>
  <c r="AE79" i="16"/>
  <c r="AY79" i="16" s="1"/>
  <c r="CG80" i="16" s="1"/>
  <c r="AB79" i="16"/>
  <c r="AV79" i="16" s="1"/>
  <c r="Z79" i="16"/>
  <c r="AT79" i="16" s="1"/>
  <c r="CC80" i="16" s="1"/>
  <c r="AI79" i="16"/>
  <c r="BC79" i="16" s="1"/>
  <c r="CM80" i="16" s="1"/>
  <c r="DB147" i="16"/>
  <c r="BP56" i="16"/>
  <c r="CL57" i="16" s="1"/>
  <c r="BX429" i="16"/>
  <c r="CY430" i="16" s="1"/>
  <c r="I5" i="10"/>
  <c r="J9" i="10" s="1"/>
  <c r="J9" i="31" s="1"/>
  <c r="G34" i="23"/>
  <c r="DH31" i="16"/>
  <c r="H14" i="26"/>
  <c r="H14" i="27" s="1"/>
  <c r="DG32" i="16"/>
  <c r="BO33" i="16"/>
  <c r="BV34" i="16" s="1"/>
  <c r="CW35" i="16" s="1"/>
  <c r="I6" i="18"/>
  <c r="H16" i="18"/>
  <c r="I13" i="10"/>
  <c r="J26" i="10" s="1"/>
  <c r="J51" i="26" s="1"/>
  <c r="I8" i="25"/>
  <c r="I8" i="27" s="1"/>
  <c r="E72" i="21"/>
  <c r="BW33" i="16"/>
  <c r="CX34" i="16" s="1"/>
  <c r="F39" i="33"/>
  <c r="AK148" i="16"/>
  <c r="BE148" i="16" s="1"/>
  <c r="CO149" i="16" s="1"/>
  <c r="J3" i="13"/>
  <c r="J8" i="25" s="1"/>
  <c r="AL148" i="16"/>
  <c r="BF148" i="16" s="1"/>
  <c r="CB32" i="16"/>
  <c r="E37" i="29"/>
  <c r="DD147" i="16"/>
  <c r="DF55" i="16"/>
  <c r="H47" i="18"/>
  <c r="H31" i="31"/>
  <c r="CW428" i="16"/>
  <c r="BV428" i="16"/>
  <c r="BM122" i="16"/>
  <c r="CI122" i="16"/>
  <c r="BS122" i="16"/>
  <c r="CT123" i="16" s="1"/>
  <c r="J7" i="13"/>
  <c r="J10" i="18" s="1"/>
  <c r="AG148" i="16"/>
  <c r="BA148" i="16" s="1"/>
  <c r="CP148" i="16"/>
  <c r="CM33" i="16"/>
  <c r="DI8" i="16"/>
  <c r="CM148" i="16"/>
  <c r="AG33" i="16"/>
  <c r="BA33" i="16" s="1"/>
  <c r="DI54" i="16"/>
  <c r="G38" i="32"/>
  <c r="DG147" i="16"/>
  <c r="DI31" i="16"/>
  <c r="I46" i="26"/>
  <c r="I46" i="27" s="1"/>
  <c r="E54" i="26"/>
  <c r="E65" i="26" s="1"/>
  <c r="E25" i="23"/>
  <c r="E22" i="33"/>
  <c r="F49" i="23"/>
  <c r="F46" i="33"/>
  <c r="I58" i="26"/>
  <c r="I17" i="10"/>
  <c r="H18" i="31"/>
  <c r="BU231" i="16"/>
  <c r="CV231" i="16"/>
  <c r="AK56" i="16"/>
  <c r="BE56" i="16" s="1"/>
  <c r="CO57" i="16" s="1"/>
  <c r="DJ9" i="16"/>
  <c r="AH148" i="16"/>
  <c r="BB148" i="16" s="1"/>
  <c r="AI148" i="16"/>
  <c r="BC148" i="16" s="1"/>
  <c r="H30" i="26"/>
  <c r="H30" i="27" s="1"/>
  <c r="F44" i="23"/>
  <c r="F41" i="33"/>
  <c r="F43" i="23"/>
  <c r="F40" i="33"/>
  <c r="H58" i="26"/>
  <c r="H56" i="33"/>
  <c r="AI33" i="16"/>
  <c r="BC33" i="16" s="1"/>
  <c r="H44" i="31"/>
  <c r="H8" i="18"/>
  <c r="F48" i="26"/>
  <c r="F48" i="27" s="1"/>
  <c r="F47" i="27"/>
  <c r="H5" i="31"/>
  <c r="G61" i="33"/>
  <c r="G32" i="26"/>
  <c r="H34" i="18"/>
  <c r="CL253" i="16"/>
  <c r="BP253" i="16"/>
  <c r="BX253" i="16"/>
  <c r="CY254" i="16" s="1"/>
  <c r="G65" i="33"/>
  <c r="J12" i="13"/>
  <c r="J9" i="25" s="1"/>
  <c r="F31" i="23"/>
  <c r="F28" i="33"/>
  <c r="AB148" i="16"/>
  <c r="AV148" i="16" s="1"/>
  <c r="Z148" i="16"/>
  <c r="AT148" i="16" s="1"/>
  <c r="CC149" i="16" s="1"/>
  <c r="AS147" i="16"/>
  <c r="DC147" i="16" s="1"/>
  <c r="AA148" i="16"/>
  <c r="AU148" i="16" s="1"/>
  <c r="CD149" i="16" s="1"/>
  <c r="I30" i="25"/>
  <c r="G67" i="10"/>
  <c r="G67" i="33" s="1"/>
  <c r="F49" i="33"/>
  <c r="CM56" i="16"/>
  <c r="J57" i="26"/>
  <c r="I15" i="18"/>
  <c r="J5" i="13"/>
  <c r="K9" i="13" s="1"/>
  <c r="H21" i="10"/>
  <c r="H32" i="26" s="1"/>
  <c r="G58" i="28"/>
  <c r="I44" i="10"/>
  <c r="AS32" i="16"/>
  <c r="DC32" i="16" s="1"/>
  <c r="DF32" i="16"/>
  <c r="BV340" i="16"/>
  <c r="CW341" i="16" s="1"/>
  <c r="F36" i="23"/>
  <c r="F33" i="33"/>
  <c r="I62" i="10"/>
  <c r="I62" i="31" s="1"/>
  <c r="DD32" i="16"/>
  <c r="I12" i="18"/>
  <c r="AF148" i="16"/>
  <c r="AZ148" i="16" s="1"/>
  <c r="CH149" i="16" s="1"/>
  <c r="AC148" i="16"/>
  <c r="AW148" i="16" s="1"/>
  <c r="CE149" i="16" s="1"/>
  <c r="I45" i="10"/>
  <c r="AI56" i="16"/>
  <c r="BC56" i="16" s="1"/>
  <c r="CM57" i="16" s="1"/>
  <c r="F20" i="33"/>
  <c r="AM148" i="16"/>
  <c r="BG148" i="16" s="1"/>
  <c r="CQ149" i="16" s="1"/>
  <c r="AD148" i="16"/>
  <c r="AX148" i="16" s="1"/>
  <c r="CF149" i="16" s="1"/>
  <c r="AE148" i="16"/>
  <c r="AY148" i="16" s="1"/>
  <c r="CG149" i="16" s="1"/>
  <c r="Y148" i="16"/>
  <c r="AO148" i="16"/>
  <c r="BI148" i="16" s="1"/>
  <c r="I18" i="10"/>
  <c r="I18" i="31" s="1"/>
  <c r="CQ56" i="16"/>
  <c r="G68" i="10"/>
  <c r="F50" i="33"/>
  <c r="CF56" i="16"/>
  <c r="DE32" i="16"/>
  <c r="G66" i="10"/>
  <c r="F48" i="33"/>
  <c r="I31" i="10"/>
  <c r="DB55" i="16"/>
  <c r="H21" i="18"/>
  <c r="I31" i="13"/>
  <c r="I44" i="13"/>
  <c r="H45" i="26"/>
  <c r="H45" i="27" s="1"/>
  <c r="H8" i="33"/>
  <c r="CV99" i="16"/>
  <c r="BU99" i="16"/>
  <c r="BU55" i="16"/>
  <c r="CV56" i="16" s="1"/>
  <c r="I4" i="10"/>
  <c r="I7" i="18" s="1"/>
  <c r="H4" i="31"/>
  <c r="I8" i="10"/>
  <c r="H13" i="26"/>
  <c r="H7" i="18"/>
  <c r="G67" i="32"/>
  <c r="H25" i="32"/>
  <c r="G7" i="32"/>
  <c r="F28" i="32"/>
  <c r="CY209" i="16"/>
  <c r="BX209" i="16"/>
  <c r="DJ353" i="16"/>
  <c r="E3" i="32"/>
  <c r="F33" i="32"/>
  <c r="G12" i="32"/>
  <c r="F32" i="32"/>
  <c r="DI329" i="16"/>
  <c r="F57" i="32"/>
  <c r="CP33" i="16"/>
  <c r="F59" i="32"/>
  <c r="AL56" i="16"/>
  <c r="BF56" i="16" s="1"/>
  <c r="CP57" i="16" s="1"/>
  <c r="DB32" i="16"/>
  <c r="D51" i="32"/>
  <c r="J4" i="13"/>
  <c r="K8" i="13" s="1"/>
  <c r="F41" i="13"/>
  <c r="F44" i="18" s="1"/>
  <c r="F50" i="32"/>
  <c r="E22" i="32"/>
  <c r="F40" i="32"/>
  <c r="CV449" i="16"/>
  <c r="H65" i="20" s="1"/>
  <c r="D21" i="32"/>
  <c r="CG56" i="16"/>
  <c r="CH33" i="16"/>
  <c r="J8" i="13"/>
  <c r="J45" i="25" s="1"/>
  <c r="F34" i="10"/>
  <c r="C23" i="32"/>
  <c r="G18" i="32"/>
  <c r="H62" i="32"/>
  <c r="F61" i="25"/>
  <c r="F61" i="29" s="1"/>
  <c r="F20" i="32"/>
  <c r="AD33" i="16"/>
  <c r="AX33" i="16" s="1"/>
  <c r="CF34" i="16" s="1"/>
  <c r="F10" i="32"/>
  <c r="E24" i="27"/>
  <c r="H9" i="32"/>
  <c r="G31" i="32"/>
  <c r="DH54" i="16"/>
  <c r="BX319" i="16"/>
  <c r="CY320" i="16" s="1"/>
  <c r="BP319" i="16"/>
  <c r="CL319" i="16"/>
  <c r="BO318" i="16"/>
  <c r="CK318" i="16"/>
  <c r="BV318" i="16"/>
  <c r="CW319" i="16" s="1"/>
  <c r="H8" i="32"/>
  <c r="BP430" i="16"/>
  <c r="CL430" i="16"/>
  <c r="BT253" i="16"/>
  <c r="CU253" i="16"/>
  <c r="G43" i="32"/>
  <c r="H26" i="32"/>
  <c r="E45" i="32"/>
  <c r="E34" i="32"/>
  <c r="F49" i="32"/>
  <c r="AD56" i="16"/>
  <c r="AX56" i="16" s="1"/>
  <c r="F63" i="32"/>
  <c r="F39" i="13"/>
  <c r="G46" i="13" s="1"/>
  <c r="F30" i="32"/>
  <c r="F52" i="21"/>
  <c r="F27" i="32"/>
  <c r="H56" i="32"/>
  <c r="DI375" i="16"/>
  <c r="G44" i="32"/>
  <c r="DI214" i="16"/>
  <c r="AE33" i="16"/>
  <c r="AY33" i="16" s="1"/>
  <c r="CL297" i="16"/>
  <c r="BX297" i="16"/>
  <c r="CY298" i="16" s="1"/>
  <c r="BP297" i="16"/>
  <c r="E56" i="18"/>
  <c r="F37" i="32"/>
  <c r="G13" i="32"/>
  <c r="F48" i="32"/>
  <c r="J18" i="13"/>
  <c r="F4" i="32"/>
  <c r="F46" i="32"/>
  <c r="E38" i="18"/>
  <c r="DI237" i="16"/>
  <c r="DE55" i="16"/>
  <c r="D35" i="32"/>
  <c r="E17" i="32"/>
  <c r="F19" i="32"/>
  <c r="H55" i="32"/>
  <c r="CY450" i="16"/>
  <c r="I68" i="20" s="1"/>
  <c r="AM33" i="16"/>
  <c r="BG33" i="16" s="1"/>
  <c r="G5" i="32"/>
  <c r="DG55" i="16"/>
  <c r="F49" i="31"/>
  <c r="BM33" i="16"/>
  <c r="CI34" i="16" s="1"/>
  <c r="BN100" i="16"/>
  <c r="BR100" i="16"/>
  <c r="CS101" i="16" s="1"/>
  <c r="CJ100" i="16"/>
  <c r="CL385" i="16"/>
  <c r="BX385" i="16"/>
  <c r="CY386" i="16" s="1"/>
  <c r="BP385" i="16"/>
  <c r="H45" i="31"/>
  <c r="F50" i="31"/>
  <c r="F40" i="31"/>
  <c r="G51" i="31"/>
  <c r="CV429" i="16"/>
  <c r="BU429" i="16"/>
  <c r="CV252" i="16"/>
  <c r="BU252" i="16"/>
  <c r="BT230" i="16"/>
  <c r="CU230" i="16"/>
  <c r="CJ208" i="16"/>
  <c r="BN208" i="16"/>
  <c r="BR208" i="16"/>
  <c r="CS209" i="16" s="1"/>
  <c r="AA56" i="16"/>
  <c r="AU56" i="16" s="1"/>
  <c r="CD57" i="16" s="1"/>
  <c r="AM56" i="16"/>
  <c r="BG56" i="16" s="1"/>
  <c r="AB56" i="16"/>
  <c r="AV56" i="16" s="1"/>
  <c r="AC56" i="16"/>
  <c r="AW56" i="16" s="1"/>
  <c r="CE57" i="16" s="1"/>
  <c r="F43" i="21"/>
  <c r="E22" i="31"/>
  <c r="F46" i="31"/>
  <c r="DH329" i="16"/>
  <c r="F19" i="31"/>
  <c r="BS33" i="16"/>
  <c r="CT34" i="16" s="1"/>
  <c r="DD55" i="16"/>
  <c r="CN33" i="16"/>
  <c r="H55" i="31"/>
  <c r="AK33" i="16"/>
  <c r="BE33" i="16" s="1"/>
  <c r="CO34" i="16" s="1"/>
  <c r="AF33" i="16"/>
  <c r="AZ33" i="16" s="1"/>
  <c r="AH33" i="16"/>
  <c r="BB33" i="16" s="1"/>
  <c r="AB33" i="16"/>
  <c r="AV33" i="16" s="1"/>
  <c r="Y33" i="16"/>
  <c r="AS33" i="16" s="1"/>
  <c r="DK353" i="16"/>
  <c r="CL407" i="16"/>
  <c r="BX407" i="16"/>
  <c r="CY408" i="16" s="1"/>
  <c r="BP407" i="16"/>
  <c r="BW230" i="16"/>
  <c r="CX230" i="16"/>
  <c r="CI340" i="16"/>
  <c r="BM340" i="16"/>
  <c r="BS340" i="16"/>
  <c r="CT341" i="16" s="1"/>
  <c r="CU164" i="16"/>
  <c r="BT164" i="16"/>
  <c r="CR408" i="16"/>
  <c r="BQ408" i="16"/>
  <c r="CR363" i="16"/>
  <c r="BQ363" i="16"/>
  <c r="CL165" i="16"/>
  <c r="BP165" i="16"/>
  <c r="BX165" i="16"/>
  <c r="CY166" i="16" s="1"/>
  <c r="CX252" i="16"/>
  <c r="BW252" i="16"/>
  <c r="CK252" i="16"/>
  <c r="BV252" i="16"/>
  <c r="CW253" i="16" s="1"/>
  <c r="BO252" i="16"/>
  <c r="BP275" i="16"/>
  <c r="CL275" i="16"/>
  <c r="BX275" i="16"/>
  <c r="CY276" i="16" s="1"/>
  <c r="I9" i="31"/>
  <c r="BW143" i="16"/>
  <c r="CX143" i="16"/>
  <c r="BO275" i="16"/>
  <c r="CK275" i="16"/>
  <c r="CV362" i="16"/>
  <c r="BU362" i="16"/>
  <c r="DJ32" i="16"/>
  <c r="CU296" i="16"/>
  <c r="BT296" i="16"/>
  <c r="F59" i="31"/>
  <c r="AH56" i="16"/>
  <c r="BB56" i="16" s="1"/>
  <c r="AG56" i="16"/>
  <c r="BA56" i="16" s="1"/>
  <c r="AF56" i="16"/>
  <c r="AZ56" i="16" s="1"/>
  <c r="CH57" i="16" s="1"/>
  <c r="AJ56" i="16"/>
  <c r="BD56" i="16" s="1"/>
  <c r="CN57" i="16" s="1"/>
  <c r="G21" i="31"/>
  <c r="F48" i="31"/>
  <c r="H66" i="18"/>
  <c r="H63" i="31"/>
  <c r="CX449" i="16"/>
  <c r="H67" i="20" s="1"/>
  <c r="H56" i="31"/>
  <c r="H37" i="31"/>
  <c r="DK32" i="16"/>
  <c r="F20" i="31"/>
  <c r="Z33" i="16"/>
  <c r="AT33" i="16" s="1"/>
  <c r="CC34" i="16" s="1"/>
  <c r="AL33" i="16"/>
  <c r="BF33" i="16" s="1"/>
  <c r="CP34" i="16" s="1"/>
  <c r="AA33" i="16"/>
  <c r="AU33" i="16" s="1"/>
  <c r="CD34" i="16" s="1"/>
  <c r="AJ33" i="16"/>
  <c r="BD33" i="16" s="1"/>
  <c r="CN34" i="16" s="1"/>
  <c r="BT407" i="16"/>
  <c r="CU407" i="16"/>
  <c r="BW340" i="16"/>
  <c r="CX340" i="16"/>
  <c r="CV319" i="16"/>
  <c r="BU319" i="16"/>
  <c r="DK55" i="16"/>
  <c r="DJ55" i="16"/>
  <c r="CS77" i="16"/>
  <c r="BR77" i="16"/>
  <c r="CU100" i="16"/>
  <c r="BT100" i="16"/>
  <c r="BT363" i="16"/>
  <c r="CU363" i="16"/>
  <c r="E53" i="31"/>
  <c r="BW296" i="16"/>
  <c r="CX296" i="16"/>
  <c r="CK164" i="16"/>
  <c r="BV164" i="16"/>
  <c r="CW165" i="16" s="1"/>
  <c r="BO164" i="16"/>
  <c r="BR296" i="16"/>
  <c r="CS297" i="16" s="1"/>
  <c r="BN296" i="16"/>
  <c r="CJ296" i="16"/>
  <c r="CV340" i="16"/>
  <c r="BU340" i="16"/>
  <c r="BT384" i="16"/>
  <c r="CU384" i="16"/>
  <c r="E35" i="31"/>
  <c r="H17" i="31"/>
  <c r="F35" i="21"/>
  <c r="F32" i="31"/>
  <c r="F28" i="31"/>
  <c r="CU428" i="16"/>
  <c r="BT428" i="16"/>
  <c r="CX406" i="16"/>
  <c r="BW406" i="16"/>
  <c r="CJ384" i="16"/>
  <c r="BR384" i="16"/>
  <c r="CS385" i="16" s="1"/>
  <c r="BN384" i="16"/>
  <c r="CK341" i="16"/>
  <c r="BO341" i="16"/>
  <c r="AE56" i="16"/>
  <c r="AY56" i="16" s="1"/>
  <c r="CG57" i="16" s="1"/>
  <c r="AN56" i="16"/>
  <c r="BH56" i="16" s="1"/>
  <c r="Y56" i="16"/>
  <c r="AS56" i="16" s="1"/>
  <c r="Z56" i="16"/>
  <c r="AT56" i="16" s="1"/>
  <c r="AO56" i="16"/>
  <c r="BI56" i="16" s="1"/>
  <c r="H30" i="31"/>
  <c r="F33" i="31"/>
  <c r="F70" i="13"/>
  <c r="F57" i="31"/>
  <c r="F22" i="21"/>
  <c r="H61" i="31"/>
  <c r="F27" i="31"/>
  <c r="H43" i="31"/>
  <c r="CK449" i="16"/>
  <c r="H32" i="20" s="1"/>
  <c r="DI191" i="16"/>
  <c r="CJ449" i="16"/>
  <c r="H31" i="20" s="1"/>
  <c r="H31" i="33" s="1"/>
  <c r="H38" i="31"/>
  <c r="DH447" i="16"/>
  <c r="AC33" i="16"/>
  <c r="AW33" i="16" s="1"/>
  <c r="CE34" i="16" s="1"/>
  <c r="AO33" i="16"/>
  <c r="BI33" i="16" s="1"/>
  <c r="AN33" i="16"/>
  <c r="BH33" i="16" s="1"/>
  <c r="CX187" i="16"/>
  <c r="BW187" i="16"/>
  <c r="CV165" i="16"/>
  <c r="BU165" i="16"/>
  <c r="CX385" i="16"/>
  <c r="BW385" i="16"/>
  <c r="CW121" i="16"/>
  <c r="BV121" i="16"/>
  <c r="BV186" i="16"/>
  <c r="CW187" i="16" s="1"/>
  <c r="BO186" i="16"/>
  <c r="CK186" i="16"/>
  <c r="BP211" i="16"/>
  <c r="CL211" i="16"/>
  <c r="CV78" i="16"/>
  <c r="BU78" i="16"/>
  <c r="G64" i="23"/>
  <c r="G64" i="21"/>
  <c r="CB170" i="16"/>
  <c r="DC169" i="16"/>
  <c r="AN285" i="16"/>
  <c r="BH285" i="16" s="1"/>
  <c r="F16" i="27"/>
  <c r="H21" i="13"/>
  <c r="I45" i="13"/>
  <c r="I30" i="13"/>
  <c r="H20" i="18"/>
  <c r="I17" i="13"/>
  <c r="BT275" i="16"/>
  <c r="CU275" i="16"/>
  <c r="F23" i="21"/>
  <c r="F23" i="23"/>
  <c r="CL189" i="16"/>
  <c r="BP189" i="16"/>
  <c r="G41" i="23"/>
  <c r="G41" i="21"/>
  <c r="G15" i="17"/>
  <c r="G15" i="28" s="1"/>
  <c r="E33" i="25"/>
  <c r="E25" i="18"/>
  <c r="E23" i="13"/>
  <c r="CI77" i="16"/>
  <c r="BS77" i="16"/>
  <c r="CT78" i="16" s="1"/>
  <c r="BM77" i="16"/>
  <c r="CV142" i="16"/>
  <c r="BU142" i="16"/>
  <c r="CX77" i="16"/>
  <c r="BW77" i="16"/>
  <c r="F37" i="17"/>
  <c r="BW449" i="16"/>
  <c r="H49" i="20" s="1"/>
  <c r="CX10" i="16"/>
  <c r="E20" i="21"/>
  <c r="E20" i="23"/>
  <c r="E21" i="20"/>
  <c r="E21" i="33" s="1"/>
  <c r="DE192" i="16"/>
  <c r="CO308" i="16"/>
  <c r="CH308" i="16"/>
  <c r="DB448" i="16"/>
  <c r="G4" i="20"/>
  <c r="G4" i="33" s="1"/>
  <c r="D66" i="25"/>
  <c r="D65" i="27"/>
  <c r="D55" i="27"/>
  <c r="CB238" i="16"/>
  <c r="DC237" i="16"/>
  <c r="CI318" i="16"/>
  <c r="BM318" i="16"/>
  <c r="BS318" i="16"/>
  <c r="CT319" i="16" s="1"/>
  <c r="BV449" i="16"/>
  <c r="H48" i="20" s="1"/>
  <c r="CW10" i="16"/>
  <c r="J44" i="26"/>
  <c r="CR143" i="16"/>
  <c r="BQ143" i="16"/>
  <c r="D64" i="17"/>
  <c r="D63" i="28"/>
  <c r="D63" i="29"/>
  <c r="CQ126" i="16"/>
  <c r="CJ318" i="16"/>
  <c r="BN318" i="16"/>
  <c r="BR318" i="16"/>
  <c r="CS319" i="16" s="1"/>
  <c r="BT449" i="16"/>
  <c r="H46" i="20" s="1"/>
  <c r="CU10" i="16"/>
  <c r="BU449" i="16"/>
  <c r="H47" i="20" s="1"/>
  <c r="CV10" i="16"/>
  <c r="H58" i="21"/>
  <c r="H58" i="23"/>
  <c r="H57" i="17"/>
  <c r="H57" i="28" s="1"/>
  <c r="E26" i="17"/>
  <c r="E21" i="17"/>
  <c r="E19" i="28"/>
  <c r="CR100" i="16"/>
  <c r="BQ100" i="16"/>
  <c r="H57" i="25"/>
  <c r="H58" i="18"/>
  <c r="F59" i="26"/>
  <c r="F59" i="28" s="1"/>
  <c r="F70" i="10"/>
  <c r="F60" i="23"/>
  <c r="CL342" i="16"/>
  <c r="BP342" i="16"/>
  <c r="BX342" i="16"/>
  <c r="CY343" i="16" s="1"/>
  <c r="BP10" i="16"/>
  <c r="CH10" i="16"/>
  <c r="CH450" i="16" s="1"/>
  <c r="I28" i="20" s="1"/>
  <c r="AZ449" i="16"/>
  <c r="H15" i="20" s="1"/>
  <c r="G46" i="23"/>
  <c r="G46" i="21"/>
  <c r="CR77" i="16"/>
  <c r="BQ77" i="16"/>
  <c r="BO208" i="16"/>
  <c r="CK208" i="16"/>
  <c r="BV208" i="16"/>
  <c r="CW209" i="16" s="1"/>
  <c r="CP331" i="16"/>
  <c r="BR10" i="16"/>
  <c r="CJ10" i="16"/>
  <c r="BN449" i="16"/>
  <c r="H18" i="20" s="1"/>
  <c r="H18" i="33" s="1"/>
  <c r="CC171" i="16"/>
  <c r="DB170" i="16"/>
  <c r="CM171" i="16"/>
  <c r="DF170" i="16"/>
  <c r="DG170" i="16"/>
  <c r="CB56" i="16"/>
  <c r="DC55" i="16"/>
  <c r="BN254" i="16"/>
  <c r="CJ254" i="16"/>
  <c r="BM142" i="16"/>
  <c r="CI142" i="16"/>
  <c r="BS142" i="16"/>
  <c r="CT143" i="16" s="1"/>
  <c r="DF261" i="16"/>
  <c r="CR185" i="16"/>
  <c r="CR449" i="16" s="1"/>
  <c r="H61" i="20" s="1"/>
  <c r="H61" i="32" s="1"/>
  <c r="BQ185" i="16"/>
  <c r="BQ449" i="16" s="1"/>
  <c r="H43" i="20" s="1"/>
  <c r="H43" i="33" s="1"/>
  <c r="G16" i="23"/>
  <c r="G14" i="17"/>
  <c r="G16" i="21"/>
  <c r="CR231" i="16"/>
  <c r="BQ231" i="16"/>
  <c r="G66" i="13"/>
  <c r="F51" i="18"/>
  <c r="CX122" i="16"/>
  <c r="BW122" i="16"/>
  <c r="CB79" i="16"/>
  <c r="DC78" i="16"/>
  <c r="G52" i="20"/>
  <c r="CK78" i="16"/>
  <c r="BO78" i="16"/>
  <c r="D54" i="17"/>
  <c r="D38" i="21"/>
  <c r="D38" i="23"/>
  <c r="BQ341" i="16"/>
  <c r="CR341" i="16"/>
  <c r="E40" i="17"/>
  <c r="BN230" i="16"/>
  <c r="CJ230" i="16"/>
  <c r="BR230" i="16"/>
  <c r="CS231" i="16" s="1"/>
  <c r="DJ192" i="16"/>
  <c r="G36" i="25"/>
  <c r="G54" i="18"/>
  <c r="CP308" i="16"/>
  <c r="CQ308" i="16"/>
  <c r="CR275" i="16"/>
  <c r="BQ275" i="16"/>
  <c r="BS207" i="16"/>
  <c r="CT208" i="16" s="1"/>
  <c r="BM207" i="16"/>
  <c r="CI207" i="16"/>
  <c r="F52" i="25"/>
  <c r="F30" i="18"/>
  <c r="F30" i="21"/>
  <c r="H58" i="25"/>
  <c r="H59" i="18"/>
  <c r="CQ239" i="16"/>
  <c r="CU55" i="16"/>
  <c r="BT55" i="16"/>
  <c r="I11" i="26"/>
  <c r="K7" i="10"/>
  <c r="J8" i="26"/>
  <c r="K3" i="10"/>
  <c r="BS100" i="16"/>
  <c r="CT101" i="16" s="1"/>
  <c r="E26" i="26"/>
  <c r="E21" i="26"/>
  <c r="CB125" i="16"/>
  <c r="DC124" i="16"/>
  <c r="F35" i="23"/>
  <c r="H65" i="21"/>
  <c r="H65" i="23"/>
  <c r="I55" i="13"/>
  <c r="H10" i="25"/>
  <c r="H40" i="18"/>
  <c r="I38" i="13"/>
  <c r="I37" i="13"/>
  <c r="BT209" i="16"/>
  <c r="CU209" i="16"/>
  <c r="CI165" i="16"/>
  <c r="BM165" i="16"/>
  <c r="BS165" i="16"/>
  <c r="CT166" i="16" s="1"/>
  <c r="CR253" i="16"/>
  <c r="BQ253" i="16"/>
  <c r="E27" i="25"/>
  <c r="E20" i="27"/>
  <c r="E20" i="29"/>
  <c r="G45" i="28"/>
  <c r="G45" i="29"/>
  <c r="CH331" i="16"/>
  <c r="DE330" i="16"/>
  <c r="CO331" i="16"/>
  <c r="BU296" i="16"/>
  <c r="CV296" i="16"/>
  <c r="D21" i="27"/>
  <c r="D21" i="29"/>
  <c r="CK363" i="16"/>
  <c r="BV363" i="16"/>
  <c r="CW364" i="16" s="1"/>
  <c r="BO363" i="16"/>
  <c r="BW319" i="16"/>
  <c r="CX319" i="16"/>
  <c r="CF171" i="16"/>
  <c r="DF353" i="16"/>
  <c r="CM285" i="16"/>
  <c r="DF284" i="16"/>
  <c r="CP285" i="16"/>
  <c r="BO143" i="16"/>
  <c r="CK143" i="16"/>
  <c r="BS384" i="16"/>
  <c r="CT385" i="16" s="1"/>
  <c r="BM384" i="16"/>
  <c r="CI384" i="16"/>
  <c r="D11" i="17"/>
  <c r="D8" i="28"/>
  <c r="D8" i="29"/>
  <c r="D36" i="17"/>
  <c r="D53" i="20"/>
  <c r="D53" i="33" s="1"/>
  <c r="D54" i="21"/>
  <c r="D54" i="23"/>
  <c r="CK384" i="16"/>
  <c r="BV384" i="16"/>
  <c r="CW385" i="16" s="1"/>
  <c r="BO384" i="16"/>
  <c r="E6" i="21"/>
  <c r="E8" i="17"/>
  <c r="E6" i="23"/>
  <c r="F15" i="29"/>
  <c r="I50" i="27"/>
  <c r="E47" i="28"/>
  <c r="E47" i="29"/>
  <c r="E48" i="17"/>
  <c r="F32" i="27"/>
  <c r="F39" i="25"/>
  <c r="G32" i="25"/>
  <c r="G24" i="18"/>
  <c r="F51" i="23"/>
  <c r="G68" i="13"/>
  <c r="F53" i="18"/>
  <c r="G50" i="28"/>
  <c r="G50" i="29"/>
  <c r="F40" i="21"/>
  <c r="F10" i="17"/>
  <c r="F40" i="23"/>
  <c r="E27" i="26"/>
  <c r="E27" i="28" s="1"/>
  <c r="H51" i="17"/>
  <c r="H29" i="23"/>
  <c r="H29" i="21"/>
  <c r="DD448" i="16"/>
  <c r="G14" i="20"/>
  <c r="H59" i="21"/>
  <c r="H59" i="23"/>
  <c r="H58" i="17"/>
  <c r="E48" i="23"/>
  <c r="E48" i="21"/>
  <c r="E51" i="20"/>
  <c r="E51" i="33" s="1"/>
  <c r="BM406" i="16"/>
  <c r="BS406" i="16"/>
  <c r="CT407" i="16" s="1"/>
  <c r="CI406" i="16"/>
  <c r="J46" i="25"/>
  <c r="DJ170" i="16"/>
  <c r="BX122" i="16"/>
  <c r="CY123" i="16" s="1"/>
  <c r="CL122" i="16"/>
  <c r="BP122" i="16"/>
  <c r="G47" i="13"/>
  <c r="G58" i="13"/>
  <c r="F43" i="18"/>
  <c r="F61" i="26"/>
  <c r="F61" i="28" s="1"/>
  <c r="F62" i="23"/>
  <c r="F36" i="27"/>
  <c r="E20" i="28"/>
  <c r="DH260" i="16"/>
  <c r="CU449" i="16"/>
  <c r="H64" i="20" s="1"/>
  <c r="BN362" i="16"/>
  <c r="CJ362" i="16"/>
  <c r="BR362" i="16"/>
  <c r="CS363" i="16" s="1"/>
  <c r="BP143" i="16"/>
  <c r="BX143" i="16"/>
  <c r="CY144" i="16" s="1"/>
  <c r="CL143" i="16"/>
  <c r="CR121" i="16"/>
  <c r="BQ121" i="16"/>
  <c r="F30" i="28"/>
  <c r="F30" i="29"/>
  <c r="D53" i="28"/>
  <c r="D53" i="29"/>
  <c r="G57" i="27"/>
  <c r="G57" i="29"/>
  <c r="F34" i="20"/>
  <c r="F33" i="21"/>
  <c r="F33" i="23"/>
  <c r="F53" i="23"/>
  <c r="CP193" i="16"/>
  <c r="CQ193" i="16"/>
  <c r="CD193" i="16"/>
  <c r="E10" i="28"/>
  <c r="E10" i="29"/>
  <c r="CD308" i="16"/>
  <c r="DG307" i="16"/>
  <c r="DC447" i="16"/>
  <c r="F3" i="20"/>
  <c r="F3" i="33" s="1"/>
  <c r="H45" i="17"/>
  <c r="H11" i="23"/>
  <c r="H11" i="21"/>
  <c r="G32" i="13"/>
  <c r="G35" i="21" s="1"/>
  <c r="G48" i="13"/>
  <c r="F22" i="13"/>
  <c r="F22" i="18"/>
  <c r="I61" i="13"/>
  <c r="H51" i="13"/>
  <c r="H46" i="18"/>
  <c r="D32" i="17"/>
  <c r="D23" i="20"/>
  <c r="D23" i="33" s="1"/>
  <c r="D24" i="23"/>
  <c r="D24" i="21"/>
  <c r="CB102" i="16"/>
  <c r="DC101" i="16"/>
  <c r="CJ80" i="16"/>
  <c r="F14" i="28"/>
  <c r="F14" i="29"/>
  <c r="CL364" i="16"/>
  <c r="BP364" i="16"/>
  <c r="BX364" i="16"/>
  <c r="CY365" i="16" s="1"/>
  <c r="AS238" i="16"/>
  <c r="CK57" i="16"/>
  <c r="CL34" i="16"/>
  <c r="BX34" i="16"/>
  <c r="CY35" i="16" s="1"/>
  <c r="I9" i="27"/>
  <c r="E33" i="26"/>
  <c r="E40" i="26" s="1"/>
  <c r="E41" i="26" s="1"/>
  <c r="E23" i="10"/>
  <c r="F52" i="26"/>
  <c r="F52" i="28" s="1"/>
  <c r="F30" i="23"/>
  <c r="G21" i="23"/>
  <c r="G21" i="21"/>
  <c r="H59" i="17"/>
  <c r="CR55" i="16"/>
  <c r="BQ55" i="16"/>
  <c r="D40" i="29"/>
  <c r="I43" i="13"/>
  <c r="H15" i="25"/>
  <c r="I56" i="13"/>
  <c r="H41" i="18"/>
  <c r="E53" i="17"/>
  <c r="E37" i="23"/>
  <c r="E35" i="20"/>
  <c r="E35" i="33" s="1"/>
  <c r="E37" i="21"/>
  <c r="G57" i="10"/>
  <c r="G57" i="33" s="1"/>
  <c r="G46" i="10"/>
  <c r="F23" i="26"/>
  <c r="G40" i="10"/>
  <c r="G64" i="10"/>
  <c r="G64" i="33" s="1"/>
  <c r="F52" i="10"/>
  <c r="F19" i="17"/>
  <c r="F62" i="27"/>
  <c r="CI295" i="16"/>
  <c r="BM295" i="16"/>
  <c r="BS295" i="16"/>
  <c r="CT296" i="16" s="1"/>
  <c r="CV407" i="16"/>
  <c r="BU407" i="16"/>
  <c r="DI306" i="16"/>
  <c r="CJ186" i="16"/>
  <c r="BR186" i="16"/>
  <c r="CS187" i="16" s="1"/>
  <c r="BN186" i="16"/>
  <c r="F62" i="18"/>
  <c r="BU384" i="16"/>
  <c r="CV384" i="16"/>
  <c r="CD10" i="16"/>
  <c r="CD450" i="16" s="1"/>
  <c r="I9" i="20" s="1"/>
  <c r="I9" i="33" s="1"/>
  <c r="AU449" i="16"/>
  <c r="H5" i="20" s="1"/>
  <c r="H5" i="33" s="1"/>
  <c r="BN10" i="16"/>
  <c r="BQ10" i="16"/>
  <c r="BD449" i="16"/>
  <c r="H38" i="20" s="1"/>
  <c r="H38" i="33" s="1"/>
  <c r="CN10" i="16"/>
  <c r="CN450" i="16" s="1"/>
  <c r="I56" i="20" s="1"/>
  <c r="I56" i="33" s="1"/>
  <c r="BW10" i="16"/>
  <c r="BG449" i="16"/>
  <c r="H41" i="20" s="1"/>
  <c r="CQ10" i="16"/>
  <c r="CQ450" i="16" s="1"/>
  <c r="I59" i="20" s="1"/>
  <c r="F31" i="18"/>
  <c r="F31" i="21"/>
  <c r="F44" i="28"/>
  <c r="F44" i="29"/>
  <c r="CD331" i="16"/>
  <c r="DB330" i="16"/>
  <c r="CC331" i="16"/>
  <c r="F42" i="23"/>
  <c r="F23" i="17"/>
  <c r="H46" i="17"/>
  <c r="H12" i="23"/>
  <c r="H12" i="21"/>
  <c r="CL10" i="16"/>
  <c r="CL450" i="16" s="1"/>
  <c r="I33" i="20" s="1"/>
  <c r="BX10" i="16"/>
  <c r="CY11" i="16" s="1"/>
  <c r="BP449" i="16"/>
  <c r="BW429" i="16"/>
  <c r="CX429" i="16"/>
  <c r="DI169" i="16"/>
  <c r="D21" i="28"/>
  <c r="DG215" i="16"/>
  <c r="CM216" i="16"/>
  <c r="DF215" i="16"/>
  <c r="CC216" i="16"/>
  <c r="DB215" i="16"/>
  <c r="CO216" i="16"/>
  <c r="DD170" i="16"/>
  <c r="CG171" i="16"/>
  <c r="CQ171" i="16"/>
  <c r="CG285" i="16"/>
  <c r="BU208" i="16"/>
  <c r="CV208" i="16"/>
  <c r="BT121" i="16"/>
  <c r="CU121" i="16"/>
  <c r="CF262" i="16"/>
  <c r="E38" i="27"/>
  <c r="I63" i="13"/>
  <c r="H48" i="18"/>
  <c r="G33" i="10"/>
  <c r="G50" i="10"/>
  <c r="H52" i="17"/>
  <c r="G15" i="21"/>
  <c r="G15" i="23"/>
  <c r="G9" i="17"/>
  <c r="CK430" i="16"/>
  <c r="BO430" i="16"/>
  <c r="E25" i="25"/>
  <c r="E23" i="27"/>
  <c r="E23" i="29"/>
  <c r="E65" i="25"/>
  <c r="F22" i="20"/>
  <c r="E13" i="28"/>
  <c r="E16" i="17"/>
  <c r="E13" i="29"/>
  <c r="CF193" i="16"/>
  <c r="H64" i="18"/>
  <c r="CB307" i="16"/>
  <c r="DC306" i="16"/>
  <c r="F9" i="28"/>
  <c r="F9" i="29"/>
  <c r="CR385" i="16"/>
  <c r="BQ385" i="16"/>
  <c r="F11" i="27"/>
  <c r="G15" i="27"/>
  <c r="G16" i="25"/>
  <c r="BR274" i="16"/>
  <c r="CS275" i="16" s="1"/>
  <c r="CJ274" i="16"/>
  <c r="BN274" i="16"/>
  <c r="CH239" i="16"/>
  <c r="CP239" i="16"/>
  <c r="G36" i="26"/>
  <c r="G58" i="29"/>
  <c r="G58" i="27"/>
  <c r="CX364" i="16"/>
  <c r="BW364" i="16"/>
  <c r="BW275" i="16"/>
  <c r="CX275" i="16"/>
  <c r="D16" i="28"/>
  <c r="D16" i="29"/>
  <c r="G47" i="21"/>
  <c r="G47" i="23"/>
  <c r="DJ448" i="16"/>
  <c r="CU320" i="16"/>
  <c r="BT320" i="16"/>
  <c r="CK124" i="16"/>
  <c r="BO124" i="16"/>
  <c r="BS187" i="16"/>
  <c r="CT188" i="16" s="1"/>
  <c r="CI187" i="16"/>
  <c r="BM187" i="16"/>
  <c r="E39" i="27"/>
  <c r="CP10" i="16"/>
  <c r="CP450" i="16" s="1"/>
  <c r="I58" i="20" s="1"/>
  <c r="BU10" i="16"/>
  <c r="BF449" i="16"/>
  <c r="H40" i="20" s="1"/>
  <c r="AT449" i="16"/>
  <c r="DB9" i="16"/>
  <c r="CC10" i="16"/>
  <c r="CC450" i="16" s="1"/>
  <c r="I8" i="20" s="1"/>
  <c r="BN429" i="16"/>
  <c r="CJ429" i="16"/>
  <c r="BR429" i="16"/>
  <c r="CS430" i="16" s="1"/>
  <c r="G50" i="13"/>
  <c r="G33" i="13"/>
  <c r="F23" i="18"/>
  <c r="F13" i="21"/>
  <c r="F13" i="23"/>
  <c r="F47" i="17"/>
  <c r="F48" i="17" s="1"/>
  <c r="CF331" i="16"/>
  <c r="DD330" i="16"/>
  <c r="CG331" i="16"/>
  <c r="DF330" i="16"/>
  <c r="CM331" i="16"/>
  <c r="DG330" i="16"/>
  <c r="DC214" i="16"/>
  <c r="CB215" i="16"/>
  <c r="CP171" i="16"/>
  <c r="CO171" i="16"/>
  <c r="DE170" i="16"/>
  <c r="DH283" i="16"/>
  <c r="D76" i="21"/>
  <c r="D78" i="21" s="1"/>
  <c r="BT341" i="16"/>
  <c r="CU341" i="16"/>
  <c r="F36" i="18"/>
  <c r="F36" i="21"/>
  <c r="CV122" i="16"/>
  <c r="BU122" i="16"/>
  <c r="G46" i="28"/>
  <c r="G46" i="29"/>
  <c r="CR10" i="16"/>
  <c r="DK170" i="16"/>
  <c r="F13" i="17"/>
  <c r="F7" i="23"/>
  <c r="F7" i="21"/>
  <c r="F59" i="25"/>
  <c r="F60" i="18"/>
  <c r="F60" i="21"/>
  <c r="C38" i="28"/>
  <c r="C38" i="29"/>
  <c r="H61" i="17"/>
  <c r="BS447" i="16"/>
  <c r="F45" i="20" s="1"/>
  <c r="F45" i="33" s="1"/>
  <c r="CT8" i="16"/>
  <c r="CT448" i="16" s="1"/>
  <c r="G63" i="20" s="1"/>
  <c r="G63" i="33" s="1"/>
  <c r="CV186" i="16"/>
  <c r="BU186" i="16"/>
  <c r="AC193" i="16"/>
  <c r="AW193" i="16" s="1"/>
  <c r="CE194" i="16" s="1"/>
  <c r="AS192" i="16"/>
  <c r="AM193" i="16"/>
  <c r="BG193" i="16" s="1"/>
  <c r="E63" i="27"/>
  <c r="E64" i="25"/>
  <c r="AS307" i="16"/>
  <c r="G10" i="23"/>
  <c r="G10" i="21"/>
  <c r="G10" i="20"/>
  <c r="G10" i="33" s="1"/>
  <c r="G44" i="17"/>
  <c r="CG239" i="16"/>
  <c r="DH352" i="16"/>
  <c r="CR165" i="16"/>
  <c r="BQ165" i="16"/>
  <c r="CL101" i="16"/>
  <c r="BX101" i="16"/>
  <c r="CY102" i="16" s="1"/>
  <c r="BP101" i="16"/>
  <c r="J50" i="25"/>
  <c r="C34" i="17"/>
  <c r="C26" i="23"/>
  <c r="C26" i="21"/>
  <c r="C6" i="17"/>
  <c r="G39" i="20"/>
  <c r="DE448" i="16"/>
  <c r="G37" i="20"/>
  <c r="G37" i="33" s="1"/>
  <c r="DG448" i="16"/>
  <c r="DF448" i="16"/>
  <c r="BO407" i="16"/>
  <c r="CK407" i="16"/>
  <c r="BV407" i="16"/>
  <c r="CW408" i="16" s="1"/>
  <c r="E52" i="27"/>
  <c r="E52" i="29"/>
  <c r="G10" i="27"/>
  <c r="G11" i="25"/>
  <c r="E25" i="26"/>
  <c r="CO10" i="16"/>
  <c r="CO450" i="16" s="1"/>
  <c r="I57" i="20" s="1"/>
  <c r="BE449" i="16"/>
  <c r="DE9" i="16"/>
  <c r="BT10" i="16"/>
  <c r="CB9" i="16"/>
  <c r="CB449" i="16" s="1"/>
  <c r="H7" i="20" s="1"/>
  <c r="H7" i="33" s="1"/>
  <c r="DC8" i="16"/>
  <c r="AS448" i="16"/>
  <c r="AV449" i="16"/>
  <c r="DJ449" i="16" s="1"/>
  <c r="AA10" i="16"/>
  <c r="AU10" i="16" s="1"/>
  <c r="AD10" i="16"/>
  <c r="AX10" i="16" s="1"/>
  <c r="AK10" i="16"/>
  <c r="BE10" i="16" s="1"/>
  <c r="AG10" i="16"/>
  <c r="BA10" i="16" s="1"/>
  <c r="BA450" i="16" s="1"/>
  <c r="AS9" i="16"/>
  <c r="AE10" i="16"/>
  <c r="AY10" i="16" s="1"/>
  <c r="AL10" i="16"/>
  <c r="BF10" i="16" s="1"/>
  <c r="AH10" i="16"/>
  <c r="BB10" i="16" s="1"/>
  <c r="BB450" i="16" s="1"/>
  <c r="AC10" i="16"/>
  <c r="AW10" i="16" s="1"/>
  <c r="AO10" i="16"/>
  <c r="BI10" i="16" s="1"/>
  <c r="BI450" i="16" s="1"/>
  <c r="Y10" i="16"/>
  <c r="AF10" i="16"/>
  <c r="AZ10" i="16" s="1"/>
  <c r="AM10" i="16"/>
  <c r="BG10" i="16" s="1"/>
  <c r="AB10" i="16"/>
  <c r="AV10" i="16" s="1"/>
  <c r="Z10" i="16"/>
  <c r="AT10" i="16" s="1"/>
  <c r="AJ10" i="16"/>
  <c r="BD10" i="16" s="1"/>
  <c r="AI10" i="16"/>
  <c r="BC10" i="16" s="1"/>
  <c r="AN10" i="16"/>
  <c r="BH10" i="16" s="1"/>
  <c r="BH450" i="16" s="1"/>
  <c r="CJ124" i="16"/>
  <c r="BN124" i="16"/>
  <c r="CQ331" i="16"/>
  <c r="G20" i="17"/>
  <c r="CX165" i="16"/>
  <c r="BW165" i="16"/>
  <c r="AK216" i="16"/>
  <c r="BE216" i="16" s="1"/>
  <c r="AM216" i="16"/>
  <c r="BG216" i="16" s="1"/>
  <c r="AS215" i="16"/>
  <c r="Z216" i="16"/>
  <c r="AT216" i="16" s="1"/>
  <c r="CH171" i="16"/>
  <c r="CN171" i="16"/>
  <c r="CD171" i="16"/>
  <c r="AM171" i="16"/>
  <c r="BG171" i="16" s="1"/>
  <c r="AK171" i="16"/>
  <c r="BE171" i="16" s="1"/>
  <c r="AN171" i="16"/>
  <c r="BH171" i="16" s="1"/>
  <c r="AF171" i="16"/>
  <c r="AZ171" i="16" s="1"/>
  <c r="Z171" i="16"/>
  <c r="AT171" i="16" s="1"/>
  <c r="AA171" i="16"/>
  <c r="AU171" i="16" s="1"/>
  <c r="AD171" i="16"/>
  <c r="AX171" i="16" s="1"/>
  <c r="AJ171" i="16"/>
  <c r="BD171" i="16" s="1"/>
  <c r="AL171" i="16"/>
  <c r="BF171" i="16" s="1"/>
  <c r="AI171" i="16"/>
  <c r="BC171" i="16" s="1"/>
  <c r="AH171" i="16"/>
  <c r="BB171" i="16" s="1"/>
  <c r="AO171" i="16"/>
  <c r="BI171" i="16" s="1"/>
  <c r="AE171" i="16"/>
  <c r="AY171" i="16" s="1"/>
  <c r="AG171" i="16"/>
  <c r="BA171" i="16" s="1"/>
  <c r="AS170" i="16"/>
  <c r="AC171" i="16"/>
  <c r="AW171" i="16" s="1"/>
  <c r="CE172" i="16" s="1"/>
  <c r="AB171" i="16"/>
  <c r="AV171" i="16" s="1"/>
  <c r="Y171" i="16"/>
  <c r="D41" i="27"/>
  <c r="DC352" i="16"/>
  <c r="CB353" i="16"/>
  <c r="CN285" i="16"/>
  <c r="CQ285" i="16"/>
  <c r="BT186" i="16"/>
  <c r="CU186" i="16"/>
  <c r="D76" i="23"/>
  <c r="D78" i="23" s="1"/>
  <c r="K55" i="10"/>
  <c r="DH375" i="16"/>
  <c r="CU144" i="16"/>
  <c r="BT144" i="16"/>
  <c r="CI363" i="16"/>
  <c r="BM363" i="16"/>
  <c r="CN262" i="16"/>
  <c r="AJ262" i="16"/>
  <c r="BD262" i="16" s="1"/>
  <c r="AS261" i="16"/>
  <c r="CB261" i="16"/>
  <c r="DC260" i="16"/>
  <c r="DB261" i="16"/>
  <c r="CC262" i="16"/>
  <c r="C28" i="28"/>
  <c r="C28" i="29"/>
  <c r="H33" i="18"/>
  <c r="G70" i="21"/>
  <c r="CR319" i="16"/>
  <c r="BQ319" i="16"/>
  <c r="BN166" i="16"/>
  <c r="CJ166" i="16"/>
  <c r="BV10" i="16"/>
  <c r="BO449" i="16"/>
  <c r="H19" i="20" s="1"/>
  <c r="CK10" i="16"/>
  <c r="H50" i="17"/>
  <c r="H28" i="23"/>
  <c r="H28" i="21"/>
  <c r="D25" i="28"/>
  <c r="D25" i="29"/>
  <c r="F35" i="18"/>
  <c r="F34" i="13"/>
  <c r="BN341" i="16"/>
  <c r="CJ341" i="16"/>
  <c r="F66" i="23"/>
  <c r="F66" i="21"/>
  <c r="G64" i="13"/>
  <c r="F52" i="13"/>
  <c r="F49" i="18"/>
  <c r="G49" i="10"/>
  <c r="F24" i="26"/>
  <c r="F24" i="28" s="1"/>
  <c r="G59" i="10"/>
  <c r="G59" i="33" s="1"/>
  <c r="DI260" i="16"/>
  <c r="F49" i="21"/>
  <c r="G24" i="17"/>
  <c r="BM447" i="16"/>
  <c r="F17" i="20" s="1"/>
  <c r="F17" i="33" s="1"/>
  <c r="BS8" i="16"/>
  <c r="CI8" i="16"/>
  <c r="CI448" i="16" s="1"/>
  <c r="G30" i="20" s="1"/>
  <c r="G30" i="33" s="1"/>
  <c r="BM8" i="16"/>
  <c r="E25" i="21"/>
  <c r="F53" i="21"/>
  <c r="DC191" i="16"/>
  <c r="CB192" i="16"/>
  <c r="DB192" i="16"/>
  <c r="CR297" i="16"/>
  <c r="BQ297" i="16"/>
  <c r="DD307" i="16"/>
  <c r="DH169" i="16"/>
  <c r="F52" i="23"/>
  <c r="E21" i="25"/>
  <c r="E26" i="25"/>
  <c r="E19" i="27"/>
  <c r="E19" i="29"/>
  <c r="BR142" i="16"/>
  <c r="CS143" i="16" s="1"/>
  <c r="CJ142" i="16"/>
  <c r="BN142" i="16"/>
  <c r="BR406" i="16"/>
  <c r="CS407" i="16" s="1"/>
  <c r="CJ406" i="16"/>
  <c r="BN406" i="16"/>
  <c r="E55" i="25"/>
  <c r="CN239" i="16"/>
  <c r="CC239" i="16"/>
  <c r="CD239" i="16"/>
  <c r="CR209" i="16"/>
  <c r="BQ209" i="16"/>
  <c r="F69" i="20"/>
  <c r="F69" i="33" s="1"/>
  <c r="F52" i="18"/>
  <c r="CI101" i="16"/>
  <c r="BM101" i="16"/>
  <c r="G48" i="10"/>
  <c r="F22" i="10"/>
  <c r="G32" i="10"/>
  <c r="C32" i="28"/>
  <c r="C39" i="17"/>
  <c r="C32" i="29"/>
  <c r="E25" i="17"/>
  <c r="E23" i="28"/>
  <c r="BR449" i="16"/>
  <c r="H44" i="20" s="1"/>
  <c r="H44" i="33" s="1"/>
  <c r="CS10" i="16"/>
  <c r="CS450" i="16" s="1"/>
  <c r="I62" i="20" s="1"/>
  <c r="H60" i="17"/>
  <c r="G68" i="21"/>
  <c r="G68" i="23"/>
  <c r="CR429" i="16"/>
  <c r="BQ429" i="16"/>
  <c r="G51" i="28"/>
  <c r="G51" i="29"/>
  <c r="BX449" i="16"/>
  <c r="H50" i="20" s="1"/>
  <c r="G20" i="20"/>
  <c r="G22" i="20" s="1"/>
  <c r="G58" i="10"/>
  <c r="G58" i="33" s="1"/>
  <c r="G47" i="10"/>
  <c r="H51" i="10"/>
  <c r="I61" i="10"/>
  <c r="I43" i="10"/>
  <c r="CV275" i="16"/>
  <c r="BU275" i="16"/>
  <c r="I44" i="27"/>
  <c r="CI429" i="16"/>
  <c r="CF10" i="16"/>
  <c r="CF450" i="16" s="1"/>
  <c r="I26" i="20" s="1"/>
  <c r="AX449" i="16"/>
  <c r="H13" i="20" s="1"/>
  <c r="H13" i="33" s="1"/>
  <c r="CG10" i="16"/>
  <c r="CG450" i="16" s="1"/>
  <c r="I27" i="20" s="1"/>
  <c r="BO10" i="16"/>
  <c r="DD9" i="16"/>
  <c r="AY449" i="16"/>
  <c r="CE10" i="16"/>
  <c r="CE450" i="16" s="1"/>
  <c r="I25" i="20" s="1"/>
  <c r="I25" i="33" s="1"/>
  <c r="AW449" i="16"/>
  <c r="H12" i="20" s="1"/>
  <c r="H12" i="33" s="1"/>
  <c r="BC449" i="16"/>
  <c r="DG9" i="16"/>
  <c r="CM10" i="16"/>
  <c r="CM450" i="16" s="1"/>
  <c r="I55" i="20" s="1"/>
  <c r="I55" i="33" s="1"/>
  <c r="DF9" i="16"/>
  <c r="CK100" i="16"/>
  <c r="BV100" i="16"/>
  <c r="CW101" i="16" s="1"/>
  <c r="BO100" i="16"/>
  <c r="BS253" i="16"/>
  <c r="CT254" i="16" s="1"/>
  <c r="CI253" i="16"/>
  <c r="BM253" i="16"/>
  <c r="BM230" i="16"/>
  <c r="BS230" i="16"/>
  <c r="CT231" i="16" s="1"/>
  <c r="CI230" i="16"/>
  <c r="CI275" i="16"/>
  <c r="BS275" i="16"/>
  <c r="CT276" i="16" s="1"/>
  <c r="BM275" i="16"/>
  <c r="D27" i="27"/>
  <c r="D27" i="29"/>
  <c r="CN331" i="16"/>
  <c r="DJ330" i="16"/>
  <c r="DK330" i="16"/>
  <c r="DC329" i="16"/>
  <c r="CB330" i="16"/>
  <c r="AK331" i="16"/>
  <c r="BE331" i="16" s="1"/>
  <c r="AB331" i="16"/>
  <c r="AV331" i="16" s="1"/>
  <c r="AO331" i="16"/>
  <c r="BI331" i="16" s="1"/>
  <c r="AD331" i="16"/>
  <c r="AX331" i="16" s="1"/>
  <c r="AH331" i="16"/>
  <c r="BB331" i="16" s="1"/>
  <c r="AE331" i="16"/>
  <c r="AY331" i="16" s="1"/>
  <c r="AC331" i="16"/>
  <c r="AW331" i="16" s="1"/>
  <c r="AI331" i="16"/>
  <c r="BC331" i="16" s="1"/>
  <c r="AA331" i="16"/>
  <c r="AU331" i="16" s="1"/>
  <c r="AF331" i="16"/>
  <c r="AZ331" i="16" s="1"/>
  <c r="AM331" i="16"/>
  <c r="BG331" i="16" s="1"/>
  <c r="AG331" i="16"/>
  <c r="BA331" i="16" s="1"/>
  <c r="Y331" i="16"/>
  <c r="AS331" i="16" s="1"/>
  <c r="AN331" i="16"/>
  <c r="BH331" i="16" s="1"/>
  <c r="AS330" i="16"/>
  <c r="AJ331" i="16"/>
  <c r="BD331" i="16" s="1"/>
  <c r="AL331" i="16"/>
  <c r="BF331" i="16" s="1"/>
  <c r="Z331" i="16"/>
  <c r="AT331" i="16" s="1"/>
  <c r="DI447" i="16"/>
  <c r="BO296" i="16"/>
  <c r="CK296" i="16"/>
  <c r="BV296" i="16"/>
  <c r="CW297" i="16" s="1"/>
  <c r="G30" i="17"/>
  <c r="G8" i="21"/>
  <c r="G8" i="23"/>
  <c r="D28" i="25"/>
  <c r="D26" i="27"/>
  <c r="D26" i="29"/>
  <c r="CX209" i="16"/>
  <c r="BW209" i="16"/>
  <c r="D28" i="17"/>
  <c r="D28" i="28" s="1"/>
  <c r="D26" i="28"/>
  <c r="F27" i="17"/>
  <c r="CQ216" i="16"/>
  <c r="CD216" i="16"/>
  <c r="CN216" i="16"/>
  <c r="AO262" i="16" l="1"/>
  <c r="BI262" i="16" s="1"/>
  <c r="AD216" i="16"/>
  <c r="AX216" i="16" s="1"/>
  <c r="DB216" i="16" s="1"/>
  <c r="AB216" i="16"/>
  <c r="AV216" i="16" s="1"/>
  <c r="DK216" i="16" s="1"/>
  <c r="AG216" i="16"/>
  <c r="BA216" i="16" s="1"/>
  <c r="AA216" i="16"/>
  <c r="AU216" i="16" s="1"/>
  <c r="AI308" i="16"/>
  <c r="BC308" i="16" s="1"/>
  <c r="AH239" i="16"/>
  <c r="BB239" i="16" s="1"/>
  <c r="DK239" i="16" s="1"/>
  <c r="AF239" i="16"/>
  <c r="AZ239" i="16" s="1"/>
  <c r="CH240" i="16" s="1"/>
  <c r="AD285" i="16"/>
  <c r="AX285" i="16" s="1"/>
  <c r="AS284" i="16"/>
  <c r="DC284" i="16" s="1"/>
  <c r="DK215" i="16"/>
  <c r="BN80" i="16"/>
  <c r="CJ81" i="16" s="1"/>
  <c r="BR341" i="16"/>
  <c r="CS342" i="16" s="1"/>
  <c r="AI262" i="16"/>
  <c r="BC262" i="16" s="1"/>
  <c r="CM263" i="16" s="1"/>
  <c r="AH216" i="16"/>
  <c r="BB216" i="16" s="1"/>
  <c r="AL216" i="16"/>
  <c r="BF216" i="16" s="1"/>
  <c r="DE216" i="16" s="1"/>
  <c r="AI216" i="16"/>
  <c r="BC216" i="16" s="1"/>
  <c r="AC216" i="16"/>
  <c r="AW216" i="16" s="1"/>
  <c r="CE217" i="16" s="1"/>
  <c r="AJ216" i="16"/>
  <c r="BD216" i="16" s="1"/>
  <c r="DF216" i="16" s="1"/>
  <c r="AF308" i="16"/>
  <c r="AZ308" i="16" s="1"/>
  <c r="CH309" i="16" s="1"/>
  <c r="AJ193" i="16"/>
  <c r="BD193" i="16" s="1"/>
  <c r="DE284" i="16"/>
  <c r="DD215" i="16"/>
  <c r="DE215" i="16"/>
  <c r="AG239" i="16"/>
  <c r="BA239" i="16" s="1"/>
  <c r="Z239" i="16"/>
  <c r="AT239" i="16" s="1"/>
  <c r="BT78" i="16"/>
  <c r="CU79" i="16" s="1"/>
  <c r="AB285" i="16"/>
  <c r="AV285" i="16" s="1"/>
  <c r="DC283" i="16"/>
  <c r="H48" i="26"/>
  <c r="H48" i="27" s="1"/>
  <c r="K37" i="10"/>
  <c r="K10" i="26" s="1"/>
  <c r="DB238" i="16"/>
  <c r="DB307" i="16"/>
  <c r="DD192" i="16"/>
  <c r="DE261" i="16"/>
  <c r="DF307" i="16"/>
  <c r="DI307" i="16" s="1"/>
  <c r="DK307" i="16"/>
  <c r="DF192" i="16"/>
  <c r="CD80" i="16"/>
  <c r="AD262" i="16"/>
  <c r="AX262" i="16" s="1"/>
  <c r="CF263" i="16" s="1"/>
  <c r="AF216" i="16"/>
  <c r="AZ216" i="16" s="1"/>
  <c r="AE216" i="16"/>
  <c r="AY216" i="16" s="1"/>
  <c r="AO216" i="16"/>
  <c r="BI216" i="16" s="1"/>
  <c r="Y216" i="16"/>
  <c r="AG217" i="16" s="1"/>
  <c r="BA217" i="16" s="1"/>
  <c r="AN216" i="16"/>
  <c r="BH216" i="16" s="1"/>
  <c r="CO262" i="16"/>
  <c r="DF238" i="16"/>
  <c r="BV78" i="16"/>
  <c r="CW79" i="16" s="1"/>
  <c r="BR123" i="16"/>
  <c r="CS124" i="16" s="1"/>
  <c r="BW100" i="16"/>
  <c r="CX101" i="16" s="1"/>
  <c r="BS56" i="16"/>
  <c r="CT57" i="16" s="1"/>
  <c r="DI101" i="16"/>
  <c r="DH191" i="16"/>
  <c r="DE307" i="16"/>
  <c r="DD261" i="16"/>
  <c r="DH261" i="16" s="1"/>
  <c r="DK238" i="16"/>
  <c r="DK261" i="16"/>
  <c r="DG261" i="16"/>
  <c r="CM193" i="16"/>
  <c r="AL262" i="16"/>
  <c r="BF262" i="16" s="1"/>
  <c r="DE262" i="16" s="1"/>
  <c r="Y262" i="16"/>
  <c r="AJ308" i="16"/>
  <c r="BD308" i="16" s="1"/>
  <c r="AE308" i="16"/>
  <c r="AY308" i="16" s="1"/>
  <c r="AI193" i="16"/>
  <c r="BC193" i="16" s="1"/>
  <c r="DF193" i="16" s="1"/>
  <c r="AB239" i="16"/>
  <c r="AV239" i="16" s="1"/>
  <c r="AD239" i="16"/>
  <c r="AX239" i="16" s="1"/>
  <c r="CF240" i="16" s="1"/>
  <c r="AO285" i="16"/>
  <c r="BI285" i="16" s="1"/>
  <c r="AJ285" i="16"/>
  <c r="BD285" i="16" s="1"/>
  <c r="CN286" i="16" s="1"/>
  <c r="CF308" i="16"/>
  <c r="DG192" i="16"/>
  <c r="DH192" i="16" s="1"/>
  <c r="AM262" i="16"/>
  <c r="BG262" i="16" s="1"/>
  <c r="AN262" i="16"/>
  <c r="BH262" i="16" s="1"/>
  <c r="Z262" i="16"/>
  <c r="AT262" i="16" s="1"/>
  <c r="AB262" i="16"/>
  <c r="AV262" i="16" s="1"/>
  <c r="DE238" i="16"/>
  <c r="AB308" i="16"/>
  <c r="AV308" i="16" s="1"/>
  <c r="AN308" i="16"/>
  <c r="BH308" i="16" s="1"/>
  <c r="Y308" i="16"/>
  <c r="AG308" i="16"/>
  <c r="BA308" i="16" s="1"/>
  <c r="AD308" i="16"/>
  <c r="AX308" i="16" s="1"/>
  <c r="CF309" i="16" s="1"/>
  <c r="AH193" i="16"/>
  <c r="BB193" i="16" s="1"/>
  <c r="AG193" i="16"/>
  <c r="BA193" i="16" s="1"/>
  <c r="AO193" i="16"/>
  <c r="BI193" i="16" s="1"/>
  <c r="Z193" i="16"/>
  <c r="AT193" i="16" s="1"/>
  <c r="CC194" i="16" s="1"/>
  <c r="AL193" i="16"/>
  <c r="BF193" i="16" s="1"/>
  <c r="DB284" i="16"/>
  <c r="CG262" i="16"/>
  <c r="DD284" i="16"/>
  <c r="DH284" i="16" s="1"/>
  <c r="DJ238" i="16"/>
  <c r="AL239" i="16"/>
  <c r="BF239" i="16" s="1"/>
  <c r="AO239" i="16"/>
  <c r="BI239" i="16" s="1"/>
  <c r="AN239" i="16"/>
  <c r="BH239" i="16" s="1"/>
  <c r="AC239" i="16"/>
  <c r="AW239" i="16" s="1"/>
  <c r="CE240" i="16" s="1"/>
  <c r="DG238" i="16"/>
  <c r="CG193" i="16"/>
  <c r="AM285" i="16"/>
  <c r="BG285" i="16" s="1"/>
  <c r="CQ286" i="16" s="1"/>
  <c r="AK285" i="16"/>
  <c r="BE285" i="16" s="1"/>
  <c r="AF285" i="16"/>
  <c r="AZ285" i="16" s="1"/>
  <c r="CH286" i="16" s="1"/>
  <c r="AG285" i="16"/>
  <c r="BA285" i="16" s="1"/>
  <c r="Z285" i="16"/>
  <c r="AT285" i="16" s="1"/>
  <c r="DB285" i="16" s="1"/>
  <c r="DJ284" i="16"/>
  <c r="DJ307" i="16"/>
  <c r="BX188" i="16"/>
  <c r="CY189" i="16" s="1"/>
  <c r="AG262" i="16"/>
  <c r="BA262" i="16" s="1"/>
  <c r="AA262" i="16"/>
  <c r="AU262" i="16" s="1"/>
  <c r="CD263" i="16" s="1"/>
  <c r="AK308" i="16"/>
  <c r="BE308" i="16" s="1"/>
  <c r="CO309" i="16" s="1"/>
  <c r="Z308" i="16"/>
  <c r="AT308" i="16" s="1"/>
  <c r="AK193" i="16"/>
  <c r="BE193" i="16" s="1"/>
  <c r="AF193" i="16"/>
  <c r="AZ193" i="16" s="1"/>
  <c r="AM239" i="16"/>
  <c r="BG239" i="16" s="1"/>
  <c r="CQ240" i="16" s="1"/>
  <c r="Y239" i="16"/>
  <c r="AF240" i="16" s="1"/>
  <c r="AZ240" i="16" s="1"/>
  <c r="AL285" i="16"/>
  <c r="BF285" i="16" s="1"/>
  <c r="DE285" i="16" s="1"/>
  <c r="BS429" i="16"/>
  <c r="CT430" i="16" s="1"/>
  <c r="AC262" i="16"/>
  <c r="AW262" i="16" s="1"/>
  <c r="CE263" i="16" s="1"/>
  <c r="AE262" i="16"/>
  <c r="AY262" i="16" s="1"/>
  <c r="AH262" i="16"/>
  <c r="BB262" i="16" s="1"/>
  <c r="AK262" i="16"/>
  <c r="BE262" i="16" s="1"/>
  <c r="AA308" i="16"/>
  <c r="AU308" i="16" s="1"/>
  <c r="CD309" i="16" s="1"/>
  <c r="AM308" i="16"/>
  <c r="BG308" i="16" s="1"/>
  <c r="AL308" i="16"/>
  <c r="BF308" i="16" s="1"/>
  <c r="CP309" i="16" s="1"/>
  <c r="AO308" i="16"/>
  <c r="BI308" i="16" s="1"/>
  <c r="AH308" i="16"/>
  <c r="BB308" i="16" s="1"/>
  <c r="AD193" i="16"/>
  <c r="AX193" i="16" s="1"/>
  <c r="CF194" i="16" s="1"/>
  <c r="AB193" i="16"/>
  <c r="AV193" i="16" s="1"/>
  <c r="DJ193" i="16" s="1"/>
  <c r="Y193" i="16"/>
  <c r="AE193" i="16"/>
  <c r="AY193" i="16" s="1"/>
  <c r="AA193" i="16"/>
  <c r="AU193" i="16" s="1"/>
  <c r="AI239" i="16"/>
  <c r="BC239" i="16" s="1"/>
  <c r="CM240" i="16" s="1"/>
  <c r="AK239" i="16"/>
  <c r="BE239" i="16" s="1"/>
  <c r="CO240" i="16" s="1"/>
  <c r="AJ239" i="16"/>
  <c r="BD239" i="16" s="1"/>
  <c r="AE239" i="16"/>
  <c r="AY239" i="16" s="1"/>
  <c r="AI285" i="16"/>
  <c r="BC285" i="16" s="1"/>
  <c r="DF285" i="16" s="1"/>
  <c r="AH285" i="16"/>
  <c r="BB285" i="16" s="1"/>
  <c r="AC285" i="16"/>
  <c r="AW285" i="16" s="1"/>
  <c r="CE286" i="16" s="1"/>
  <c r="Y285" i="16"/>
  <c r="AG286" i="16" s="1"/>
  <c r="BA286" i="16" s="1"/>
  <c r="AA285" i="16"/>
  <c r="AU285" i="16" s="1"/>
  <c r="CD286" i="16" s="1"/>
  <c r="BV56" i="16"/>
  <c r="DE125" i="16"/>
  <c r="I26" i="31"/>
  <c r="J7" i="31"/>
  <c r="BW57" i="16"/>
  <c r="CX58" i="16" s="1"/>
  <c r="BX430" i="16"/>
  <c r="CY431" i="16" s="1"/>
  <c r="DH124" i="16"/>
  <c r="BN56" i="16"/>
  <c r="BR57" i="16" s="1"/>
  <c r="CS58" i="16" s="1"/>
  <c r="J44" i="25"/>
  <c r="J44" i="27" s="1"/>
  <c r="DH55" i="16"/>
  <c r="CJ56" i="16"/>
  <c r="G48" i="26"/>
  <c r="G48" i="27" s="1"/>
  <c r="BP80" i="16"/>
  <c r="CL81" i="16" s="1"/>
  <c r="DI147" i="16"/>
  <c r="DI124" i="16"/>
  <c r="J50" i="26"/>
  <c r="J50" i="27" s="1"/>
  <c r="BS101" i="16"/>
  <c r="CT102" i="16" s="1"/>
  <c r="AH126" i="16"/>
  <c r="BB126" i="16" s="1"/>
  <c r="AM103" i="16"/>
  <c r="BG103" i="16" s="1"/>
  <c r="J12" i="31"/>
  <c r="DB148" i="16"/>
  <c r="BV143" i="16"/>
  <c r="CW144" i="16" s="1"/>
  <c r="DE102" i="16"/>
  <c r="J13" i="13"/>
  <c r="K26" i="13" s="1"/>
  <c r="K51" i="25" s="1"/>
  <c r="BO34" i="16"/>
  <c r="CK35" i="16" s="1"/>
  <c r="I14" i="25"/>
  <c r="J28" i="18"/>
  <c r="J9" i="26"/>
  <c r="J11" i="26" s="1"/>
  <c r="AO80" i="16"/>
  <c r="BI80" i="16" s="1"/>
  <c r="DF102" i="16"/>
  <c r="K25" i="10"/>
  <c r="K50" i="26" s="1"/>
  <c r="K12" i="10"/>
  <c r="K9" i="26" s="1"/>
  <c r="CK34" i="16"/>
  <c r="J15" i="18"/>
  <c r="DH101" i="16"/>
  <c r="AL103" i="16"/>
  <c r="BF103" i="16" s="1"/>
  <c r="CP104" i="16" s="1"/>
  <c r="DF125" i="16"/>
  <c r="BR34" i="16"/>
  <c r="CS35" i="16" s="1"/>
  <c r="DK102" i="16"/>
  <c r="BS363" i="16"/>
  <c r="CT364" i="16" s="1"/>
  <c r="CO103" i="16"/>
  <c r="BV275" i="16"/>
  <c r="CW276" i="16" s="1"/>
  <c r="AJ103" i="16"/>
  <c r="BD103" i="16" s="1"/>
  <c r="CN104" i="16" s="1"/>
  <c r="AS79" i="16"/>
  <c r="DC79" i="16" s="1"/>
  <c r="Z126" i="16"/>
  <c r="AT126" i="16" s="1"/>
  <c r="CC127" i="16" s="1"/>
  <c r="DJ148" i="16"/>
  <c r="DE148" i="16"/>
  <c r="DD125" i="16"/>
  <c r="DD102" i="16"/>
  <c r="DG125" i="16"/>
  <c r="DJ79" i="16"/>
  <c r="DB79" i="16"/>
  <c r="AC103" i="16"/>
  <c r="AW103" i="16" s="1"/>
  <c r="CE104" i="16" s="1"/>
  <c r="BX57" i="16"/>
  <c r="CY58" i="16" s="1"/>
  <c r="AC126" i="16"/>
  <c r="AW126" i="16" s="1"/>
  <c r="CE127" i="16" s="1"/>
  <c r="CG126" i="16"/>
  <c r="AI103" i="16"/>
  <c r="BC103" i="16" s="1"/>
  <c r="CM104" i="16" s="1"/>
  <c r="DE79" i="16"/>
  <c r="J6" i="18"/>
  <c r="F42" i="21"/>
  <c r="AE126" i="16"/>
  <c r="AY126" i="16" s="1"/>
  <c r="CM126" i="16"/>
  <c r="BX79" i="16"/>
  <c r="AS102" i="16"/>
  <c r="CB103" i="16" s="1"/>
  <c r="CF80" i="16"/>
  <c r="DF56" i="16"/>
  <c r="K7" i="13"/>
  <c r="K7" i="31" s="1"/>
  <c r="AA126" i="16"/>
  <c r="AU126" i="16" s="1"/>
  <c r="CD127" i="16" s="1"/>
  <c r="AK126" i="16"/>
  <c r="BE126" i="16" s="1"/>
  <c r="H13" i="18"/>
  <c r="BR254" i="16"/>
  <c r="CS255" i="16" s="1"/>
  <c r="DJ102" i="16"/>
  <c r="H10" i="31"/>
  <c r="DD79" i="16"/>
  <c r="DG79" i="16"/>
  <c r="DI78" i="16"/>
  <c r="DB125" i="16"/>
  <c r="DJ125" i="16"/>
  <c r="BS57" i="16"/>
  <c r="CT58" i="16" s="1"/>
  <c r="DG102" i="16"/>
  <c r="G57" i="13"/>
  <c r="G59" i="25" s="1"/>
  <c r="E62" i="29"/>
  <c r="CC126" i="16"/>
  <c r="CI57" i="16"/>
  <c r="AH103" i="16"/>
  <c r="BB103" i="16" s="1"/>
  <c r="AF103" i="16"/>
  <c r="AZ103" i="16" s="1"/>
  <c r="CH104" i="16" s="1"/>
  <c r="AO103" i="16"/>
  <c r="BI103" i="16" s="1"/>
  <c r="Z103" i="16"/>
  <c r="AT103" i="16" s="1"/>
  <c r="CC104" i="16" s="1"/>
  <c r="AB126" i="16"/>
  <c r="AV126" i="16" s="1"/>
  <c r="Y126" i="16"/>
  <c r="AI126" i="16"/>
  <c r="BC126" i="16" s="1"/>
  <c r="CM127" i="16" s="1"/>
  <c r="E73" i="21"/>
  <c r="AE149" i="16"/>
  <c r="AY149" i="16" s="1"/>
  <c r="CG150" i="16" s="1"/>
  <c r="BW101" i="16"/>
  <c r="CX102" i="16" s="1"/>
  <c r="BM57" i="16"/>
  <c r="BS58" i="16" s="1"/>
  <c r="CT59" i="16" s="1"/>
  <c r="DF79" i="16"/>
  <c r="DH78" i="16"/>
  <c r="DK125" i="16"/>
  <c r="AG103" i="16"/>
  <c r="BA103" i="16" s="1"/>
  <c r="AD103" i="16"/>
  <c r="AX103" i="16" s="1"/>
  <c r="CF104" i="16" s="1"/>
  <c r="Y103" i="16"/>
  <c r="AS103" i="16" s="1"/>
  <c r="AK103" i="16"/>
  <c r="BE103" i="16" s="1"/>
  <c r="AA103" i="16"/>
  <c r="AU103" i="16" s="1"/>
  <c r="CD104" i="16" s="1"/>
  <c r="CN103" i="16"/>
  <c r="E55" i="26"/>
  <c r="E55" i="27" s="1"/>
  <c r="BR166" i="16"/>
  <c r="CS167" i="16" s="1"/>
  <c r="AI80" i="16"/>
  <c r="BC80" i="16" s="1"/>
  <c r="CM81" i="16" s="1"/>
  <c r="G15" i="29"/>
  <c r="AF126" i="16"/>
  <c r="AZ126" i="16" s="1"/>
  <c r="CH127" i="16" s="1"/>
  <c r="AD126" i="16"/>
  <c r="AX126" i="16" s="1"/>
  <c r="AO126" i="16"/>
  <c r="BI126" i="16" s="1"/>
  <c r="AL126" i="16"/>
  <c r="BF126" i="16" s="1"/>
  <c r="CP127" i="16" s="1"/>
  <c r="DB102" i="16"/>
  <c r="E73" i="23"/>
  <c r="F24" i="25"/>
  <c r="F24" i="29" s="1"/>
  <c r="BT34" i="16"/>
  <c r="CU35" i="16" s="1"/>
  <c r="AB103" i="16"/>
  <c r="AV103" i="16" s="1"/>
  <c r="AN103" i="16"/>
  <c r="BH103" i="16" s="1"/>
  <c r="AE103" i="16"/>
  <c r="AY103" i="16" s="1"/>
  <c r="CG104" i="16" s="1"/>
  <c r="AL80" i="16"/>
  <c r="BF80" i="16" s="1"/>
  <c r="CP81" i="16" s="1"/>
  <c r="AE80" i="16"/>
  <c r="AY80" i="16" s="1"/>
  <c r="CG81" i="16" s="1"/>
  <c r="H34" i="23"/>
  <c r="AG126" i="16"/>
  <c r="BA126" i="16" s="1"/>
  <c r="AN126" i="16"/>
  <c r="BH126" i="16" s="1"/>
  <c r="AM126" i="16"/>
  <c r="BG126" i="16" s="1"/>
  <c r="CQ127" i="16" s="1"/>
  <c r="AJ126" i="16"/>
  <c r="BD126" i="16" s="1"/>
  <c r="CN127" i="16" s="1"/>
  <c r="DK79" i="16"/>
  <c r="E63" i="17"/>
  <c r="E63" i="28" s="1"/>
  <c r="I30" i="26"/>
  <c r="I30" i="27" s="1"/>
  <c r="BP57" i="16"/>
  <c r="DJ33" i="16"/>
  <c r="E70" i="32"/>
  <c r="AO149" i="16"/>
  <c r="BI149" i="16" s="1"/>
  <c r="CK231" i="16"/>
  <c r="BV231" i="16"/>
  <c r="CW232" i="16" s="1"/>
  <c r="BO231" i="16"/>
  <c r="J56" i="10"/>
  <c r="J58" i="26" s="1"/>
  <c r="J26" i="31"/>
  <c r="I13" i="31"/>
  <c r="J31" i="10"/>
  <c r="J34" i="18" s="1"/>
  <c r="I26" i="33"/>
  <c r="BP232" i="16"/>
  <c r="BX232" i="16"/>
  <c r="CY233" i="16" s="1"/>
  <c r="CL232" i="16"/>
  <c r="BR124" i="16"/>
  <c r="CS125" i="16" s="1"/>
  <c r="AG80" i="16"/>
  <c r="BA80" i="16" s="1"/>
  <c r="AA80" i="16"/>
  <c r="AU80" i="16" s="1"/>
  <c r="BN81" i="16" s="1"/>
  <c r="AN80" i="16"/>
  <c r="BH80" i="16" s="1"/>
  <c r="AM80" i="16"/>
  <c r="BG80" i="16" s="1"/>
  <c r="CQ81" i="16" s="1"/>
  <c r="AC80" i="16"/>
  <c r="AW80" i="16" s="1"/>
  <c r="CE81" i="16" s="1"/>
  <c r="DI215" i="16"/>
  <c r="DD148" i="16"/>
  <c r="I5" i="31"/>
  <c r="DI32" i="16"/>
  <c r="K12" i="13"/>
  <c r="Z80" i="16"/>
  <c r="AT80" i="16" s="1"/>
  <c r="CC81" i="16" s="1"/>
  <c r="Y80" i="16"/>
  <c r="AS80" i="16" s="1"/>
  <c r="AJ80" i="16"/>
  <c r="BD80" i="16" s="1"/>
  <c r="CN81" i="16" s="1"/>
  <c r="AD80" i="16"/>
  <c r="AX80" i="16" s="1"/>
  <c r="CF81" i="16" s="1"/>
  <c r="I8" i="18"/>
  <c r="K3" i="13"/>
  <c r="K3" i="31" s="1"/>
  <c r="BU34" i="16"/>
  <c r="CV35" i="16" s="1"/>
  <c r="CW450" i="16"/>
  <c r="I66" i="20" s="1"/>
  <c r="J3" i="31"/>
  <c r="K18" i="13"/>
  <c r="L31" i="13" s="1"/>
  <c r="DF148" i="16"/>
  <c r="AH80" i="16"/>
  <c r="BB80" i="16" s="1"/>
  <c r="AF80" i="16"/>
  <c r="AZ80" i="16" s="1"/>
  <c r="CH81" i="16" s="1"/>
  <c r="AK80" i="16"/>
  <c r="BE80" i="16" s="1"/>
  <c r="AB80" i="16"/>
  <c r="AV80" i="16" s="1"/>
  <c r="J30" i="25"/>
  <c r="I29" i="18"/>
  <c r="DK148" i="16"/>
  <c r="I51" i="26"/>
  <c r="I51" i="27" s="1"/>
  <c r="DH147" i="16"/>
  <c r="J38" i="10"/>
  <c r="J15" i="26" s="1"/>
  <c r="J5" i="10"/>
  <c r="J8" i="18" s="1"/>
  <c r="CG34" i="16"/>
  <c r="K25" i="13"/>
  <c r="K50" i="25" s="1"/>
  <c r="J44" i="10"/>
  <c r="K62" i="10" s="1"/>
  <c r="J29" i="18"/>
  <c r="F23" i="25"/>
  <c r="F39" i="31"/>
  <c r="DG33" i="16"/>
  <c r="G70" i="18"/>
  <c r="I47" i="18"/>
  <c r="J18" i="10"/>
  <c r="J21" i="18" s="1"/>
  <c r="I21" i="18"/>
  <c r="G67" i="31"/>
  <c r="BW34" i="16"/>
  <c r="CX35" i="16" s="1"/>
  <c r="I31" i="31"/>
  <c r="DH32" i="16"/>
  <c r="I14" i="26"/>
  <c r="I16" i="18"/>
  <c r="CW429" i="16"/>
  <c r="BV429" i="16"/>
  <c r="J10" i="13"/>
  <c r="J47" i="25" s="1"/>
  <c r="J48" i="25" s="1"/>
  <c r="G49" i="13"/>
  <c r="G52" i="21" s="1"/>
  <c r="AK149" i="16"/>
  <c r="BE149" i="16" s="1"/>
  <c r="CO150" i="16" s="1"/>
  <c r="F41" i="31"/>
  <c r="DD33" i="16"/>
  <c r="CM34" i="16"/>
  <c r="CM149" i="16"/>
  <c r="BN34" i="16"/>
  <c r="DI170" i="16"/>
  <c r="BP34" i="16"/>
  <c r="BX35" i="16" s="1"/>
  <c r="CY36" i="16" s="1"/>
  <c r="J51" i="25"/>
  <c r="J51" i="27" s="1"/>
  <c r="CP149" i="16"/>
  <c r="G40" i="13"/>
  <c r="G40" i="32" s="1"/>
  <c r="AJ149" i="16"/>
  <c r="BD149" i="16" s="1"/>
  <c r="CN150" i="16" s="1"/>
  <c r="CQ34" i="16"/>
  <c r="CH34" i="16"/>
  <c r="F42" i="18"/>
  <c r="AL149" i="16"/>
  <c r="BF149" i="16" s="1"/>
  <c r="CP150" i="16" s="1"/>
  <c r="DI55" i="16"/>
  <c r="H38" i="32"/>
  <c r="G70" i="23"/>
  <c r="BS123" i="16"/>
  <c r="CT124" i="16" s="1"/>
  <c r="CI123" i="16"/>
  <c r="BM123" i="16"/>
  <c r="G34" i="10"/>
  <c r="G53" i="26" s="1"/>
  <c r="G32" i="33"/>
  <c r="G43" i="23"/>
  <c r="G40" i="33"/>
  <c r="F34" i="33"/>
  <c r="H16" i="26"/>
  <c r="H13" i="27"/>
  <c r="G71" i="23"/>
  <c r="G68" i="33"/>
  <c r="J63" i="10"/>
  <c r="F22" i="33"/>
  <c r="DG148" i="16"/>
  <c r="H34" i="21"/>
  <c r="BO57" i="16"/>
  <c r="CK58" i="16" s="1"/>
  <c r="AF149" i="16"/>
  <c r="AZ149" i="16" s="1"/>
  <c r="AC149" i="16"/>
  <c r="AW149" i="16" s="1"/>
  <c r="CE150" i="16" s="1"/>
  <c r="F53" i="26"/>
  <c r="DB56" i="16"/>
  <c r="BV341" i="16"/>
  <c r="CW342" i="16" s="1"/>
  <c r="DJ56" i="16"/>
  <c r="I45" i="26"/>
  <c r="I45" i="27" s="1"/>
  <c r="I8" i="33"/>
  <c r="I8" i="31"/>
  <c r="I10" i="10"/>
  <c r="I11" i="18"/>
  <c r="G69" i="23"/>
  <c r="G66" i="33"/>
  <c r="BX254" i="16"/>
  <c r="CY255" i="16" s="1"/>
  <c r="CL254" i="16"/>
  <c r="BP254" i="16"/>
  <c r="J43" i="10"/>
  <c r="K61" i="10" s="1"/>
  <c r="H66" i="10"/>
  <c r="G48" i="33"/>
  <c r="H67" i="10"/>
  <c r="G49" i="33"/>
  <c r="K57" i="26"/>
  <c r="CF57" i="16"/>
  <c r="E54" i="27"/>
  <c r="H68" i="10"/>
  <c r="G50" i="33"/>
  <c r="CB33" i="16"/>
  <c r="F55" i="23"/>
  <c r="F52" i="33"/>
  <c r="G49" i="23"/>
  <c r="G46" i="33"/>
  <c r="H58" i="28"/>
  <c r="G59" i="13"/>
  <c r="G62" i="21" s="1"/>
  <c r="AA149" i="16"/>
  <c r="AU149" i="16" s="1"/>
  <c r="CD150" i="16" s="1"/>
  <c r="AM149" i="16"/>
  <c r="BG149" i="16" s="1"/>
  <c r="CQ150" i="16" s="1"/>
  <c r="AN149" i="16"/>
  <c r="BH149" i="16" s="1"/>
  <c r="Y149" i="16"/>
  <c r="AI149" i="16"/>
  <c r="BC149" i="16" s="1"/>
  <c r="CM150" i="16" s="1"/>
  <c r="J46" i="26"/>
  <c r="J46" i="27" s="1"/>
  <c r="DE33" i="16"/>
  <c r="F63" i="26"/>
  <c r="F64" i="26" s="1"/>
  <c r="F35" i="10"/>
  <c r="CB148" i="16"/>
  <c r="F73" i="18"/>
  <c r="AH57" i="16"/>
  <c r="BB57" i="16" s="1"/>
  <c r="CV100" i="16"/>
  <c r="BU100" i="16"/>
  <c r="I21" i="10"/>
  <c r="I62" i="33"/>
  <c r="BU56" i="16"/>
  <c r="I65" i="18"/>
  <c r="AH149" i="16"/>
  <c r="BB149" i="16" s="1"/>
  <c r="AS148" i="16"/>
  <c r="CB149" i="16" s="1"/>
  <c r="Z149" i="16"/>
  <c r="AT149" i="16" s="1"/>
  <c r="CC150" i="16" s="1"/>
  <c r="AI34" i="16"/>
  <c r="BC34" i="16" s="1"/>
  <c r="H61" i="33"/>
  <c r="H65" i="10"/>
  <c r="G47" i="33"/>
  <c r="H47" i="27"/>
  <c r="K31" i="13"/>
  <c r="G39" i="26"/>
  <c r="G36" i="23"/>
  <c r="G33" i="33"/>
  <c r="CC57" i="16"/>
  <c r="AD149" i="16"/>
  <c r="AX149" i="16" s="1"/>
  <c r="CF150" i="16" s="1"/>
  <c r="AB149" i="16"/>
  <c r="AV149" i="16" s="1"/>
  <c r="AG149" i="16"/>
  <c r="BA149" i="16" s="1"/>
  <c r="AH34" i="16"/>
  <c r="BB34" i="16" s="1"/>
  <c r="DK33" i="16"/>
  <c r="DD56" i="16"/>
  <c r="J4" i="10"/>
  <c r="J7" i="18" s="1"/>
  <c r="J13" i="10"/>
  <c r="I13" i="26"/>
  <c r="I13" i="27" s="1"/>
  <c r="J8" i="10"/>
  <c r="J10" i="10" s="1"/>
  <c r="J44" i="13"/>
  <c r="K62" i="13" s="1"/>
  <c r="J62" i="13"/>
  <c r="I44" i="31"/>
  <c r="I34" i="18"/>
  <c r="J62" i="10"/>
  <c r="BU232" i="16"/>
  <c r="CV232" i="16"/>
  <c r="J45" i="10"/>
  <c r="J17" i="10"/>
  <c r="J30" i="10"/>
  <c r="I4" i="31"/>
  <c r="H43" i="32"/>
  <c r="I26" i="32"/>
  <c r="E21" i="32"/>
  <c r="BP386" i="16"/>
  <c r="BX386" i="16"/>
  <c r="CY387" i="16" s="1"/>
  <c r="CL386" i="16"/>
  <c r="BX298" i="16"/>
  <c r="CY299" i="16" s="1"/>
  <c r="BP298" i="16"/>
  <c r="CL298" i="16"/>
  <c r="BX320" i="16"/>
  <c r="CY321" i="16" s="1"/>
  <c r="CL320" i="16"/>
  <c r="BP320" i="16"/>
  <c r="H12" i="32"/>
  <c r="G10" i="32"/>
  <c r="F45" i="32"/>
  <c r="K4" i="13"/>
  <c r="G68" i="32"/>
  <c r="AM57" i="16"/>
  <c r="BG57" i="16" s="1"/>
  <c r="CQ57" i="16"/>
  <c r="BM34" i="16"/>
  <c r="CI35" i="16" s="1"/>
  <c r="I25" i="32"/>
  <c r="I62" i="32"/>
  <c r="G64" i="32"/>
  <c r="DE56" i="16"/>
  <c r="H7" i="32"/>
  <c r="DI448" i="16"/>
  <c r="BS34" i="16"/>
  <c r="CT35" i="16" s="1"/>
  <c r="CY451" i="16"/>
  <c r="J68" i="20" s="1"/>
  <c r="H5" i="32"/>
  <c r="I56" i="32"/>
  <c r="G51" i="21"/>
  <c r="G48" i="32"/>
  <c r="F3" i="32"/>
  <c r="G58" i="32"/>
  <c r="AG57" i="16"/>
  <c r="BA57" i="16" s="1"/>
  <c r="BQ34" i="16"/>
  <c r="CR35" i="16" s="1"/>
  <c r="G46" i="32"/>
  <c r="AG34" i="16"/>
  <c r="BA34" i="16" s="1"/>
  <c r="DG56" i="16"/>
  <c r="E35" i="32"/>
  <c r="F34" i="32"/>
  <c r="G63" i="32"/>
  <c r="G50" i="32"/>
  <c r="CU254" i="16"/>
  <c r="BT254" i="16"/>
  <c r="CK319" i="16"/>
  <c r="BO319" i="16"/>
  <c r="BV319" i="16"/>
  <c r="CW320" i="16" s="1"/>
  <c r="CY210" i="16"/>
  <c r="BX210" i="16"/>
  <c r="F17" i="32"/>
  <c r="F52" i="32"/>
  <c r="G37" i="32"/>
  <c r="DK193" i="16"/>
  <c r="I8" i="32"/>
  <c r="F22" i="32"/>
  <c r="K5" i="13"/>
  <c r="K30" i="25" s="1"/>
  <c r="AE57" i="16"/>
  <c r="AY57" i="16" s="1"/>
  <c r="CG58" i="16" s="1"/>
  <c r="AC34" i="16"/>
  <c r="AW34" i="16" s="1"/>
  <c r="CE35" i="16" s="1"/>
  <c r="G4" i="32"/>
  <c r="DF33" i="16"/>
  <c r="H13" i="32"/>
  <c r="H44" i="32"/>
  <c r="F69" i="32"/>
  <c r="G30" i="32"/>
  <c r="DK171" i="16"/>
  <c r="G33" i="32"/>
  <c r="I9" i="32"/>
  <c r="D23" i="32"/>
  <c r="G32" i="32"/>
  <c r="G47" i="32"/>
  <c r="E51" i="32"/>
  <c r="J13" i="25"/>
  <c r="D53" i="32"/>
  <c r="I55" i="32"/>
  <c r="G66" i="32"/>
  <c r="H18" i="32"/>
  <c r="H31" i="32"/>
  <c r="DK56" i="16"/>
  <c r="BN101" i="16"/>
  <c r="CJ101" i="16"/>
  <c r="BR101" i="16"/>
  <c r="CS102" i="16" s="1"/>
  <c r="F39" i="32"/>
  <c r="CL431" i="16"/>
  <c r="BP431" i="16"/>
  <c r="F41" i="32"/>
  <c r="F44" i="21"/>
  <c r="F52" i="31"/>
  <c r="I66" i="18"/>
  <c r="I63" i="31"/>
  <c r="F22" i="31"/>
  <c r="G47" i="31"/>
  <c r="I17" i="31"/>
  <c r="BP212" i="16"/>
  <c r="CL212" i="16"/>
  <c r="BT429" i="16"/>
  <c r="CU429" i="16"/>
  <c r="BV165" i="16"/>
  <c r="CW166" i="16" s="1"/>
  <c r="CK165" i="16"/>
  <c r="BO165" i="16"/>
  <c r="CU297" i="16"/>
  <c r="BT297" i="16"/>
  <c r="BX166" i="16"/>
  <c r="CY167" i="16" s="1"/>
  <c r="CL166" i="16"/>
  <c r="BP166" i="16"/>
  <c r="BW231" i="16"/>
  <c r="CX231" i="16"/>
  <c r="CU231" i="16"/>
  <c r="BT231" i="16"/>
  <c r="CV253" i="16"/>
  <c r="BU253" i="16"/>
  <c r="G64" i="31"/>
  <c r="F34" i="31"/>
  <c r="I43" i="31"/>
  <c r="H51" i="31"/>
  <c r="G68" i="31"/>
  <c r="AO57" i="16"/>
  <c r="BI57" i="16" s="1"/>
  <c r="AN57" i="16"/>
  <c r="BH57" i="16" s="1"/>
  <c r="G66" i="31"/>
  <c r="AM34" i="16"/>
  <c r="BG34" i="16" s="1"/>
  <c r="AA34" i="16"/>
  <c r="AU34" i="16" s="1"/>
  <c r="CD35" i="16" s="1"/>
  <c r="AO34" i="16"/>
  <c r="BI34" i="16" s="1"/>
  <c r="AE34" i="16"/>
  <c r="AY34" i="16" s="1"/>
  <c r="CV79" i="16"/>
  <c r="BU79" i="16"/>
  <c r="CW122" i="16"/>
  <c r="BV122" i="16"/>
  <c r="BU166" i="16"/>
  <c r="CV166" i="16"/>
  <c r="F70" i="31"/>
  <c r="CJ385" i="16"/>
  <c r="BR385" i="16"/>
  <c r="CS386" i="16" s="1"/>
  <c r="BN385" i="16"/>
  <c r="CU101" i="16"/>
  <c r="BT101" i="16"/>
  <c r="BW144" i="16"/>
  <c r="CX144" i="16"/>
  <c r="CL276" i="16"/>
  <c r="BP276" i="16"/>
  <c r="BX276" i="16"/>
  <c r="CY277" i="16" s="1"/>
  <c r="CX253" i="16"/>
  <c r="BW253" i="16"/>
  <c r="BM341" i="16"/>
  <c r="CI341" i="16"/>
  <c r="BS341" i="16"/>
  <c r="CT342" i="16" s="1"/>
  <c r="CL408" i="16"/>
  <c r="BX408" i="16"/>
  <c r="CY409" i="16" s="1"/>
  <c r="BP408" i="16"/>
  <c r="BN209" i="16"/>
  <c r="CJ209" i="16"/>
  <c r="BR209" i="16"/>
  <c r="CS210" i="16" s="1"/>
  <c r="E25" i="28"/>
  <c r="DH307" i="16"/>
  <c r="DJ171" i="16"/>
  <c r="DB33" i="16"/>
  <c r="DI238" i="16"/>
  <c r="DH215" i="16"/>
  <c r="DH353" i="16"/>
  <c r="I61" i="31"/>
  <c r="G32" i="31"/>
  <c r="DI261" i="16"/>
  <c r="AL57" i="16"/>
  <c r="BF57" i="16" s="1"/>
  <c r="AK57" i="16"/>
  <c r="BE57" i="16" s="1"/>
  <c r="CO58" i="16" s="1"/>
  <c r="Z57" i="16"/>
  <c r="AT57" i="16" s="1"/>
  <c r="AB57" i="16"/>
  <c r="AV57" i="16" s="1"/>
  <c r="AI57" i="16"/>
  <c r="BC57" i="16" s="1"/>
  <c r="CM58" i="16" s="1"/>
  <c r="AF34" i="16"/>
  <c r="AZ34" i="16" s="1"/>
  <c r="CH35" i="16" s="1"/>
  <c r="Z34" i="16"/>
  <c r="AT34" i="16" s="1"/>
  <c r="CC35" i="16" s="1"/>
  <c r="AN34" i="16"/>
  <c r="BH34" i="16" s="1"/>
  <c r="Y34" i="16"/>
  <c r="AS34" i="16" s="1"/>
  <c r="CX450" i="16"/>
  <c r="I67" i="20" s="1"/>
  <c r="I30" i="31"/>
  <c r="F63" i="25"/>
  <c r="F64" i="25" s="1"/>
  <c r="CJ297" i="16"/>
  <c r="BN297" i="16"/>
  <c r="BR297" i="16"/>
  <c r="CS298" i="16" s="1"/>
  <c r="BW341" i="16"/>
  <c r="CX341" i="16"/>
  <c r="BO276" i="16"/>
  <c r="CK276" i="16"/>
  <c r="CK253" i="16"/>
  <c r="BV253" i="16"/>
  <c r="CW254" i="16" s="1"/>
  <c r="BO253" i="16"/>
  <c r="BQ364" i="16"/>
  <c r="CR364" i="16"/>
  <c r="BT165" i="16"/>
  <c r="CU165" i="16"/>
  <c r="CV430" i="16"/>
  <c r="BU430" i="16"/>
  <c r="DH330" i="16"/>
  <c r="G33" i="31"/>
  <c r="I38" i="31"/>
  <c r="H21" i="31"/>
  <c r="BW407" i="16"/>
  <c r="CX407" i="16"/>
  <c r="BU341" i="16"/>
  <c r="CV341" i="16"/>
  <c r="CU364" i="16"/>
  <c r="BT364" i="16"/>
  <c r="CU408" i="16"/>
  <c r="BT408" i="16"/>
  <c r="CR409" i="16"/>
  <c r="BQ409" i="16"/>
  <c r="DH9" i="16"/>
  <c r="G53" i="21"/>
  <c r="G50" i="31"/>
  <c r="DJ239" i="16"/>
  <c r="G48" i="31"/>
  <c r="AA57" i="16"/>
  <c r="AU57" i="16" s="1"/>
  <c r="CD58" i="16" s="1"/>
  <c r="G46" i="31"/>
  <c r="DJ331" i="16"/>
  <c r="DH170" i="16"/>
  <c r="I56" i="31"/>
  <c r="G58" i="31"/>
  <c r="J12" i="18"/>
  <c r="DI353" i="16"/>
  <c r="AD57" i="16"/>
  <c r="AX57" i="16" s="1"/>
  <c r="CF58" i="16" s="1"/>
  <c r="AJ57" i="16"/>
  <c r="BD57" i="16" s="1"/>
  <c r="AC57" i="16"/>
  <c r="AW57" i="16" s="1"/>
  <c r="CE58" i="16" s="1"/>
  <c r="AF57" i="16"/>
  <c r="AZ57" i="16" s="1"/>
  <c r="CH58" i="16" s="1"/>
  <c r="Y57" i="16"/>
  <c r="I37" i="31"/>
  <c r="I55" i="31"/>
  <c r="AK34" i="16"/>
  <c r="BE34" i="16" s="1"/>
  <c r="CO35" i="16" s="1"/>
  <c r="AJ34" i="16"/>
  <c r="BD34" i="16" s="1"/>
  <c r="CN35" i="16" s="1"/>
  <c r="AB34" i="16"/>
  <c r="AV34" i="16" s="1"/>
  <c r="AL34" i="16"/>
  <c r="BF34" i="16" s="1"/>
  <c r="AD34" i="16"/>
  <c r="AX34" i="16" s="1"/>
  <c r="CF35" i="16" s="1"/>
  <c r="E23" i="31"/>
  <c r="I45" i="31"/>
  <c r="BO187" i="16"/>
  <c r="CK187" i="16"/>
  <c r="BV187" i="16"/>
  <c r="CW188" i="16" s="1"/>
  <c r="CX386" i="16"/>
  <c r="BW386" i="16"/>
  <c r="CX188" i="16"/>
  <c r="BW188" i="16"/>
  <c r="BO342" i="16"/>
  <c r="CK342" i="16"/>
  <c r="BT385" i="16"/>
  <c r="CU385" i="16"/>
  <c r="CX297" i="16"/>
  <c r="BW297" i="16"/>
  <c r="CS78" i="16"/>
  <c r="BR78" i="16"/>
  <c r="CV320" i="16"/>
  <c r="BU320" i="16"/>
  <c r="BU363" i="16"/>
  <c r="CV363" i="16"/>
  <c r="G33" i="17"/>
  <c r="H64" i="23"/>
  <c r="H64" i="21"/>
  <c r="DC331" i="16"/>
  <c r="DK331" i="16"/>
  <c r="H37" i="20"/>
  <c r="H37" i="33" s="1"/>
  <c r="DF449" i="16"/>
  <c r="DG449" i="16"/>
  <c r="BU276" i="16"/>
  <c r="CV276" i="16"/>
  <c r="G60" i="26"/>
  <c r="G60" i="28" s="1"/>
  <c r="G61" i="23"/>
  <c r="CR430" i="16"/>
  <c r="BQ430" i="16"/>
  <c r="F70" i="20"/>
  <c r="F70" i="33" s="1"/>
  <c r="F72" i="23"/>
  <c r="F62" i="17"/>
  <c r="F72" i="21"/>
  <c r="BR407" i="16"/>
  <c r="CS408" i="16" s="1"/>
  <c r="CJ407" i="16"/>
  <c r="BN407" i="16"/>
  <c r="CG217" i="16"/>
  <c r="CJ125" i="16"/>
  <c r="BN125" i="16"/>
  <c r="CF11" i="16"/>
  <c r="CF451" i="16" s="1"/>
  <c r="J26" i="20" s="1"/>
  <c r="J26" i="33" s="1"/>
  <c r="AX450" i="16"/>
  <c r="I13" i="20" s="1"/>
  <c r="I13" i="33" s="1"/>
  <c r="H10" i="21"/>
  <c r="H10" i="20"/>
  <c r="H10" i="33" s="1"/>
  <c r="H44" i="17"/>
  <c r="H10" i="23"/>
  <c r="AL309" i="16"/>
  <c r="BF309" i="16" s="1"/>
  <c r="CQ194" i="16"/>
  <c r="CV123" i="16"/>
  <c r="BU123" i="16"/>
  <c r="BT342" i="16"/>
  <c r="CU342" i="16"/>
  <c r="CX365" i="16"/>
  <c r="BW365" i="16"/>
  <c r="CJ275" i="16"/>
  <c r="BR275" i="16"/>
  <c r="CS276" i="16" s="1"/>
  <c r="BN275" i="16"/>
  <c r="BQ386" i="16"/>
  <c r="CR386" i="16"/>
  <c r="I59" i="21"/>
  <c r="I58" i="17"/>
  <c r="I58" i="28" s="1"/>
  <c r="I59" i="23"/>
  <c r="BM296" i="16"/>
  <c r="CI296" i="16"/>
  <c r="BS296" i="16"/>
  <c r="CT297" i="16" s="1"/>
  <c r="G67" i="23"/>
  <c r="G69" i="10"/>
  <c r="E38" i="23"/>
  <c r="E38" i="21"/>
  <c r="E54" i="17"/>
  <c r="E55" i="17" s="1"/>
  <c r="I58" i="25"/>
  <c r="I59" i="18"/>
  <c r="D32" i="28"/>
  <c r="D32" i="29"/>
  <c r="D39" i="17"/>
  <c r="F35" i="20"/>
  <c r="F37" i="21"/>
  <c r="F37" i="23"/>
  <c r="F53" i="17"/>
  <c r="BN363" i="16"/>
  <c r="BR363" i="16"/>
  <c r="CS364" i="16" s="1"/>
  <c r="CJ363" i="16"/>
  <c r="H65" i="13"/>
  <c r="G50" i="18"/>
  <c r="G71" i="18"/>
  <c r="G71" i="21"/>
  <c r="G32" i="27"/>
  <c r="G39" i="25"/>
  <c r="E11" i="17"/>
  <c r="E8" i="28"/>
  <c r="E8" i="29"/>
  <c r="D11" i="28"/>
  <c r="D11" i="29"/>
  <c r="CP58" i="16"/>
  <c r="CR254" i="16"/>
  <c r="BQ254" i="16"/>
  <c r="H21" i="21"/>
  <c r="H21" i="23"/>
  <c r="H20" i="17"/>
  <c r="H57" i="27"/>
  <c r="H57" i="29"/>
  <c r="E34" i="25"/>
  <c r="E26" i="18"/>
  <c r="E76" i="18" s="1"/>
  <c r="E78" i="18" s="1"/>
  <c r="F14" i="13"/>
  <c r="F15" i="13"/>
  <c r="E6" i="25"/>
  <c r="CU276" i="16"/>
  <c r="BT276" i="16"/>
  <c r="DG285" i="16"/>
  <c r="DF331" i="16"/>
  <c r="DG331" i="16"/>
  <c r="I51" i="17"/>
  <c r="I29" i="23"/>
  <c r="I29" i="21"/>
  <c r="E66" i="26"/>
  <c r="CR320" i="16"/>
  <c r="BQ320" i="16"/>
  <c r="CQ263" i="16"/>
  <c r="CU145" i="16"/>
  <c r="BT145" i="16"/>
  <c r="BT187" i="16"/>
  <c r="CU187" i="16"/>
  <c r="CD172" i="16"/>
  <c r="CC217" i="16"/>
  <c r="CQ217" i="16"/>
  <c r="BW166" i="16"/>
  <c r="CX166" i="16"/>
  <c r="G27" i="17"/>
  <c r="CM11" i="16"/>
  <c r="CM451" i="16" s="1"/>
  <c r="J55" i="20" s="1"/>
  <c r="J55" i="33" s="1"/>
  <c r="BC450" i="16"/>
  <c r="DG10" i="16"/>
  <c r="DF10" i="16"/>
  <c r="AW450" i="16"/>
  <c r="I12" i="20" s="1"/>
  <c r="I12" i="33" s="1"/>
  <c r="CE11" i="16"/>
  <c r="CE451" i="16" s="1"/>
  <c r="J25" i="20" s="1"/>
  <c r="J25" i="33" s="1"/>
  <c r="CB10" i="16"/>
  <c r="CB450" i="16" s="1"/>
  <c r="I7" i="20" s="1"/>
  <c r="I7" i="33" s="1"/>
  <c r="AS449" i="16"/>
  <c r="DC9" i="16"/>
  <c r="G11" i="27"/>
  <c r="BO408" i="16"/>
  <c r="CK408" i="16"/>
  <c r="BV408" i="16"/>
  <c r="CW409" i="16" s="1"/>
  <c r="G23" i="17"/>
  <c r="G47" i="17"/>
  <c r="G48" i="17" s="1"/>
  <c r="G13" i="21"/>
  <c r="G13" i="23"/>
  <c r="CQ309" i="16"/>
  <c r="CB193" i="16"/>
  <c r="DC192" i="16"/>
  <c r="CH194" i="16"/>
  <c r="BU187" i="16"/>
  <c r="CV187" i="16"/>
  <c r="CU321" i="16"/>
  <c r="BT321" i="16"/>
  <c r="E16" i="28"/>
  <c r="E16" i="29"/>
  <c r="F33" i="17"/>
  <c r="F25" i="21"/>
  <c r="F25" i="23"/>
  <c r="I12" i="23"/>
  <c r="I12" i="21"/>
  <c r="I46" i="17"/>
  <c r="CV408" i="16"/>
  <c r="BU408" i="16"/>
  <c r="F39" i="27"/>
  <c r="E27" i="27"/>
  <c r="E27" i="29"/>
  <c r="H10" i="27"/>
  <c r="H11" i="25"/>
  <c r="BM208" i="16"/>
  <c r="CI208" i="16"/>
  <c r="BS208" i="16"/>
  <c r="CT209" i="16" s="1"/>
  <c r="CI143" i="16"/>
  <c r="BS143" i="16"/>
  <c r="CT144" i="16" s="1"/>
  <c r="BM143" i="16"/>
  <c r="CJ450" i="16"/>
  <c r="I31" i="20" s="1"/>
  <c r="I31" i="33" s="1"/>
  <c r="BO209" i="16"/>
  <c r="BV209" i="16"/>
  <c r="CW210" i="16" s="1"/>
  <c r="CK209" i="16"/>
  <c r="CR101" i="16"/>
  <c r="BQ101" i="16"/>
  <c r="E21" i="28"/>
  <c r="CX78" i="16"/>
  <c r="BW78" i="16"/>
  <c r="CI78" i="16"/>
  <c r="BS78" i="16"/>
  <c r="CT79" i="16" s="1"/>
  <c r="BM78" i="16"/>
  <c r="H32" i="25"/>
  <c r="H24" i="18"/>
  <c r="CF286" i="16"/>
  <c r="BW210" i="16"/>
  <c r="CX210" i="16"/>
  <c r="D28" i="27"/>
  <c r="D28" i="29"/>
  <c r="G30" i="28"/>
  <c r="G30" i="29"/>
  <c r="CB331" i="16"/>
  <c r="DC330" i="16"/>
  <c r="CI231" i="16"/>
  <c r="BM231" i="16"/>
  <c r="BS231" i="16"/>
  <c r="CT232" i="16" s="1"/>
  <c r="CI254" i="16"/>
  <c r="BS254" i="16"/>
  <c r="CT255" i="16" s="1"/>
  <c r="BM254" i="16"/>
  <c r="I58" i="21"/>
  <c r="I58" i="23"/>
  <c r="I57" i="17"/>
  <c r="I57" i="28" s="1"/>
  <c r="I28" i="21"/>
  <c r="I50" i="17"/>
  <c r="I28" i="23"/>
  <c r="I52" i="17"/>
  <c r="H47" i="21"/>
  <c r="H47" i="23"/>
  <c r="F33" i="26"/>
  <c r="F23" i="10"/>
  <c r="CR210" i="16"/>
  <c r="BQ210" i="16"/>
  <c r="E28" i="25"/>
  <c r="E26" i="29"/>
  <c r="E26" i="27"/>
  <c r="CI9" i="16"/>
  <c r="CI449" i="16" s="1"/>
  <c r="H30" i="20" s="1"/>
  <c r="H30" i="33" s="1"/>
  <c r="BM448" i="16"/>
  <c r="G17" i="20" s="1"/>
  <c r="G17" i="33" s="1"/>
  <c r="BS9" i="16"/>
  <c r="BM9" i="16"/>
  <c r="G50" i="23"/>
  <c r="H50" i="28"/>
  <c r="H50" i="29"/>
  <c r="DC261" i="16"/>
  <c r="CB262" i="16"/>
  <c r="CG263" i="16"/>
  <c r="CO263" i="16"/>
  <c r="DD171" i="16"/>
  <c r="CG172" i="16"/>
  <c r="CP172" i="16"/>
  <c r="DB171" i="16"/>
  <c r="CC172" i="16"/>
  <c r="CQ172" i="16"/>
  <c r="CD217" i="16"/>
  <c r="CN11" i="16"/>
  <c r="CN451" i="16" s="1"/>
  <c r="J56" i="20" s="1"/>
  <c r="BQ11" i="16"/>
  <c r="BD450" i="16"/>
  <c r="I38" i="20" s="1"/>
  <c r="CH11" i="16"/>
  <c r="CH451" i="16" s="1"/>
  <c r="J28" i="20" s="1"/>
  <c r="AZ450" i="16"/>
  <c r="I15" i="20" s="1"/>
  <c r="BP11" i="16"/>
  <c r="DJ10" i="16"/>
  <c r="G3" i="20"/>
  <c r="G3" i="33" s="1"/>
  <c r="DC448" i="16"/>
  <c r="DI9" i="16"/>
  <c r="C34" i="28"/>
  <c r="C34" i="29"/>
  <c r="BX102" i="16"/>
  <c r="CY103" i="16" s="1"/>
  <c r="CL102" i="16"/>
  <c r="BP102" i="16"/>
  <c r="DH238" i="16"/>
  <c r="CB308" i="16"/>
  <c r="DC307" i="16"/>
  <c r="DF308" i="16"/>
  <c r="CM309" i="16"/>
  <c r="E64" i="27"/>
  <c r="J8" i="27"/>
  <c r="DJ262" i="16"/>
  <c r="F47" i="28"/>
  <c r="F47" i="29"/>
  <c r="G36" i="18"/>
  <c r="G36" i="21"/>
  <c r="BN430" i="16"/>
  <c r="CJ430" i="16"/>
  <c r="BR430" i="16"/>
  <c r="CS431" i="16" s="1"/>
  <c r="CK125" i="16"/>
  <c r="BO125" i="16"/>
  <c r="E65" i="27"/>
  <c r="CK431" i="16"/>
  <c r="BO431" i="16"/>
  <c r="G9" i="28"/>
  <c r="G9" i="29"/>
  <c r="DJ216" i="16"/>
  <c r="G51" i="23"/>
  <c r="H24" i="17"/>
  <c r="CR11" i="16"/>
  <c r="F26" i="17"/>
  <c r="F21" i="17"/>
  <c r="H58" i="10"/>
  <c r="H58" i="33" s="1"/>
  <c r="H47" i="10"/>
  <c r="E53" i="28"/>
  <c r="E53" i="29"/>
  <c r="J61" i="13"/>
  <c r="I51" i="13"/>
  <c r="I46" i="18"/>
  <c r="CO127" i="16"/>
  <c r="DE239" i="16"/>
  <c r="CG240" i="16"/>
  <c r="BP365" i="16"/>
  <c r="CL365" i="16"/>
  <c r="BX365" i="16"/>
  <c r="CY366" i="16" s="1"/>
  <c r="H36" i="25"/>
  <c r="H54" i="18"/>
  <c r="H66" i="13"/>
  <c r="G51" i="18"/>
  <c r="F6" i="23"/>
  <c r="F8" i="17"/>
  <c r="F6" i="21"/>
  <c r="E53" i="20"/>
  <c r="E53" i="33" s="1"/>
  <c r="E36" i="17"/>
  <c r="E54" i="23"/>
  <c r="E54" i="21"/>
  <c r="DH448" i="16"/>
  <c r="F10" i="28"/>
  <c r="F10" i="29"/>
  <c r="E48" i="28"/>
  <c r="E48" i="29"/>
  <c r="BS385" i="16"/>
  <c r="CT386" i="16" s="1"/>
  <c r="CI385" i="16"/>
  <c r="BM385" i="16"/>
  <c r="BW320" i="16"/>
  <c r="CX320" i="16"/>
  <c r="DI330" i="16"/>
  <c r="I57" i="25"/>
  <c r="I58" i="18"/>
  <c r="E28" i="26"/>
  <c r="K44" i="26"/>
  <c r="E33" i="28"/>
  <c r="CR342" i="16"/>
  <c r="BQ342" i="16"/>
  <c r="CS11" i="16"/>
  <c r="CS451" i="16" s="1"/>
  <c r="J62" i="20" s="1"/>
  <c r="BR450" i="16"/>
  <c r="I44" i="20" s="1"/>
  <c r="I44" i="33" s="1"/>
  <c r="CR78" i="16"/>
  <c r="BQ78" i="16"/>
  <c r="CL11" i="16"/>
  <c r="CL451" i="16" s="1"/>
  <c r="J33" i="20" s="1"/>
  <c r="BX11" i="16"/>
  <c r="CY12" i="16" s="1"/>
  <c r="BP450" i="16"/>
  <c r="E28" i="17"/>
  <c r="E26" i="28"/>
  <c r="CV450" i="16"/>
  <c r="I65" i="20" s="1"/>
  <c r="D64" i="28"/>
  <c r="D64" i="29"/>
  <c r="CI319" i="16"/>
  <c r="BM319" i="16"/>
  <c r="BS319" i="16"/>
  <c r="CT320" i="16" s="1"/>
  <c r="E66" i="25"/>
  <c r="G7" i="23"/>
  <c r="G7" i="21"/>
  <c r="G13" i="17"/>
  <c r="E23" i="20"/>
  <c r="E23" i="33" s="1"/>
  <c r="E32" i="17"/>
  <c r="E24" i="21"/>
  <c r="E24" i="23"/>
  <c r="E40" i="25"/>
  <c r="E33" i="27"/>
  <c r="E33" i="29"/>
  <c r="CL190" i="16"/>
  <c r="BP190" i="16"/>
  <c r="CP286" i="16"/>
  <c r="CB285" i="16"/>
  <c r="DE331" i="16"/>
  <c r="H16" i="21"/>
  <c r="H16" i="23"/>
  <c r="H14" i="17"/>
  <c r="C41" i="17"/>
  <c r="C39" i="28"/>
  <c r="C39" i="29"/>
  <c r="CI102" i="16"/>
  <c r="BM102" i="16"/>
  <c r="CQ104" i="16"/>
  <c r="CR298" i="16"/>
  <c r="BQ298" i="16"/>
  <c r="CT9" i="16"/>
  <c r="CT449" i="16" s="1"/>
  <c r="H63" i="20" s="1"/>
  <c r="H63" i="33" s="1"/>
  <c r="BS448" i="16"/>
  <c r="G45" i="20" s="1"/>
  <c r="G45" i="33" s="1"/>
  <c r="G67" i="18"/>
  <c r="G69" i="13"/>
  <c r="G67" i="21"/>
  <c r="CJ167" i="16"/>
  <c r="BN167" i="16"/>
  <c r="AS262" i="16"/>
  <c r="AE263" i="16"/>
  <c r="AY263" i="16" s="1"/>
  <c r="CB171" i="16"/>
  <c r="DC170" i="16"/>
  <c r="CF172" i="16"/>
  <c r="CH217" i="16"/>
  <c r="AA217" i="16"/>
  <c r="AU217" i="16" s="1"/>
  <c r="AS216" i="16"/>
  <c r="AF217" i="16"/>
  <c r="AZ217" i="16" s="1"/>
  <c r="AI217" i="16"/>
  <c r="BC217" i="16" s="1"/>
  <c r="AV450" i="16"/>
  <c r="DK10" i="16"/>
  <c r="DD10" i="16"/>
  <c r="BO11" i="16"/>
  <c r="CG11" i="16"/>
  <c r="CG451" i="16" s="1"/>
  <c r="J27" i="20" s="1"/>
  <c r="AY450" i="16"/>
  <c r="I59" i="17"/>
  <c r="G44" i="28"/>
  <c r="G44" i="29"/>
  <c r="CN194" i="16"/>
  <c r="F48" i="21"/>
  <c r="F48" i="23"/>
  <c r="F51" i="20"/>
  <c r="F51" i="33" s="1"/>
  <c r="F59" i="27"/>
  <c r="F59" i="29"/>
  <c r="I60" i="17"/>
  <c r="H20" i="20"/>
  <c r="BX450" i="16"/>
  <c r="I50" i="20" s="1"/>
  <c r="F25" i="17"/>
  <c r="F23" i="28"/>
  <c r="H8" i="23"/>
  <c r="H30" i="17"/>
  <c r="H8" i="21"/>
  <c r="G52" i="10"/>
  <c r="H64" i="10"/>
  <c r="DC238" i="16"/>
  <c r="CB239" i="16"/>
  <c r="AD240" i="16"/>
  <c r="AX240" i="16" s="1"/>
  <c r="D38" i="17"/>
  <c r="D56" i="21"/>
  <c r="D56" i="23"/>
  <c r="CK144" i="16"/>
  <c r="BO144" i="16"/>
  <c r="CI166" i="16"/>
  <c r="BM166" i="16"/>
  <c r="BS166" i="16"/>
  <c r="CT167" i="16" s="1"/>
  <c r="H58" i="27"/>
  <c r="H58" i="29"/>
  <c r="G37" i="17"/>
  <c r="G43" i="18"/>
  <c r="CX123" i="16"/>
  <c r="BW123" i="16"/>
  <c r="CR232" i="16"/>
  <c r="BQ232" i="16"/>
  <c r="BP343" i="16"/>
  <c r="CL343" i="16"/>
  <c r="BX343" i="16"/>
  <c r="CY344" i="16" s="1"/>
  <c r="CU450" i="16"/>
  <c r="I64" i="20" s="1"/>
  <c r="J63" i="13"/>
  <c r="I48" i="18"/>
  <c r="AS285" i="16"/>
  <c r="AL286" i="16"/>
  <c r="BF286" i="16" s="1"/>
  <c r="BO297" i="16"/>
  <c r="BV297" i="16"/>
  <c r="CW298" i="16" s="1"/>
  <c r="CK297" i="16"/>
  <c r="H15" i="21"/>
  <c r="H15" i="23"/>
  <c r="H9" i="17"/>
  <c r="CK11" i="16"/>
  <c r="BV11" i="16"/>
  <c r="BO450" i="16"/>
  <c r="I19" i="20" s="1"/>
  <c r="I65" i="21"/>
  <c r="I65" i="23"/>
  <c r="F21" i="20"/>
  <c r="F21" i="33" s="1"/>
  <c r="F20" i="21"/>
  <c r="F20" i="23"/>
  <c r="CJ342" i="16"/>
  <c r="BR342" i="16"/>
  <c r="CS343" i="16" s="1"/>
  <c r="BN342" i="16"/>
  <c r="CW11" i="16"/>
  <c r="BV450" i="16"/>
  <c r="I48" i="20" s="1"/>
  <c r="Z172" i="16"/>
  <c r="AT172" i="16" s="1"/>
  <c r="AI172" i="16"/>
  <c r="BC172" i="16" s="1"/>
  <c r="Y172" i="16"/>
  <c r="AS171" i="16"/>
  <c r="AN172" i="16"/>
  <c r="BH172" i="16" s="1"/>
  <c r="AA172" i="16"/>
  <c r="AU172" i="16" s="1"/>
  <c r="AH172" i="16"/>
  <c r="BB172" i="16" s="1"/>
  <c r="AO172" i="16"/>
  <c r="BI172" i="16" s="1"/>
  <c r="AK172" i="16"/>
  <c r="BE172" i="16" s="1"/>
  <c r="AF172" i="16"/>
  <c r="AZ172" i="16" s="1"/>
  <c r="AD172" i="16"/>
  <c r="AX172" i="16" s="1"/>
  <c r="AE172" i="16"/>
  <c r="AY172" i="16" s="1"/>
  <c r="AC172" i="16"/>
  <c r="AW172" i="16" s="1"/>
  <c r="CE173" i="16" s="1"/>
  <c r="AG172" i="16"/>
  <c r="BA172" i="16" s="1"/>
  <c r="AL172" i="16"/>
  <c r="BF172" i="16" s="1"/>
  <c r="AJ172" i="16"/>
  <c r="BD172" i="16" s="1"/>
  <c r="AB172" i="16"/>
  <c r="AV172" i="16" s="1"/>
  <c r="AM172" i="16"/>
  <c r="BG172" i="16" s="1"/>
  <c r="DF171" i="16"/>
  <c r="DG171" i="16"/>
  <c r="CM172" i="16"/>
  <c r="DE171" i="16"/>
  <c r="CO172" i="16"/>
  <c r="G35" i="23"/>
  <c r="DC215" i="16"/>
  <c r="CB216" i="16"/>
  <c r="CO217" i="16"/>
  <c r="CQ11" i="16"/>
  <c r="CQ451" i="16" s="1"/>
  <c r="J59" i="20" s="1"/>
  <c r="BW11" i="16"/>
  <c r="BG450" i="16"/>
  <c r="I41" i="20" s="1"/>
  <c r="BN11" i="16"/>
  <c r="CD11" i="16"/>
  <c r="CD451" i="16" s="1"/>
  <c r="J9" i="20" s="1"/>
  <c r="J9" i="33" s="1"/>
  <c r="AU450" i="16"/>
  <c r="I5" i="20" s="1"/>
  <c r="I5" i="33" s="1"/>
  <c r="CU11" i="16"/>
  <c r="BT450" i="16"/>
  <c r="I46" i="20" s="1"/>
  <c r="CO194" i="16"/>
  <c r="H4" i="20"/>
  <c r="H4" i="33" s="1"/>
  <c r="DB449" i="16"/>
  <c r="G52" i="23"/>
  <c r="CV209" i="16"/>
  <c r="BU209" i="16"/>
  <c r="H46" i="28"/>
  <c r="H46" i="29"/>
  <c r="I61" i="17"/>
  <c r="H15" i="17"/>
  <c r="H15" i="28" s="1"/>
  <c r="H41" i="21"/>
  <c r="H41" i="23"/>
  <c r="CJ187" i="16"/>
  <c r="BN187" i="16"/>
  <c r="BR187" i="16"/>
  <c r="CS188" i="16" s="1"/>
  <c r="G59" i="26"/>
  <c r="G59" i="28" s="1"/>
  <c r="G60" i="23"/>
  <c r="H15" i="27"/>
  <c r="H16" i="25"/>
  <c r="F33" i="25"/>
  <c r="F25" i="18"/>
  <c r="F23" i="13"/>
  <c r="H45" i="28"/>
  <c r="H45" i="29"/>
  <c r="CR122" i="16"/>
  <c r="BQ122" i="16"/>
  <c r="BP144" i="16"/>
  <c r="BX144" i="16"/>
  <c r="CY145" i="16" s="1"/>
  <c r="CL144" i="16"/>
  <c r="BS407" i="16"/>
  <c r="CT408" i="16" s="1"/>
  <c r="CI407" i="16"/>
  <c r="BM407" i="16"/>
  <c r="G19" i="17"/>
  <c r="H51" i="28"/>
  <c r="H51" i="29"/>
  <c r="F48" i="28"/>
  <c r="F48" i="29"/>
  <c r="E76" i="21"/>
  <c r="E78" i="21" s="1"/>
  <c r="D36" i="28"/>
  <c r="D36" i="29"/>
  <c r="BV364" i="16"/>
  <c r="CW365" i="16" s="1"/>
  <c r="CK364" i="16"/>
  <c r="BO364" i="16"/>
  <c r="I10" i="25"/>
  <c r="J55" i="13"/>
  <c r="I40" i="18"/>
  <c r="J38" i="13"/>
  <c r="J37" i="13"/>
  <c r="G36" i="27"/>
  <c r="BN231" i="16"/>
  <c r="CJ231" i="16"/>
  <c r="BR231" i="16"/>
  <c r="CS232" i="16" s="1"/>
  <c r="D55" i="17"/>
  <c r="D54" i="28"/>
  <c r="D65" i="17"/>
  <c r="D54" i="29"/>
  <c r="H64" i="13"/>
  <c r="G49" i="18"/>
  <c r="G53" i="23"/>
  <c r="DC33" i="16"/>
  <c r="CB34" i="16"/>
  <c r="H52" i="20"/>
  <c r="D66" i="27"/>
  <c r="J30" i="13"/>
  <c r="I21" i="13"/>
  <c r="J45" i="13"/>
  <c r="I20" i="18"/>
  <c r="J17" i="13"/>
  <c r="CG286" i="16"/>
  <c r="DK285" i="16"/>
  <c r="DB331" i="16"/>
  <c r="DD331" i="16"/>
  <c r="BM276" i="16"/>
  <c r="CI276" i="16"/>
  <c r="BS276" i="16"/>
  <c r="CT277" i="16" s="1"/>
  <c r="CK101" i="16"/>
  <c r="BV101" i="16"/>
  <c r="CW102" i="16" s="1"/>
  <c r="BO101" i="16"/>
  <c r="DD449" i="16"/>
  <c r="H14" i="20"/>
  <c r="F61" i="27"/>
  <c r="CI430" i="16"/>
  <c r="BM430" i="16"/>
  <c r="J61" i="10"/>
  <c r="I51" i="10"/>
  <c r="H36" i="26"/>
  <c r="H39" i="26" s="1"/>
  <c r="BR143" i="16"/>
  <c r="CS144" i="16" s="1"/>
  <c r="CJ143" i="16"/>
  <c r="BN143" i="16"/>
  <c r="E21" i="27"/>
  <c r="E21" i="29"/>
  <c r="G33" i="21"/>
  <c r="G34" i="20"/>
  <c r="G33" i="23"/>
  <c r="G50" i="21"/>
  <c r="G61" i="26"/>
  <c r="G61" i="28" s="1"/>
  <c r="G62" i="23"/>
  <c r="F37" i="25"/>
  <c r="F55" i="18"/>
  <c r="F53" i="13"/>
  <c r="F53" i="25"/>
  <c r="F35" i="13"/>
  <c r="F37" i="18"/>
  <c r="CK450" i="16"/>
  <c r="I32" i="20" s="1"/>
  <c r="DF262" i="16"/>
  <c r="CH263" i="16"/>
  <c r="CN263" i="16"/>
  <c r="CI364" i="16"/>
  <c r="BM364" i="16"/>
  <c r="CN172" i="16"/>
  <c r="CH172" i="16"/>
  <c r="CP217" i="16"/>
  <c r="CM217" i="16"/>
  <c r="CN217" i="16"/>
  <c r="CC11" i="16"/>
  <c r="CC451" i="16" s="1"/>
  <c r="J8" i="20" s="1"/>
  <c r="J8" i="32" s="1"/>
  <c r="AT450" i="16"/>
  <c r="DB10" i="16"/>
  <c r="Y11" i="16"/>
  <c r="AF11" i="16"/>
  <c r="AZ11" i="16" s="1"/>
  <c r="AI11" i="16"/>
  <c r="BC11" i="16" s="1"/>
  <c r="AM11" i="16"/>
  <c r="BG11" i="16" s="1"/>
  <c r="AN11" i="16"/>
  <c r="BH11" i="16" s="1"/>
  <c r="BH451" i="16" s="1"/>
  <c r="Z11" i="16"/>
  <c r="AT11" i="16" s="1"/>
  <c r="AC11" i="16"/>
  <c r="AW11" i="16" s="1"/>
  <c r="AJ11" i="16"/>
  <c r="BD11" i="16" s="1"/>
  <c r="AB11" i="16"/>
  <c r="AV11" i="16" s="1"/>
  <c r="AV451" i="16" s="1"/>
  <c r="AO11" i="16"/>
  <c r="BI11" i="16" s="1"/>
  <c r="BI451" i="16" s="1"/>
  <c r="AS10" i="16"/>
  <c r="AL11" i="16"/>
  <c r="BF11" i="16" s="1"/>
  <c r="AH11" i="16"/>
  <c r="BB11" i="16" s="1"/>
  <c r="BB451" i="16" s="1"/>
  <c r="AE11" i="16"/>
  <c r="AY11" i="16" s="1"/>
  <c r="AK11" i="16"/>
  <c r="BE11" i="16" s="1"/>
  <c r="AG11" i="16"/>
  <c r="BA11" i="16" s="1"/>
  <c r="BA451" i="16" s="1"/>
  <c r="AA11" i="16"/>
  <c r="AU11" i="16" s="1"/>
  <c r="AD11" i="16"/>
  <c r="AX11" i="16" s="1"/>
  <c r="BF450" i="16"/>
  <c r="I40" i="20" s="1"/>
  <c r="BU11" i="16"/>
  <c r="CP11" i="16"/>
  <c r="CP451" i="16" s="1"/>
  <c r="J58" i="20" s="1"/>
  <c r="BT11" i="16"/>
  <c r="BE450" i="16"/>
  <c r="DE10" i="16"/>
  <c r="CO11" i="16"/>
  <c r="CO451" i="16" s="1"/>
  <c r="J57" i="20" s="1"/>
  <c r="DE449" i="16"/>
  <c r="H39" i="20"/>
  <c r="G10" i="17"/>
  <c r="G40" i="23"/>
  <c r="G40" i="21"/>
  <c r="C6" i="28"/>
  <c r="C6" i="29"/>
  <c r="CR166" i="16"/>
  <c r="BQ166" i="16"/>
  <c r="CN309" i="16"/>
  <c r="CG309" i="16"/>
  <c r="CC309" i="16"/>
  <c r="AC194" i="16"/>
  <c r="AW194" i="16" s="1"/>
  <c r="CE195" i="16" s="1"/>
  <c r="CD194" i="16"/>
  <c r="G66" i="23"/>
  <c r="G66" i="21"/>
  <c r="F16" i="17"/>
  <c r="F13" i="28"/>
  <c r="F13" i="29"/>
  <c r="H46" i="21"/>
  <c r="H46" i="23"/>
  <c r="DI284" i="16"/>
  <c r="H68" i="13"/>
  <c r="G53" i="18"/>
  <c r="I45" i="17"/>
  <c r="I11" i="21"/>
  <c r="I11" i="23"/>
  <c r="CV11" i="16"/>
  <c r="BU450" i="16"/>
  <c r="I47" i="20" s="1"/>
  <c r="CI188" i="16"/>
  <c r="BS188" i="16"/>
  <c r="CT189" i="16" s="1"/>
  <c r="BM188" i="16"/>
  <c r="CX276" i="16"/>
  <c r="BW276" i="16"/>
  <c r="L55" i="10"/>
  <c r="G16" i="27"/>
  <c r="E25" i="29"/>
  <c r="E25" i="27"/>
  <c r="CU122" i="16"/>
  <c r="BT122" i="16"/>
  <c r="CX430" i="16"/>
  <c r="BW430" i="16"/>
  <c r="CX11" i="16"/>
  <c r="BW450" i="16"/>
  <c r="I49" i="20" s="1"/>
  <c r="CJ11" i="16"/>
  <c r="BN450" i="16"/>
  <c r="I18" i="20" s="1"/>
  <c r="I18" i="33" s="1"/>
  <c r="BR11" i="16"/>
  <c r="BU385" i="16"/>
  <c r="CV385" i="16"/>
  <c r="F37" i="26"/>
  <c r="F37" i="28" s="1"/>
  <c r="F53" i="10"/>
  <c r="F25" i="26"/>
  <c r="CR56" i="16"/>
  <c r="BQ56" i="16"/>
  <c r="CB126" i="16"/>
  <c r="DC125" i="16"/>
  <c r="E34" i="26"/>
  <c r="E6" i="26"/>
  <c r="F14" i="10"/>
  <c r="F14" i="33" s="1"/>
  <c r="F15" i="10"/>
  <c r="F15" i="33" s="1"/>
  <c r="K46" i="25"/>
  <c r="CD240" i="16"/>
  <c r="DB239" i="16"/>
  <c r="CC240" i="16"/>
  <c r="D34" i="17"/>
  <c r="D26" i="23"/>
  <c r="D26" i="21"/>
  <c r="D6" i="17"/>
  <c r="I64" i="18"/>
  <c r="G35" i="18"/>
  <c r="G34" i="13"/>
  <c r="G60" i="25"/>
  <c r="G61" i="18"/>
  <c r="G61" i="21"/>
  <c r="CL123" i="16"/>
  <c r="BX123" i="16"/>
  <c r="CY124" i="16" s="1"/>
  <c r="BP123" i="16"/>
  <c r="K45" i="25"/>
  <c r="E76" i="23"/>
  <c r="E78" i="23" s="1"/>
  <c r="BO385" i="16"/>
  <c r="CK385" i="16"/>
  <c r="BV385" i="16"/>
  <c r="CW386" i="16" s="1"/>
  <c r="DC56" i="16"/>
  <c r="CB57" i="16"/>
  <c r="BU297" i="16"/>
  <c r="CV297" i="16"/>
  <c r="CU210" i="16"/>
  <c r="BT210" i="16"/>
  <c r="J56" i="13"/>
  <c r="J43" i="13"/>
  <c r="I15" i="25"/>
  <c r="I41" i="18"/>
  <c r="K8" i="26"/>
  <c r="L7" i="10"/>
  <c r="L3" i="10"/>
  <c r="CU56" i="16"/>
  <c r="BT56" i="16"/>
  <c r="F52" i="27"/>
  <c r="F52" i="29"/>
  <c r="CR276" i="16"/>
  <c r="BQ276" i="16"/>
  <c r="E40" i="28"/>
  <c r="CK79" i="16"/>
  <c r="BV79" i="16"/>
  <c r="CW80" i="16" s="1"/>
  <c r="BO79" i="16"/>
  <c r="G49" i="21"/>
  <c r="G69" i="18"/>
  <c r="G69" i="21"/>
  <c r="G14" i="28"/>
  <c r="G14" i="29"/>
  <c r="BQ186" i="16"/>
  <c r="CR186" i="16"/>
  <c r="CR450" i="16" s="1"/>
  <c r="I61" i="20" s="1"/>
  <c r="I61" i="33" s="1"/>
  <c r="BN255" i="16"/>
  <c r="CJ255" i="16"/>
  <c r="CJ319" i="16"/>
  <c r="BN319" i="16"/>
  <c r="BR319" i="16"/>
  <c r="CS320" i="16" s="1"/>
  <c r="CR144" i="16"/>
  <c r="BQ144" i="16"/>
  <c r="DI192" i="16"/>
  <c r="F55" i="21"/>
  <c r="BU143" i="16"/>
  <c r="CV143" i="16"/>
  <c r="I33" i="18"/>
  <c r="CO286" i="16"/>
  <c r="CC286" i="16"/>
  <c r="G69" i="20"/>
  <c r="AG194" i="16" l="1"/>
  <c r="BA194" i="16" s="1"/>
  <c r="AA240" i="16"/>
  <c r="AU240" i="16" s="1"/>
  <c r="AK217" i="16"/>
  <c r="BE217" i="16" s="1"/>
  <c r="CO218" i="16" s="1"/>
  <c r="AB217" i="16"/>
  <c r="AV217" i="16" s="1"/>
  <c r="DK217" i="16" s="1"/>
  <c r="AN217" i="16"/>
  <c r="BH217" i="16" s="1"/>
  <c r="AO217" i="16"/>
  <c r="BI217" i="16" s="1"/>
  <c r="AD263" i="16"/>
  <c r="AX263" i="16" s="1"/>
  <c r="CF264" i="16" s="1"/>
  <c r="AF263" i="16"/>
  <c r="AZ263" i="16" s="1"/>
  <c r="DD263" i="16" s="1"/>
  <c r="CM286" i="16"/>
  <c r="AH309" i="16"/>
  <c r="BB309" i="16" s="1"/>
  <c r="DD216" i="16"/>
  <c r="DH216" i="16" s="1"/>
  <c r="AI194" i="16"/>
  <c r="BC194" i="16" s="1"/>
  <c r="CM195" i="16" s="1"/>
  <c r="AK194" i="16"/>
  <c r="BE194" i="16" s="1"/>
  <c r="DG216" i="16"/>
  <c r="CM194" i="16"/>
  <c r="AI286" i="16"/>
  <c r="BC286" i="16" s="1"/>
  <c r="DG286" i="16" s="1"/>
  <c r="AB286" i="16"/>
  <c r="AV286" i="16" s="1"/>
  <c r="AK240" i="16"/>
  <c r="BE240" i="16" s="1"/>
  <c r="AS239" i="16"/>
  <c r="CB240" i="16" s="1"/>
  <c r="AC217" i="16"/>
  <c r="AW217" i="16" s="1"/>
  <c r="CE218" i="16" s="1"/>
  <c r="AJ217" i="16"/>
  <c r="BD217" i="16" s="1"/>
  <c r="AM217" i="16"/>
  <c r="BG217" i="16" s="1"/>
  <c r="Y217" i="16"/>
  <c r="AF218" i="16" s="1"/>
  <c r="AZ218" i="16" s="1"/>
  <c r="AH217" i="16"/>
  <c r="BB217" i="16" s="1"/>
  <c r="AC263" i="16"/>
  <c r="AW263" i="16" s="1"/>
  <c r="CE264" i="16" s="1"/>
  <c r="CP263" i="16"/>
  <c r="BT79" i="16"/>
  <c r="CU80" i="16" s="1"/>
  <c r="DB193" i="16"/>
  <c r="AI309" i="16"/>
  <c r="BC309" i="16" s="1"/>
  <c r="BX189" i="16"/>
  <c r="CY190" i="16" s="1"/>
  <c r="DF239" i="16"/>
  <c r="DI239" i="16" s="1"/>
  <c r="DD193" i="16"/>
  <c r="DH193" i="16" s="1"/>
  <c r="DK308" i="16"/>
  <c r="DD239" i="16"/>
  <c r="DG193" i="16"/>
  <c r="AC309" i="16"/>
  <c r="AW309" i="16" s="1"/>
  <c r="DC309" i="16" s="1"/>
  <c r="DK262" i="16"/>
  <c r="DB308" i="16"/>
  <c r="AF194" i="16"/>
  <c r="AZ194" i="16" s="1"/>
  <c r="CP240" i="16"/>
  <c r="AA286" i="16"/>
  <c r="AU286" i="16" s="1"/>
  <c r="Z217" i="16"/>
  <c r="AT217" i="16" s="1"/>
  <c r="AD217" i="16"/>
  <c r="AX217" i="16" s="1"/>
  <c r="CF218" i="16" s="1"/>
  <c r="AE217" i="16"/>
  <c r="AY217" i="16" s="1"/>
  <c r="CG218" i="16" s="1"/>
  <c r="AL217" i="16"/>
  <c r="BF217" i="16" s="1"/>
  <c r="AO263" i="16"/>
  <c r="BI263" i="16" s="1"/>
  <c r="CF217" i="16"/>
  <c r="AM309" i="16"/>
  <c r="BG309" i="16" s="1"/>
  <c r="DE309" i="16" s="1"/>
  <c r="DJ285" i="16"/>
  <c r="AO194" i="16"/>
  <c r="BI194" i="16" s="1"/>
  <c r="DD262" i="16"/>
  <c r="DE193" i="16"/>
  <c r="DI193" i="16" s="1"/>
  <c r="DB262" i="16"/>
  <c r="AB263" i="16"/>
  <c r="AV263" i="16" s="1"/>
  <c r="CG194" i="16"/>
  <c r="AA194" i="16"/>
  <c r="AU194" i="16" s="1"/>
  <c r="CD195" i="16" s="1"/>
  <c r="AH194" i="16"/>
  <c r="BB194" i="16" s="1"/>
  <c r="AE286" i="16"/>
  <c r="AY286" i="16" s="1"/>
  <c r="AO286" i="16"/>
  <c r="BI286" i="16" s="1"/>
  <c r="AL240" i="16"/>
  <c r="BF240" i="16" s="1"/>
  <c r="DE240" i="16" s="1"/>
  <c r="AN240" i="16"/>
  <c r="BH240" i="16" s="1"/>
  <c r="AI240" i="16"/>
  <c r="BC240" i="16" s="1"/>
  <c r="DF240" i="16" s="1"/>
  <c r="AK263" i="16"/>
  <c r="BE263" i="16" s="1"/>
  <c r="AI263" i="16"/>
  <c r="BC263" i="16" s="1"/>
  <c r="DF263" i="16" s="1"/>
  <c r="AA309" i="16"/>
  <c r="AU309" i="16" s="1"/>
  <c r="BR35" i="16"/>
  <c r="CS36" i="16" s="1"/>
  <c r="DH102" i="16"/>
  <c r="AB194" i="16"/>
  <c r="AV194" i="16" s="1"/>
  <c r="DJ194" i="16" s="1"/>
  <c r="AL194" i="16"/>
  <c r="BF194" i="16" s="1"/>
  <c r="AJ194" i="16"/>
  <c r="BD194" i="16" s="1"/>
  <c r="AN194" i="16"/>
  <c r="BH194" i="16" s="1"/>
  <c r="DE308" i="16"/>
  <c r="DI308" i="16" s="1"/>
  <c r="DG262" i="16"/>
  <c r="DD285" i="16"/>
  <c r="DH285" i="16" s="1"/>
  <c r="CC263" i="16"/>
  <c r="AN286" i="16"/>
  <c r="BH286" i="16" s="1"/>
  <c r="AH286" i="16"/>
  <c r="BB286" i="16" s="1"/>
  <c r="Y286" i="16"/>
  <c r="AC286" i="16"/>
  <c r="AW286" i="16" s="1"/>
  <c r="CE287" i="16" s="1"/>
  <c r="AO240" i="16"/>
  <c r="BI240" i="16" s="1"/>
  <c r="AJ240" i="16"/>
  <c r="BD240" i="16" s="1"/>
  <c r="AG240" i="16"/>
  <c r="BA240" i="16" s="1"/>
  <c r="AB240" i="16"/>
  <c r="AV240" i="16" s="1"/>
  <c r="Y263" i="16"/>
  <c r="Y264" i="16" s="1"/>
  <c r="AA263" i="16"/>
  <c r="AU263" i="16" s="1"/>
  <c r="AL263" i="16"/>
  <c r="BF263" i="16" s="1"/>
  <c r="AJ263" i="16"/>
  <c r="BD263" i="16" s="1"/>
  <c r="CN240" i="16"/>
  <c r="CP194" i="16"/>
  <c r="DG308" i="16"/>
  <c r="AG309" i="16"/>
  <c r="BA309" i="16" s="1"/>
  <c r="AO309" i="16"/>
  <c r="BI309" i="16" s="1"/>
  <c r="AN309" i="16"/>
  <c r="BH309" i="16" s="1"/>
  <c r="Y309" i="16"/>
  <c r="AS309" i="16" s="1"/>
  <c r="AF309" i="16"/>
  <c r="AZ309" i="16" s="1"/>
  <c r="BO35" i="16"/>
  <c r="CK36" i="16" s="1"/>
  <c r="Y194" i="16"/>
  <c r="AM194" i="16"/>
  <c r="BG194" i="16" s="1"/>
  <c r="DD308" i="16"/>
  <c r="AM286" i="16"/>
  <c r="BG286" i="16" s="1"/>
  <c r="CQ287" i="16" s="1"/>
  <c r="Z286" i="16"/>
  <c r="AT286" i="16" s="1"/>
  <c r="AD286" i="16"/>
  <c r="AX286" i="16" s="1"/>
  <c r="CF287" i="16" s="1"/>
  <c r="Z240" i="16"/>
  <c r="AT240" i="16" s="1"/>
  <c r="DB240" i="16" s="1"/>
  <c r="AH240" i="16"/>
  <c r="BB240" i="16" s="1"/>
  <c r="DK240" i="16" s="1"/>
  <c r="AN263" i="16"/>
  <c r="BH263" i="16" s="1"/>
  <c r="DG239" i="16"/>
  <c r="DH239" i="16" s="1"/>
  <c r="Z309" i="16"/>
  <c r="AT309" i="16" s="1"/>
  <c r="AB309" i="16"/>
  <c r="AV309" i="16" s="1"/>
  <c r="AK309" i="16"/>
  <c r="BE309" i="16" s="1"/>
  <c r="BX431" i="16"/>
  <c r="CY432" i="16" s="1"/>
  <c r="DI125" i="16"/>
  <c r="Z194" i="16"/>
  <c r="AT194" i="16" s="1"/>
  <c r="CC195" i="16" s="1"/>
  <c r="AD194" i="16"/>
  <c r="AX194" i="16" s="1"/>
  <c r="AS193" i="16"/>
  <c r="CB194" i="16" s="1"/>
  <c r="AE194" i="16"/>
  <c r="AY194" i="16" s="1"/>
  <c r="BS430" i="16"/>
  <c r="CT431" i="16" s="1"/>
  <c r="AK286" i="16"/>
  <c r="BE286" i="16" s="1"/>
  <c r="CO287" i="16" s="1"/>
  <c r="AF286" i="16"/>
  <c r="AZ286" i="16" s="1"/>
  <c r="CH287" i="16" s="1"/>
  <c r="AJ286" i="16"/>
  <c r="BD286" i="16" s="1"/>
  <c r="Y240" i="16"/>
  <c r="AF241" i="16" s="1"/>
  <c r="AZ241" i="16" s="1"/>
  <c r="AC240" i="16"/>
  <c r="AW240" i="16" s="1"/>
  <c r="CE241" i="16" s="1"/>
  <c r="AE240" i="16"/>
  <c r="AY240" i="16" s="1"/>
  <c r="AM240" i="16"/>
  <c r="BG240" i="16" s="1"/>
  <c r="CQ241" i="16" s="1"/>
  <c r="Z263" i="16"/>
  <c r="AT263" i="16" s="1"/>
  <c r="CC264" i="16" s="1"/>
  <c r="AG263" i="16"/>
  <c r="BA263" i="16" s="1"/>
  <c r="AH263" i="16"/>
  <c r="BB263" i="16" s="1"/>
  <c r="DK263" i="16" s="1"/>
  <c r="AM263" i="16"/>
  <c r="BG263" i="16" s="1"/>
  <c r="CQ264" i="16" s="1"/>
  <c r="DJ308" i="16"/>
  <c r="AS308" i="16"/>
  <c r="CB309" i="16" s="1"/>
  <c r="AD309" i="16"/>
  <c r="AX309" i="16" s="1"/>
  <c r="AE309" i="16"/>
  <c r="AY309" i="16" s="1"/>
  <c r="AJ309" i="16"/>
  <c r="BD309" i="16" s="1"/>
  <c r="DF309" i="16" s="1"/>
  <c r="DI148" i="16"/>
  <c r="DE103" i="16"/>
  <c r="DI102" i="16"/>
  <c r="K10" i="18"/>
  <c r="CW57" i="16"/>
  <c r="BV57" i="16"/>
  <c r="CW58" i="16" s="1"/>
  <c r="BW58" i="16"/>
  <c r="CX59" i="16" s="1"/>
  <c r="CJ57" i="16"/>
  <c r="BN57" i="16"/>
  <c r="CJ58" i="16" s="1"/>
  <c r="BR58" i="16"/>
  <c r="CS59" i="16" s="1"/>
  <c r="BV35" i="16"/>
  <c r="CW36" i="16" s="1"/>
  <c r="CD81" i="16"/>
  <c r="K44" i="25"/>
  <c r="K44" i="27" s="1"/>
  <c r="DJ80" i="16"/>
  <c r="DH79" i="16"/>
  <c r="DC102" i="16"/>
  <c r="BR255" i="16"/>
  <c r="CS256" i="16" s="1"/>
  <c r="BV144" i="16"/>
  <c r="CW145" i="16" s="1"/>
  <c r="BS102" i="16"/>
  <c r="CT103" i="16" s="1"/>
  <c r="CG35" i="16"/>
  <c r="K10" i="13"/>
  <c r="K47" i="25" s="1"/>
  <c r="DJ103" i="16"/>
  <c r="DH125" i="16"/>
  <c r="DB126" i="16"/>
  <c r="Z127" i="16"/>
  <c r="AT127" i="16" s="1"/>
  <c r="CC128" i="16" s="1"/>
  <c r="I14" i="27"/>
  <c r="CF127" i="16"/>
  <c r="DD103" i="16"/>
  <c r="L12" i="10"/>
  <c r="M12" i="10" s="1"/>
  <c r="L37" i="10"/>
  <c r="M55" i="10" s="1"/>
  <c r="J9" i="27"/>
  <c r="CQ58" i="16"/>
  <c r="CB80" i="16"/>
  <c r="BU35" i="16"/>
  <c r="CV36" i="16" s="1"/>
  <c r="J14" i="25"/>
  <c r="DF126" i="16"/>
  <c r="DI79" i="16"/>
  <c r="DF103" i="16"/>
  <c r="DI103" i="16" s="1"/>
  <c r="L25" i="10"/>
  <c r="L50" i="26" s="1"/>
  <c r="BS364" i="16"/>
  <c r="CT365" i="16" s="1"/>
  <c r="E55" i="28"/>
  <c r="G57" i="32"/>
  <c r="K13" i="13"/>
  <c r="L26" i="13" s="1"/>
  <c r="DI56" i="16"/>
  <c r="K12" i="31"/>
  <c r="AN104" i="16"/>
  <c r="BH104" i="16" s="1"/>
  <c r="BV276" i="16"/>
  <c r="CW277" i="16" s="1"/>
  <c r="DH33" i="16"/>
  <c r="DE80" i="16"/>
  <c r="AN81" i="16"/>
  <c r="BH81" i="16" s="1"/>
  <c r="DJ126" i="16"/>
  <c r="DE126" i="16"/>
  <c r="DI126" i="16" s="1"/>
  <c r="DD126" i="16"/>
  <c r="BX190" i="16"/>
  <c r="CY191" i="16" s="1"/>
  <c r="AE81" i="16"/>
  <c r="AY81" i="16" s="1"/>
  <c r="G60" i="21"/>
  <c r="CO81" i="16"/>
  <c r="AF104" i="16"/>
  <c r="AZ104" i="16" s="1"/>
  <c r="CH105" i="16" s="1"/>
  <c r="AN127" i="16"/>
  <c r="BH127" i="16" s="1"/>
  <c r="G60" i="18"/>
  <c r="CG127" i="16"/>
  <c r="BP81" i="16"/>
  <c r="CL82" i="16" s="1"/>
  <c r="AE104" i="16"/>
  <c r="AY104" i="16" s="1"/>
  <c r="AB104" i="16"/>
  <c r="AV104" i="16" s="1"/>
  <c r="DB103" i="16"/>
  <c r="BR125" i="16"/>
  <c r="CS126" i="16" s="1"/>
  <c r="G57" i="31"/>
  <c r="DK126" i="16"/>
  <c r="DK103" i="16"/>
  <c r="CY80" i="16"/>
  <c r="BX80" i="16"/>
  <c r="DD80" i="16"/>
  <c r="Y127" i="16"/>
  <c r="AS127" i="16" s="1"/>
  <c r="AM127" i="16"/>
  <c r="BG127" i="16" s="1"/>
  <c r="CQ128" i="16" s="1"/>
  <c r="AA104" i="16"/>
  <c r="AU104" i="16" s="1"/>
  <c r="CD105" i="16" s="1"/>
  <c r="DK80" i="16"/>
  <c r="BP58" i="16"/>
  <c r="CL59" i="16" s="1"/>
  <c r="DG103" i="16"/>
  <c r="AC127" i="16"/>
  <c r="AW127" i="16" s="1"/>
  <c r="CE128" i="16" s="1"/>
  <c r="E64" i="17"/>
  <c r="E64" i="28" s="1"/>
  <c r="E63" i="29"/>
  <c r="BV58" i="16"/>
  <c r="CW59" i="16" s="1"/>
  <c r="DG126" i="16"/>
  <c r="AE127" i="16"/>
  <c r="AY127" i="16" s="1"/>
  <c r="CG128" i="16" s="1"/>
  <c r="AB127" i="16"/>
  <c r="AV127" i="16" s="1"/>
  <c r="AO127" i="16"/>
  <c r="BI127" i="16" s="1"/>
  <c r="AK127" i="16"/>
  <c r="BE127" i="16" s="1"/>
  <c r="CO128" i="16" s="1"/>
  <c r="AG81" i="16"/>
  <c r="BA81" i="16" s="1"/>
  <c r="AK104" i="16"/>
  <c r="BE104" i="16" s="1"/>
  <c r="CO105" i="16" s="1"/>
  <c r="AJ104" i="16"/>
  <c r="BD104" i="16" s="1"/>
  <c r="CN105" i="16" s="1"/>
  <c r="AG104" i="16"/>
  <c r="BA104" i="16" s="1"/>
  <c r="AO104" i="16"/>
  <c r="BI104" i="16" s="1"/>
  <c r="AM104" i="16"/>
  <c r="BG104" i="16" s="1"/>
  <c r="CQ105" i="16" s="1"/>
  <c r="DB80" i="16"/>
  <c r="K15" i="18"/>
  <c r="AG150" i="16"/>
  <c r="BA150" i="16" s="1"/>
  <c r="F25" i="25"/>
  <c r="F25" i="27" s="1"/>
  <c r="CL58" i="16"/>
  <c r="F23" i="27"/>
  <c r="AG127" i="16"/>
  <c r="BA127" i="16" s="1"/>
  <c r="AS126" i="16"/>
  <c r="CB127" i="16" s="1"/>
  <c r="AJ127" i="16"/>
  <c r="BD127" i="16" s="1"/>
  <c r="AD127" i="16"/>
  <c r="AX127" i="16" s="1"/>
  <c r="CF128" i="16" s="1"/>
  <c r="AA127" i="16"/>
  <c r="AU127" i="16" s="1"/>
  <c r="CD128" i="16" s="1"/>
  <c r="F24" i="27"/>
  <c r="H58" i="13"/>
  <c r="H61" i="18" s="1"/>
  <c r="CI58" i="16"/>
  <c r="CO104" i="16"/>
  <c r="AI104" i="16"/>
  <c r="BC104" i="16" s="1"/>
  <c r="CM105" i="16" s="1"/>
  <c r="AH104" i="16"/>
  <c r="BB104" i="16" s="1"/>
  <c r="Z104" i="16"/>
  <c r="AT104" i="16" s="1"/>
  <c r="AD104" i="16"/>
  <c r="AX104" i="16" s="1"/>
  <c r="CF105" i="16" s="1"/>
  <c r="BW102" i="16"/>
  <c r="BW103" i="16" s="1"/>
  <c r="CL35" i="16"/>
  <c r="K9" i="25"/>
  <c r="K9" i="27" s="1"/>
  <c r="AF58" i="16"/>
  <c r="AZ58" i="16" s="1"/>
  <c r="CH59" i="16" s="1"/>
  <c r="BW35" i="16"/>
  <c r="CX36" i="16" s="1"/>
  <c r="AD81" i="16"/>
  <c r="AX81" i="16" s="1"/>
  <c r="BX58" i="16"/>
  <c r="CY59" i="16" s="1"/>
  <c r="AL127" i="16"/>
  <c r="BF127" i="16" s="1"/>
  <c r="CP128" i="16" s="1"/>
  <c r="AI127" i="16"/>
  <c r="BC127" i="16" s="1"/>
  <c r="CM128" i="16" s="1"/>
  <c r="AH127" i="16"/>
  <c r="BB127" i="16" s="1"/>
  <c r="AF127" i="16"/>
  <c r="AZ127" i="16" s="1"/>
  <c r="CH128" i="16" s="1"/>
  <c r="AM81" i="16"/>
  <c r="BG81" i="16" s="1"/>
  <c r="CQ82" i="16" s="1"/>
  <c r="BR167" i="16"/>
  <c r="CS168" i="16" s="1"/>
  <c r="J56" i="33"/>
  <c r="AC104" i="16"/>
  <c r="AW104" i="16" s="1"/>
  <c r="CE105" i="16" s="1"/>
  <c r="Y104" i="16"/>
  <c r="AS104" i="16" s="1"/>
  <c r="AL104" i="16"/>
  <c r="BF104" i="16" s="1"/>
  <c r="CP105" i="16" s="1"/>
  <c r="DE149" i="16"/>
  <c r="BO58" i="16"/>
  <c r="CK59" i="16" s="1"/>
  <c r="DG80" i="16"/>
  <c r="BO232" i="16"/>
  <c r="CK232" i="16"/>
  <c r="BV232" i="16"/>
  <c r="CW233" i="16" s="1"/>
  <c r="F53" i="28"/>
  <c r="J31" i="31"/>
  <c r="L12" i="13"/>
  <c r="L9" i="25" s="1"/>
  <c r="G52" i="18"/>
  <c r="K31" i="10"/>
  <c r="K34" i="18" s="1"/>
  <c r="G40" i="31"/>
  <c r="J21" i="10"/>
  <c r="J32" i="26" s="1"/>
  <c r="L25" i="13"/>
  <c r="K25" i="31"/>
  <c r="K56" i="10"/>
  <c r="K58" i="26" s="1"/>
  <c r="K28" i="18"/>
  <c r="AI81" i="16"/>
  <c r="BC81" i="16" s="1"/>
  <c r="CM82" i="16" s="1"/>
  <c r="Y81" i="16"/>
  <c r="AS81" i="16" s="1"/>
  <c r="DE57" i="16"/>
  <c r="DF80" i="16"/>
  <c r="AC81" i="16"/>
  <c r="AW81" i="16" s="1"/>
  <c r="CE82" i="16" s="1"/>
  <c r="AA81" i="16"/>
  <c r="AU81" i="16" s="1"/>
  <c r="CD82" i="16" s="1"/>
  <c r="AJ81" i="16"/>
  <c r="BD81" i="16" s="1"/>
  <c r="AH81" i="16"/>
  <c r="BB81" i="16" s="1"/>
  <c r="DI171" i="16"/>
  <c r="H47" i="13"/>
  <c r="H47" i="31" s="1"/>
  <c r="L3" i="13"/>
  <c r="M7" i="13" s="1"/>
  <c r="G43" i="21"/>
  <c r="DB149" i="16"/>
  <c r="DD149" i="16"/>
  <c r="DH148" i="16"/>
  <c r="AO81" i="16"/>
  <c r="BI81" i="16" s="1"/>
  <c r="AK81" i="16"/>
  <c r="BE81" i="16" s="1"/>
  <c r="CO82" i="16" s="1"/>
  <c r="K6" i="18"/>
  <c r="J18" i="31"/>
  <c r="DG149" i="16"/>
  <c r="F23" i="29"/>
  <c r="AL81" i="16"/>
  <c r="BF81" i="16" s="1"/>
  <c r="AB81" i="16"/>
  <c r="AV81" i="16" s="1"/>
  <c r="Z81" i="16"/>
  <c r="AT81" i="16" s="1"/>
  <c r="CC82" i="16" s="1"/>
  <c r="AF81" i="16"/>
  <c r="AZ81" i="16" s="1"/>
  <c r="CH82" i="16" s="1"/>
  <c r="CW451" i="16"/>
  <c r="J66" i="20" s="1"/>
  <c r="L7" i="13"/>
  <c r="L44" i="25" s="1"/>
  <c r="K8" i="25"/>
  <c r="K8" i="27" s="1"/>
  <c r="CQ35" i="16"/>
  <c r="BX233" i="16"/>
  <c r="CY234" i="16" s="1"/>
  <c r="BP233" i="16"/>
  <c r="CL233" i="16"/>
  <c r="K65" i="18"/>
  <c r="K62" i="31"/>
  <c r="BN35" i="16"/>
  <c r="CJ36" i="16" s="1"/>
  <c r="CJ35" i="16"/>
  <c r="DI33" i="16"/>
  <c r="L9" i="13"/>
  <c r="L46" i="25" s="1"/>
  <c r="L5" i="13"/>
  <c r="M9" i="13" s="1"/>
  <c r="J30" i="26"/>
  <c r="J30" i="27" s="1"/>
  <c r="K9" i="10"/>
  <c r="K9" i="31" s="1"/>
  <c r="F64" i="27"/>
  <c r="G62" i="18"/>
  <c r="K18" i="10"/>
  <c r="L31" i="10" s="1"/>
  <c r="K44" i="10"/>
  <c r="L62" i="10" s="1"/>
  <c r="J44" i="31"/>
  <c r="J5" i="31"/>
  <c r="AB150" i="16"/>
  <c r="AV150" i="16" s="1"/>
  <c r="BS124" i="16"/>
  <c r="CT125" i="16" s="1"/>
  <c r="BM124" i="16"/>
  <c r="CI124" i="16"/>
  <c r="AJ35" i="16"/>
  <c r="BD35" i="16" s="1"/>
  <c r="CN36" i="16" s="1"/>
  <c r="AS149" i="16"/>
  <c r="DC149" i="16" s="1"/>
  <c r="G61" i="25"/>
  <c r="G61" i="27" s="1"/>
  <c r="H67" i="13"/>
  <c r="H70" i="21" s="1"/>
  <c r="CP35" i="16"/>
  <c r="DF57" i="16"/>
  <c r="G59" i="31"/>
  <c r="J51" i="10"/>
  <c r="J36" i="26" s="1"/>
  <c r="BP35" i="16"/>
  <c r="BX36" i="16" s="1"/>
  <c r="CY37" i="16" s="1"/>
  <c r="AF150" i="16"/>
  <c r="AZ150" i="16" s="1"/>
  <c r="CH151" i="16" s="1"/>
  <c r="DJ217" i="16"/>
  <c r="DC148" i="16"/>
  <c r="J47" i="18"/>
  <c r="BQ35" i="16"/>
  <c r="CR36" i="16" s="1"/>
  <c r="G69" i="33"/>
  <c r="K43" i="10"/>
  <c r="L61" i="10" s="1"/>
  <c r="BV342" i="16"/>
  <c r="CW343" i="16" s="1"/>
  <c r="G49" i="31"/>
  <c r="G59" i="32"/>
  <c r="DH56" i="16"/>
  <c r="CW430" i="16"/>
  <c r="BV430" i="16"/>
  <c r="AM150" i="16"/>
  <c r="BG150" i="16" s="1"/>
  <c r="CQ151" i="16" s="1"/>
  <c r="AK150" i="16"/>
  <c r="BE150" i="16" s="1"/>
  <c r="G52" i="13"/>
  <c r="G55" i="21" s="1"/>
  <c r="G49" i="32"/>
  <c r="DF34" i="16"/>
  <c r="K44" i="13"/>
  <c r="F34" i="26"/>
  <c r="J47" i="26"/>
  <c r="H66" i="33"/>
  <c r="H69" i="23"/>
  <c r="CL255" i="16"/>
  <c r="BP255" i="16"/>
  <c r="BX255" i="16"/>
  <c r="CY256" i="16" s="1"/>
  <c r="I47" i="26"/>
  <c r="I10" i="31"/>
  <c r="I13" i="18"/>
  <c r="AB35" i="16"/>
  <c r="AV35" i="16" s="1"/>
  <c r="AA150" i="16"/>
  <c r="AU150" i="16" s="1"/>
  <c r="CD151" i="16" s="1"/>
  <c r="AN150" i="16"/>
  <c r="BH150" i="16" s="1"/>
  <c r="AL58" i="16"/>
  <c r="BF58" i="16" s="1"/>
  <c r="CP59" i="16" s="1"/>
  <c r="H69" i="10"/>
  <c r="H62" i="26" s="1"/>
  <c r="H64" i="33"/>
  <c r="J10" i="31"/>
  <c r="J62" i="33"/>
  <c r="J65" i="18"/>
  <c r="J62" i="31"/>
  <c r="K26" i="10"/>
  <c r="K17" i="10"/>
  <c r="J13" i="31"/>
  <c r="J14" i="26"/>
  <c r="K38" i="10"/>
  <c r="DJ149" i="16"/>
  <c r="G34" i="33"/>
  <c r="DI285" i="16"/>
  <c r="AM35" i="16"/>
  <c r="BG35" i="16" s="1"/>
  <c r="AI150" i="16"/>
  <c r="BC150" i="16" s="1"/>
  <c r="AH150" i="16"/>
  <c r="BB150" i="16" s="1"/>
  <c r="AD150" i="16"/>
  <c r="AX150" i="16" s="1"/>
  <c r="CF151" i="16" s="1"/>
  <c r="AE150" i="16"/>
  <c r="AY150" i="16" s="1"/>
  <c r="CG151" i="16" s="1"/>
  <c r="BM58" i="16"/>
  <c r="CI59" i="16" s="1"/>
  <c r="G55" i="23"/>
  <c r="G52" i="33"/>
  <c r="F63" i="27"/>
  <c r="CY452" i="16"/>
  <c r="K68" i="20" s="1"/>
  <c r="CH150" i="16"/>
  <c r="DD57" i="16"/>
  <c r="I65" i="10"/>
  <c r="I65" i="33" s="1"/>
  <c r="H47" i="33"/>
  <c r="CM35" i="16"/>
  <c r="BM35" i="16"/>
  <c r="CI36" i="16" s="1"/>
  <c r="K8" i="10"/>
  <c r="J13" i="26"/>
  <c r="K13" i="10"/>
  <c r="K5" i="10"/>
  <c r="K5" i="31" s="1"/>
  <c r="J4" i="31"/>
  <c r="K4" i="10"/>
  <c r="H68" i="23"/>
  <c r="H65" i="33"/>
  <c r="CV57" i="16"/>
  <c r="BU57" i="16"/>
  <c r="CV58" i="16" s="1"/>
  <c r="I32" i="26"/>
  <c r="F54" i="26"/>
  <c r="F35" i="33"/>
  <c r="H70" i="23"/>
  <c r="H67" i="33"/>
  <c r="I16" i="26"/>
  <c r="L57" i="26"/>
  <c r="K63" i="10"/>
  <c r="H71" i="23"/>
  <c r="H68" i="33"/>
  <c r="DF149" i="16"/>
  <c r="AJ150" i="16"/>
  <c r="BD150" i="16" s="1"/>
  <c r="AC150" i="16"/>
  <c r="AW150" i="16" s="1"/>
  <c r="CE151" i="16" s="1"/>
  <c r="Y150" i="16"/>
  <c r="AS150" i="16" s="1"/>
  <c r="Z150" i="16"/>
  <c r="AT150" i="16" s="1"/>
  <c r="CC151" i="16" s="1"/>
  <c r="AO150" i="16"/>
  <c r="BI150" i="16" s="1"/>
  <c r="AL150" i="16"/>
  <c r="BF150" i="16" s="1"/>
  <c r="CP151" i="16" s="1"/>
  <c r="I38" i="32"/>
  <c r="I38" i="33"/>
  <c r="DJ309" i="16"/>
  <c r="DK149" i="16"/>
  <c r="J16" i="18"/>
  <c r="K45" i="10"/>
  <c r="K30" i="10"/>
  <c r="BU233" i="16"/>
  <c r="CV233" i="16"/>
  <c r="J45" i="26"/>
  <c r="J45" i="27" s="1"/>
  <c r="J8" i="33"/>
  <c r="J11" i="18"/>
  <c r="BU101" i="16"/>
  <c r="CV101" i="16"/>
  <c r="J8" i="31"/>
  <c r="I18" i="32"/>
  <c r="H64" i="32"/>
  <c r="H63" i="32"/>
  <c r="J62" i="32"/>
  <c r="H30" i="32"/>
  <c r="I31" i="32"/>
  <c r="I7" i="32"/>
  <c r="H65" i="32"/>
  <c r="H10" i="32"/>
  <c r="E23" i="32"/>
  <c r="I61" i="32"/>
  <c r="CY211" i="16"/>
  <c r="BX211" i="16"/>
  <c r="F70" i="32"/>
  <c r="AL35" i="16"/>
  <c r="BF35" i="16" s="1"/>
  <c r="CP36" i="16" s="1"/>
  <c r="H68" i="32"/>
  <c r="F35" i="32"/>
  <c r="J55" i="32"/>
  <c r="AE58" i="16"/>
  <c r="AY58" i="16" s="1"/>
  <c r="CG59" i="16" s="1"/>
  <c r="H4" i="32"/>
  <c r="K13" i="25"/>
  <c r="DK286" i="16"/>
  <c r="DE34" i="16"/>
  <c r="G69" i="32"/>
  <c r="DD34" i="16"/>
  <c r="E53" i="32"/>
  <c r="DK309" i="16"/>
  <c r="J25" i="32"/>
  <c r="H37" i="32"/>
  <c r="DB57" i="16"/>
  <c r="CL432" i="16"/>
  <c r="BP432" i="16"/>
  <c r="CK320" i="16"/>
  <c r="BO320" i="16"/>
  <c r="BV320" i="16"/>
  <c r="CW321" i="16" s="1"/>
  <c r="J56" i="32"/>
  <c r="G34" i="32"/>
  <c r="I5" i="32"/>
  <c r="F51" i="32"/>
  <c r="G3" i="32"/>
  <c r="I12" i="32"/>
  <c r="F15" i="32"/>
  <c r="I13" i="32"/>
  <c r="AO35" i="16"/>
  <c r="BI35" i="16" s="1"/>
  <c r="DK34" i="16"/>
  <c r="CJ102" i="16"/>
  <c r="BN102" i="16"/>
  <c r="BR102" i="16"/>
  <c r="CS103" i="16" s="1"/>
  <c r="BX321" i="16"/>
  <c r="CY322" i="16" s="1"/>
  <c r="CL321" i="16"/>
  <c r="BP321" i="16"/>
  <c r="BX299" i="16"/>
  <c r="CY300" i="16" s="1"/>
  <c r="CL299" i="16"/>
  <c r="BP299" i="16"/>
  <c r="CL387" i="16"/>
  <c r="BP387" i="16"/>
  <c r="BX387" i="16"/>
  <c r="CY388" i="16" s="1"/>
  <c r="AH35" i="16"/>
  <c r="BB35" i="16" s="1"/>
  <c r="CX451" i="16"/>
  <c r="J67" i="20" s="1"/>
  <c r="DI449" i="16"/>
  <c r="AM58" i="16"/>
  <c r="BG58" i="16" s="1"/>
  <c r="CQ59" i="16" s="1"/>
  <c r="L8" i="13"/>
  <c r="J9" i="32"/>
  <c r="F21" i="32"/>
  <c r="BS35" i="16"/>
  <c r="CT36" i="16" s="1"/>
  <c r="L4" i="13"/>
  <c r="M8" i="13" s="1"/>
  <c r="DH10" i="16"/>
  <c r="G45" i="32"/>
  <c r="DI331" i="16"/>
  <c r="I44" i="32"/>
  <c r="H66" i="32"/>
  <c r="DI262" i="16"/>
  <c r="G17" i="32"/>
  <c r="F14" i="32"/>
  <c r="DG57" i="16"/>
  <c r="L18" i="13"/>
  <c r="J13" i="18"/>
  <c r="J26" i="32"/>
  <c r="DG34" i="16"/>
  <c r="AI58" i="16"/>
  <c r="BC58" i="16" s="1"/>
  <c r="CM59" i="16" s="1"/>
  <c r="BT255" i="16"/>
  <c r="CU255" i="16"/>
  <c r="I21" i="31"/>
  <c r="F14" i="31"/>
  <c r="BT409" i="16"/>
  <c r="CU409" i="16"/>
  <c r="BU342" i="16"/>
  <c r="CV342" i="16"/>
  <c r="BT166" i="16"/>
  <c r="CU166" i="16"/>
  <c r="CJ298" i="16"/>
  <c r="BR298" i="16"/>
  <c r="CS299" i="16" s="1"/>
  <c r="BN298" i="16"/>
  <c r="CL409" i="16"/>
  <c r="BP409" i="16"/>
  <c r="BX409" i="16"/>
  <c r="CY410" i="16" s="1"/>
  <c r="CX145" i="16"/>
  <c r="BW145" i="16"/>
  <c r="CU430" i="16"/>
  <c r="BT430" i="16"/>
  <c r="AC35" i="16"/>
  <c r="AW35" i="16" s="1"/>
  <c r="CE36" i="16" s="1"/>
  <c r="AG35" i="16"/>
  <c r="BA35" i="16" s="1"/>
  <c r="DB34" i="16"/>
  <c r="J43" i="31"/>
  <c r="J17" i="31"/>
  <c r="Y58" i="16"/>
  <c r="AN58" i="16"/>
  <c r="BH58" i="16" s="1"/>
  <c r="Z58" i="16"/>
  <c r="AT58" i="16" s="1"/>
  <c r="CC59" i="16" s="1"/>
  <c r="DK57" i="16"/>
  <c r="J66" i="18"/>
  <c r="J63" i="31"/>
  <c r="I51" i="31"/>
  <c r="CN58" i="16"/>
  <c r="BU321" i="16"/>
  <c r="CV321" i="16"/>
  <c r="CX298" i="16"/>
  <c r="BW298" i="16"/>
  <c r="CI342" i="16"/>
  <c r="BM342" i="16"/>
  <c r="BS342" i="16"/>
  <c r="CT343" i="16" s="1"/>
  <c r="BP277" i="16"/>
  <c r="CL277" i="16"/>
  <c r="BX277" i="16"/>
  <c r="CY278" i="16" s="1"/>
  <c r="CU102" i="16"/>
  <c r="BT102" i="16"/>
  <c r="CV80" i="16"/>
  <c r="BU80" i="16"/>
  <c r="CU232" i="16"/>
  <c r="BT232" i="16"/>
  <c r="H50" i="23"/>
  <c r="AI35" i="16"/>
  <c r="BC35" i="16" s="1"/>
  <c r="CM36" i="16" s="1"/>
  <c r="AK35" i="16"/>
  <c r="BE35" i="16" s="1"/>
  <c r="CO36" i="16" s="1"/>
  <c r="Y35" i="16"/>
  <c r="AS35" i="16" s="1"/>
  <c r="AF35" i="16"/>
  <c r="AZ35" i="16" s="1"/>
  <c r="CH36" i="16" s="1"/>
  <c r="J56" i="31"/>
  <c r="H68" i="31"/>
  <c r="F35" i="31"/>
  <c r="J55" i="31"/>
  <c r="AB58" i="16"/>
  <c r="AV58" i="16" s="1"/>
  <c r="AK58" i="16"/>
  <c r="BE58" i="16" s="1"/>
  <c r="CO59" i="16" s="1"/>
  <c r="AC58" i="16"/>
  <c r="AW58" i="16" s="1"/>
  <c r="CE59" i="16" s="1"/>
  <c r="AS57" i="16"/>
  <c r="DC57" i="16" s="1"/>
  <c r="AA58" i="16"/>
  <c r="AU58" i="16" s="1"/>
  <c r="CD59" i="16" s="1"/>
  <c r="F23" i="31"/>
  <c r="CU451" i="16"/>
  <c r="J64" i="20" s="1"/>
  <c r="BT35" i="16"/>
  <c r="CU36" i="16" s="1"/>
  <c r="G69" i="31"/>
  <c r="DJ57" i="16"/>
  <c r="J61" i="31"/>
  <c r="CC58" i="16"/>
  <c r="BW387" i="16"/>
  <c r="CX387" i="16"/>
  <c r="CK188" i="16"/>
  <c r="BV188" i="16"/>
  <c r="CW189" i="16" s="1"/>
  <c r="BO188" i="16"/>
  <c r="DJ34" i="16"/>
  <c r="BQ410" i="16"/>
  <c r="CR410" i="16"/>
  <c r="CU365" i="16"/>
  <c r="BT365" i="16"/>
  <c r="CX408" i="16"/>
  <c r="BW408" i="16"/>
  <c r="BU431" i="16"/>
  <c r="CV431" i="16"/>
  <c r="CR365" i="16"/>
  <c r="BQ365" i="16"/>
  <c r="BW342" i="16"/>
  <c r="CX342" i="16"/>
  <c r="BW254" i="16"/>
  <c r="CX254" i="16"/>
  <c r="BU167" i="16"/>
  <c r="CV167" i="16"/>
  <c r="CX232" i="16"/>
  <c r="BW232" i="16"/>
  <c r="BT298" i="16"/>
  <c r="CU298" i="16"/>
  <c r="J38" i="31"/>
  <c r="H65" i="31"/>
  <c r="BU364" i="16"/>
  <c r="CV364" i="16"/>
  <c r="BW189" i="16"/>
  <c r="CX189" i="16"/>
  <c r="CK277" i="16"/>
  <c r="BO277" i="16"/>
  <c r="CK166" i="16"/>
  <c r="BV166" i="16"/>
  <c r="CW167" i="16" s="1"/>
  <c r="BO166" i="16"/>
  <c r="AD35" i="16"/>
  <c r="AX35" i="16" s="1"/>
  <c r="CF36" i="16" s="1"/>
  <c r="F53" i="31"/>
  <c r="J30" i="31"/>
  <c r="H64" i="31"/>
  <c r="AH58" i="16"/>
  <c r="BB58" i="16" s="1"/>
  <c r="AJ58" i="16"/>
  <c r="BD58" i="16" s="1"/>
  <c r="CN59" i="16" s="1"/>
  <c r="DI216" i="16"/>
  <c r="Z35" i="16"/>
  <c r="AT35" i="16" s="1"/>
  <c r="CC36" i="16" s="1"/>
  <c r="AN35" i="16"/>
  <c r="BH35" i="16" s="1"/>
  <c r="AE35" i="16"/>
  <c r="AY35" i="16" s="1"/>
  <c r="CG36" i="16" s="1"/>
  <c r="AA35" i="16"/>
  <c r="AU35" i="16" s="1"/>
  <c r="CD36" i="16" s="1"/>
  <c r="G34" i="31"/>
  <c r="J45" i="31"/>
  <c r="J37" i="31"/>
  <c r="AG58" i="16"/>
  <c r="BA58" i="16" s="1"/>
  <c r="AD58" i="16"/>
  <c r="AX58" i="16" s="1"/>
  <c r="CF59" i="16" s="1"/>
  <c r="AO58" i="16"/>
  <c r="BI58" i="16" s="1"/>
  <c r="H15" i="29"/>
  <c r="H66" i="31"/>
  <c r="F15" i="31"/>
  <c r="CS79" i="16"/>
  <c r="BR79" i="16"/>
  <c r="CU386" i="16"/>
  <c r="BT386" i="16"/>
  <c r="CK343" i="16"/>
  <c r="BO343" i="16"/>
  <c r="CK254" i="16"/>
  <c r="BO254" i="16"/>
  <c r="BV254" i="16"/>
  <c r="CW255" i="16" s="1"/>
  <c r="CJ210" i="16"/>
  <c r="BN210" i="16"/>
  <c r="BR210" i="16"/>
  <c r="CS211" i="16" s="1"/>
  <c r="CJ386" i="16"/>
  <c r="BN386" i="16"/>
  <c r="BR386" i="16"/>
  <c r="CS387" i="16" s="1"/>
  <c r="CW123" i="16"/>
  <c r="BV123" i="16"/>
  <c r="BU254" i="16"/>
  <c r="CV254" i="16"/>
  <c r="BP167" i="16"/>
  <c r="CL167" i="16"/>
  <c r="BX167" i="16"/>
  <c r="CY168" i="16" s="1"/>
  <c r="CL213" i="16"/>
  <c r="BP213" i="16"/>
  <c r="I64" i="23"/>
  <c r="I64" i="21"/>
  <c r="G62" i="17"/>
  <c r="G72" i="23"/>
  <c r="G70" i="20"/>
  <c r="G72" i="21"/>
  <c r="CL36" i="16"/>
  <c r="BO386" i="16"/>
  <c r="CK386" i="16"/>
  <c r="BV386" i="16"/>
  <c r="CW387" i="16" s="1"/>
  <c r="CX277" i="16"/>
  <c r="BW277" i="16"/>
  <c r="DE450" i="16"/>
  <c r="I39" i="20"/>
  <c r="CO12" i="16"/>
  <c r="CO452" i="16" s="1"/>
  <c r="K57" i="20" s="1"/>
  <c r="BE451" i="16"/>
  <c r="DE11" i="16"/>
  <c r="BT12" i="16"/>
  <c r="CB11" i="16"/>
  <c r="CB451" i="16" s="1"/>
  <c r="J7" i="20" s="1"/>
  <c r="J7" i="33" s="1"/>
  <c r="AS450" i="16"/>
  <c r="DC10" i="16"/>
  <c r="DF11" i="16"/>
  <c r="CM12" i="16"/>
  <c r="CM452" i="16" s="1"/>
  <c r="K55" i="20" s="1"/>
  <c r="K55" i="33" s="1"/>
  <c r="BC451" i="16"/>
  <c r="DG11" i="16"/>
  <c r="BR144" i="16"/>
  <c r="CS145" i="16" s="1"/>
  <c r="CJ144" i="16"/>
  <c r="BN144" i="16"/>
  <c r="BN232" i="16"/>
  <c r="BR232" i="16"/>
  <c r="CS233" i="16" s="1"/>
  <c r="CJ232" i="16"/>
  <c r="G26" i="17"/>
  <c r="G21" i="17"/>
  <c r="CR123" i="16"/>
  <c r="BQ123" i="16"/>
  <c r="H16" i="27"/>
  <c r="DJ172" i="16"/>
  <c r="DK172" i="16"/>
  <c r="DE172" i="16"/>
  <c r="CO173" i="16"/>
  <c r="CC173" i="16"/>
  <c r="DB172" i="16"/>
  <c r="H9" i="28"/>
  <c r="H9" i="29"/>
  <c r="CB286" i="16"/>
  <c r="DC285" i="16"/>
  <c r="DK450" i="16"/>
  <c r="DK451" i="16"/>
  <c r="CP218" i="16"/>
  <c r="AA264" i="16"/>
  <c r="AU264" i="16" s="1"/>
  <c r="CP264" i="16"/>
  <c r="H66" i="23"/>
  <c r="H66" i="21"/>
  <c r="I47" i="23"/>
  <c r="I47" i="21"/>
  <c r="H69" i="18"/>
  <c r="H69" i="21"/>
  <c r="DJ451" i="16"/>
  <c r="H60" i="26"/>
  <c r="H60" i="28" s="1"/>
  <c r="H61" i="23"/>
  <c r="BX103" i="16"/>
  <c r="CY104" i="16" s="1"/>
  <c r="CL103" i="16"/>
  <c r="BP103" i="16"/>
  <c r="G6" i="23"/>
  <c r="G8" i="17"/>
  <c r="G6" i="21"/>
  <c r="DH262" i="16"/>
  <c r="G21" i="20"/>
  <c r="G21" i="33" s="1"/>
  <c r="G20" i="23"/>
  <c r="G20" i="21"/>
  <c r="BM255" i="16"/>
  <c r="CI255" i="16"/>
  <c r="BS255" i="16"/>
  <c r="CT256" i="16" s="1"/>
  <c r="CX79" i="16"/>
  <c r="BW79" i="16"/>
  <c r="I34" i="21"/>
  <c r="I34" i="23"/>
  <c r="H11" i="27"/>
  <c r="G25" i="17"/>
  <c r="CU146" i="16"/>
  <c r="BT146" i="16"/>
  <c r="BQ255" i="16"/>
  <c r="CR255" i="16"/>
  <c r="H68" i="18"/>
  <c r="H68" i="21"/>
  <c r="D41" i="17"/>
  <c r="D39" i="28"/>
  <c r="D39" i="29"/>
  <c r="CU343" i="16"/>
  <c r="BT343" i="16"/>
  <c r="DC308" i="16"/>
  <c r="CB35" i="16"/>
  <c r="DC34" i="16"/>
  <c r="CR187" i="16"/>
  <c r="CR451" i="16" s="1"/>
  <c r="J61" i="20" s="1"/>
  <c r="J61" i="33" s="1"/>
  <c r="BQ187" i="16"/>
  <c r="BQ451" i="16" s="1"/>
  <c r="J43" i="20" s="1"/>
  <c r="J43" i="33" s="1"/>
  <c r="L8" i="26"/>
  <c r="M7" i="10"/>
  <c r="M3" i="10"/>
  <c r="BU298" i="16"/>
  <c r="CV298" i="16"/>
  <c r="I21" i="21"/>
  <c r="I21" i="23"/>
  <c r="F16" i="28"/>
  <c r="F16" i="29"/>
  <c r="CF195" i="16"/>
  <c r="CU12" i="16"/>
  <c r="BT451" i="16"/>
  <c r="J46" i="20" s="1"/>
  <c r="CG12" i="16"/>
  <c r="CG452" i="16" s="1"/>
  <c r="K27" i="20" s="1"/>
  <c r="AY451" i="16"/>
  <c r="BO12" i="16"/>
  <c r="DD11" i="16"/>
  <c r="AT451" i="16"/>
  <c r="CC12" i="16"/>
  <c r="CC452" i="16" s="1"/>
  <c r="K8" i="20" s="1"/>
  <c r="DB11" i="16"/>
  <c r="J45" i="17"/>
  <c r="J11" i="23"/>
  <c r="J11" i="21"/>
  <c r="G37" i="23"/>
  <c r="G53" i="17"/>
  <c r="G53" i="28" s="1"/>
  <c r="G37" i="21"/>
  <c r="G35" i="20"/>
  <c r="BM431" i="16"/>
  <c r="CI431" i="16"/>
  <c r="BM277" i="16"/>
  <c r="CI277" i="16"/>
  <c r="BS277" i="16"/>
  <c r="CT278" i="16" s="1"/>
  <c r="CB81" i="16"/>
  <c r="DC80" i="16"/>
  <c r="CG82" i="16"/>
  <c r="BW451" i="16"/>
  <c r="J49" i="20" s="1"/>
  <c r="CX12" i="16"/>
  <c r="DD172" i="16"/>
  <c r="CG173" i="16"/>
  <c r="CB172" i="16"/>
  <c r="DC171" i="16"/>
  <c r="F23" i="20"/>
  <c r="F23" i="32" s="1"/>
  <c r="F32" i="17"/>
  <c r="F24" i="21"/>
  <c r="F24" i="23"/>
  <c r="CM287" i="16"/>
  <c r="CP287" i="16"/>
  <c r="CN241" i="16"/>
  <c r="I14" i="20"/>
  <c r="DD450" i="16"/>
  <c r="CM218" i="16"/>
  <c r="DF217" i="16"/>
  <c r="DG217" i="16"/>
  <c r="CD218" i="16"/>
  <c r="C41" i="28"/>
  <c r="C41" i="29"/>
  <c r="CL191" i="16"/>
  <c r="BP191" i="16"/>
  <c r="E32" i="28"/>
  <c r="E39" i="17"/>
  <c r="E32" i="29"/>
  <c r="J65" i="23"/>
  <c r="J65" i="21"/>
  <c r="I57" i="29"/>
  <c r="I57" i="27"/>
  <c r="G48" i="28"/>
  <c r="G48" i="29"/>
  <c r="E36" i="28"/>
  <c r="E36" i="29"/>
  <c r="BQ450" i="16"/>
  <c r="I43" i="20" s="1"/>
  <c r="I43" i="33" s="1"/>
  <c r="CJ431" i="16"/>
  <c r="BR431" i="16"/>
  <c r="CS432" i="16" s="1"/>
  <c r="BN431" i="16"/>
  <c r="I41" i="23"/>
  <c r="I15" i="17"/>
  <c r="I15" i="28" s="1"/>
  <c r="I41" i="21"/>
  <c r="DH171" i="16"/>
  <c r="CI79" i="16"/>
  <c r="BS79" i="16"/>
  <c r="CT80" i="16" s="1"/>
  <c r="BM79" i="16"/>
  <c r="CR102" i="16"/>
  <c r="BQ102" i="16"/>
  <c r="CU322" i="16"/>
  <c r="BT322" i="16"/>
  <c r="I44" i="17"/>
  <c r="I10" i="23"/>
  <c r="I10" i="20"/>
  <c r="I10" i="33" s="1"/>
  <c r="I10" i="21"/>
  <c r="G15" i="13"/>
  <c r="G19" i="13"/>
  <c r="F19" i="25"/>
  <c r="G27" i="13"/>
  <c r="F17" i="18"/>
  <c r="G14" i="13"/>
  <c r="F6" i="25"/>
  <c r="F17" i="21"/>
  <c r="H27" i="17"/>
  <c r="E11" i="28"/>
  <c r="E11" i="29"/>
  <c r="G62" i="26"/>
  <c r="G70" i="10"/>
  <c r="I14" i="17"/>
  <c r="I16" i="23"/>
  <c r="I16" i="21"/>
  <c r="CR277" i="16"/>
  <c r="BQ277" i="16"/>
  <c r="CU57" i="16"/>
  <c r="BT57" i="16"/>
  <c r="BT211" i="16"/>
  <c r="CU211" i="16"/>
  <c r="CL124" i="16"/>
  <c r="BX124" i="16"/>
  <c r="CY125" i="16" s="1"/>
  <c r="BP124" i="16"/>
  <c r="G60" i="27"/>
  <c r="G60" i="29"/>
  <c r="D34" i="28"/>
  <c r="D34" i="29"/>
  <c r="F20" i="26"/>
  <c r="G28" i="10"/>
  <c r="G20" i="10"/>
  <c r="G20" i="33" s="1"/>
  <c r="F18" i="23"/>
  <c r="CJ451" i="16"/>
  <c r="J31" i="20" s="1"/>
  <c r="J31" i="33" s="1"/>
  <c r="BW431" i="16"/>
  <c r="CX431" i="16"/>
  <c r="CU123" i="16"/>
  <c r="BT123" i="16"/>
  <c r="I45" i="28"/>
  <c r="I45" i="29"/>
  <c r="H71" i="18"/>
  <c r="H71" i="21"/>
  <c r="CH195" i="16"/>
  <c r="CO195" i="16"/>
  <c r="G10" i="28"/>
  <c r="G10" i="29"/>
  <c r="J59" i="17"/>
  <c r="J60" i="17"/>
  <c r="CD12" i="16"/>
  <c r="CD452" i="16" s="1"/>
  <c r="K9" i="20" s="1"/>
  <c r="AU451" i="16"/>
  <c r="J5" i="20" s="1"/>
  <c r="J5" i="33" s="1"/>
  <c r="BN12" i="16"/>
  <c r="AA12" i="16"/>
  <c r="AU12" i="16" s="1"/>
  <c r="AD12" i="16"/>
  <c r="AX12" i="16" s="1"/>
  <c r="AK12" i="16"/>
  <c r="BE12" i="16" s="1"/>
  <c r="AG12" i="16"/>
  <c r="BA12" i="16" s="1"/>
  <c r="BA452" i="16" s="1"/>
  <c r="AS11" i="16"/>
  <c r="AE12" i="16"/>
  <c r="AY12" i="16" s="1"/>
  <c r="AL12" i="16"/>
  <c r="BF12" i="16" s="1"/>
  <c r="AH12" i="16"/>
  <c r="BB12" i="16" s="1"/>
  <c r="BB452" i="16" s="1"/>
  <c r="Z12" i="16"/>
  <c r="AT12" i="16" s="1"/>
  <c r="AJ12" i="16"/>
  <c r="BD12" i="16" s="1"/>
  <c r="AB12" i="16"/>
  <c r="AV12" i="16" s="1"/>
  <c r="AI12" i="16"/>
  <c r="BC12" i="16" s="1"/>
  <c r="AM12" i="16"/>
  <c r="BG12" i="16" s="1"/>
  <c r="AN12" i="16"/>
  <c r="BH12" i="16" s="1"/>
  <c r="BH452" i="16" s="1"/>
  <c r="AO12" i="16"/>
  <c r="BI12" i="16" s="1"/>
  <c r="BI452" i="16" s="1"/>
  <c r="AC12" i="16"/>
  <c r="AW12" i="16" s="1"/>
  <c r="Y12" i="16"/>
  <c r="AF12" i="16"/>
  <c r="AZ12" i="16" s="1"/>
  <c r="F54" i="25"/>
  <c r="F38" i="18"/>
  <c r="I36" i="26"/>
  <c r="DH449" i="16"/>
  <c r="DH331" i="16"/>
  <c r="I32" i="25"/>
  <c r="I24" i="18"/>
  <c r="H67" i="18"/>
  <c r="J10" i="25"/>
  <c r="K55" i="13"/>
  <c r="J40" i="18"/>
  <c r="K38" i="13"/>
  <c r="K37" i="13"/>
  <c r="J57" i="25"/>
  <c r="J58" i="18"/>
  <c r="BV365" i="16"/>
  <c r="CW366" i="16" s="1"/>
  <c r="CK365" i="16"/>
  <c r="BO365" i="16"/>
  <c r="CI408" i="16"/>
  <c r="BS408" i="16"/>
  <c r="CT409" i="16" s="1"/>
  <c r="BM408" i="16"/>
  <c r="I52" i="20"/>
  <c r="J12" i="21"/>
  <c r="J12" i="23"/>
  <c r="J46" i="17"/>
  <c r="J61" i="17"/>
  <c r="CP173" i="16"/>
  <c r="CF173" i="16"/>
  <c r="AO173" i="16"/>
  <c r="BI173" i="16" s="1"/>
  <c r="AN173" i="16"/>
  <c r="BH173" i="16" s="1"/>
  <c r="AL173" i="16"/>
  <c r="BF173" i="16" s="1"/>
  <c r="AH173" i="16"/>
  <c r="BB173" i="16" s="1"/>
  <c r="Z173" i="16"/>
  <c r="AT173" i="16" s="1"/>
  <c r="AJ173" i="16"/>
  <c r="BD173" i="16" s="1"/>
  <c r="AM173" i="16"/>
  <c r="BG173" i="16" s="1"/>
  <c r="Y173" i="16"/>
  <c r="AA173" i="16"/>
  <c r="AU173" i="16" s="1"/>
  <c r="AK173" i="16"/>
  <c r="BE173" i="16" s="1"/>
  <c r="AF173" i="16"/>
  <c r="AZ173" i="16" s="1"/>
  <c r="AD173" i="16"/>
  <c r="AX173" i="16" s="1"/>
  <c r="AE173" i="16"/>
  <c r="AY173" i="16" s="1"/>
  <c r="AG173" i="16"/>
  <c r="BA173" i="16" s="1"/>
  <c r="AI173" i="16"/>
  <c r="BC173" i="16" s="1"/>
  <c r="AS172" i="16"/>
  <c r="AC173" i="16"/>
  <c r="AW173" i="16" s="1"/>
  <c r="CE174" i="16" s="1"/>
  <c r="AB173" i="16"/>
  <c r="AV173" i="16" s="1"/>
  <c r="CW12" i="16"/>
  <c r="BV451" i="16"/>
  <c r="J48" i="20" s="1"/>
  <c r="CG287" i="16"/>
  <c r="BX344" i="16"/>
  <c r="CY345" i="16" s="1"/>
  <c r="CL344" i="16"/>
  <c r="BP344" i="16"/>
  <c r="CX124" i="16"/>
  <c r="BW124" i="16"/>
  <c r="CK145" i="16"/>
  <c r="BO145" i="16"/>
  <c r="AH241" i="16"/>
  <c r="BB241" i="16" s="1"/>
  <c r="AE241" i="16"/>
  <c r="AY241" i="16" s="1"/>
  <c r="G37" i="26"/>
  <c r="G37" i="28" s="1"/>
  <c r="G53" i="10"/>
  <c r="J52" i="17"/>
  <c r="DJ11" i="16"/>
  <c r="DK11" i="16"/>
  <c r="DE217" i="16"/>
  <c r="CG264" i="16"/>
  <c r="CJ168" i="16"/>
  <c r="BN168" i="16"/>
  <c r="E55" i="29"/>
  <c r="E40" i="29"/>
  <c r="E40" i="27"/>
  <c r="E41" i="25"/>
  <c r="E34" i="17"/>
  <c r="E34" i="28" s="1"/>
  <c r="E26" i="21"/>
  <c r="E26" i="23"/>
  <c r="E6" i="17"/>
  <c r="E6" i="28" s="1"/>
  <c r="E66" i="27"/>
  <c r="E28" i="28"/>
  <c r="CR79" i="16"/>
  <c r="BQ79" i="16"/>
  <c r="E56" i="23"/>
  <c r="E38" i="17"/>
  <c r="E56" i="21"/>
  <c r="H36" i="27"/>
  <c r="BX366" i="16"/>
  <c r="CY367" i="16" s="1"/>
  <c r="CL366" i="16"/>
  <c r="BP366" i="16"/>
  <c r="I36" i="25"/>
  <c r="I54" i="18"/>
  <c r="CK126" i="16"/>
  <c r="BO126" i="16"/>
  <c r="BP451" i="16"/>
  <c r="BX12" i="16"/>
  <c r="CY13" i="16" s="1"/>
  <c r="CL12" i="16"/>
  <c r="CL452" i="16" s="1"/>
  <c r="K33" i="20" s="1"/>
  <c r="CR12" i="16"/>
  <c r="BM449" i="16"/>
  <c r="H17" i="20" s="1"/>
  <c r="H17" i="33" s="1"/>
  <c r="BS10" i="16"/>
  <c r="CI10" i="16"/>
  <c r="CI450" i="16" s="1"/>
  <c r="I30" i="20" s="1"/>
  <c r="I30" i="33" s="1"/>
  <c r="BM10" i="16"/>
  <c r="CB104" i="16"/>
  <c r="DC103" i="16"/>
  <c r="F40" i="26"/>
  <c r="F41" i="26" s="1"/>
  <c r="BW211" i="16"/>
  <c r="CX211" i="16"/>
  <c r="H67" i="21"/>
  <c r="F33" i="28"/>
  <c r="F40" i="17"/>
  <c r="G47" i="28"/>
  <c r="G47" i="29"/>
  <c r="DJ450" i="16"/>
  <c r="J28" i="21"/>
  <c r="J28" i="23"/>
  <c r="J50" i="17"/>
  <c r="DG450" i="16"/>
  <c r="DF450" i="16"/>
  <c r="I37" i="20"/>
  <c r="I37" i="33" s="1"/>
  <c r="G39" i="27"/>
  <c r="E54" i="28"/>
  <c r="E54" i="29"/>
  <c r="E65" i="17"/>
  <c r="BQ387" i="16"/>
  <c r="CR387" i="16"/>
  <c r="H44" i="28"/>
  <c r="H44" i="29"/>
  <c r="J29" i="23"/>
  <c r="J29" i="21"/>
  <c r="J51" i="17"/>
  <c r="CJ126" i="16"/>
  <c r="BN126" i="16"/>
  <c r="H22" i="20"/>
  <c r="BR408" i="16"/>
  <c r="CS409" i="16" s="1"/>
  <c r="BN408" i="16"/>
  <c r="CJ408" i="16"/>
  <c r="F62" i="28"/>
  <c r="F62" i="29"/>
  <c r="BQ431" i="16"/>
  <c r="CR431" i="16"/>
  <c r="L44" i="26"/>
  <c r="J51" i="13"/>
  <c r="K61" i="13"/>
  <c r="J46" i="18"/>
  <c r="BR451" i="16"/>
  <c r="J44" i="20" s="1"/>
  <c r="J44" i="33" s="1"/>
  <c r="CS12" i="16"/>
  <c r="CS452" i="16" s="1"/>
  <c r="K62" i="20" s="1"/>
  <c r="K62" i="33" s="1"/>
  <c r="CP195" i="16"/>
  <c r="CN195" i="16"/>
  <c r="H23" i="17"/>
  <c r="AW451" i="16"/>
  <c r="J12" i="20" s="1"/>
  <c r="J12" i="33" s="1"/>
  <c r="CE12" i="16"/>
  <c r="CE452" i="16" s="1"/>
  <c r="K25" i="20" s="1"/>
  <c r="K25" i="33" s="1"/>
  <c r="DB450" i="16"/>
  <c r="I4" i="20"/>
  <c r="I4" i="33" s="1"/>
  <c r="CI365" i="16"/>
  <c r="BM365" i="16"/>
  <c r="I24" i="17"/>
  <c r="CN287" i="16"/>
  <c r="CR233" i="16"/>
  <c r="BQ233" i="16"/>
  <c r="DG240" i="16"/>
  <c r="H30" i="28"/>
  <c r="H30" i="29"/>
  <c r="CC218" i="16"/>
  <c r="DB217" i="16"/>
  <c r="DD217" i="16"/>
  <c r="CD264" i="16"/>
  <c r="CN264" i="16"/>
  <c r="CI103" i="16"/>
  <c r="BM103" i="16"/>
  <c r="H14" i="28"/>
  <c r="H14" i="29"/>
  <c r="CI320" i="16"/>
  <c r="BM320" i="16"/>
  <c r="BS320" i="16"/>
  <c r="CT321" i="16" s="1"/>
  <c r="BW321" i="16"/>
  <c r="CX321" i="16"/>
  <c r="CI232" i="16"/>
  <c r="BM232" i="16"/>
  <c r="BS232" i="16"/>
  <c r="CT233" i="16" s="1"/>
  <c r="H32" i="27"/>
  <c r="H39" i="25"/>
  <c r="H3" i="20"/>
  <c r="H3" i="33" s="1"/>
  <c r="DC449" i="16"/>
  <c r="BQ321" i="16"/>
  <c r="CR321" i="16"/>
  <c r="F20" i="25"/>
  <c r="G20" i="13"/>
  <c r="G28" i="13"/>
  <c r="F18" i="18"/>
  <c r="F18" i="21"/>
  <c r="F63" i="17"/>
  <c r="F73" i="23"/>
  <c r="F73" i="21"/>
  <c r="BV80" i="16"/>
  <c r="CW81" i="16" s="1"/>
  <c r="CK80" i="16"/>
  <c r="BO80" i="16"/>
  <c r="J58" i="25"/>
  <c r="J59" i="18"/>
  <c r="CR57" i="16"/>
  <c r="BQ57" i="16"/>
  <c r="F38" i="26"/>
  <c r="G41" i="10"/>
  <c r="G41" i="33" s="1"/>
  <c r="G39" i="10"/>
  <c r="G39" i="33" s="1"/>
  <c r="CG195" i="16"/>
  <c r="CF12" i="16"/>
  <c r="CF452" i="16" s="1"/>
  <c r="K26" i="20" s="1"/>
  <c r="AX451" i="16"/>
  <c r="J13" i="20" s="1"/>
  <c r="J13" i="33" s="1"/>
  <c r="CH12" i="16"/>
  <c r="CH452" i="16" s="1"/>
  <c r="K28" i="20" s="1"/>
  <c r="BP12" i="16"/>
  <c r="AZ451" i="16"/>
  <c r="J15" i="20" s="1"/>
  <c r="K50" i="27"/>
  <c r="F38" i="25"/>
  <c r="F56" i="18"/>
  <c r="G41" i="13"/>
  <c r="G39" i="13"/>
  <c r="H19" i="17"/>
  <c r="K63" i="13"/>
  <c r="J48" i="18"/>
  <c r="H37" i="17"/>
  <c r="D66" i="17"/>
  <c r="D65" i="28"/>
  <c r="D65" i="29"/>
  <c r="D55" i="28"/>
  <c r="D55" i="29"/>
  <c r="F34" i="25"/>
  <c r="F26" i="18"/>
  <c r="CJ188" i="16"/>
  <c r="BN188" i="16"/>
  <c r="BR188" i="16"/>
  <c r="CS189" i="16" s="1"/>
  <c r="I30" i="17"/>
  <c r="I8" i="23"/>
  <c r="I8" i="21"/>
  <c r="CN173" i="16"/>
  <c r="BR343" i="16"/>
  <c r="CS344" i="16" s="1"/>
  <c r="BN343" i="16"/>
  <c r="CJ343" i="16"/>
  <c r="CK298" i="16"/>
  <c r="BV298" i="16"/>
  <c r="CW299" i="16" s="1"/>
  <c r="BO298" i="16"/>
  <c r="CD287" i="16"/>
  <c r="CI167" i="16"/>
  <c r="BS167" i="16"/>
  <c r="CT168" i="16" s="1"/>
  <c r="BM167" i="16"/>
  <c r="CJ82" i="16"/>
  <c r="F53" i="20"/>
  <c r="F53" i="32" s="1"/>
  <c r="F54" i="23"/>
  <c r="F36" i="17"/>
  <c r="F54" i="21"/>
  <c r="CH218" i="16"/>
  <c r="CB217" i="16"/>
  <c r="DC216" i="16"/>
  <c r="G70" i="13"/>
  <c r="G62" i="25"/>
  <c r="G72" i="18"/>
  <c r="CR343" i="16"/>
  <c r="BQ343" i="16"/>
  <c r="F8" i="28"/>
  <c r="F11" i="17"/>
  <c r="F8" i="29"/>
  <c r="H34" i="20"/>
  <c r="H33" i="23"/>
  <c r="H33" i="21"/>
  <c r="CI144" i="16"/>
  <c r="BS144" i="16"/>
  <c r="CT145" i="16" s="1"/>
  <c r="BM144" i="16"/>
  <c r="H67" i="23"/>
  <c r="I46" i="28"/>
  <c r="I46" i="29"/>
  <c r="BT277" i="16"/>
  <c r="CU277" i="16"/>
  <c r="I58" i="27"/>
  <c r="I58" i="29"/>
  <c r="BS297" i="16"/>
  <c r="CT298" i="16" s="1"/>
  <c r="CI297" i="16"/>
  <c r="BM297" i="16"/>
  <c r="CV277" i="16"/>
  <c r="BU277" i="16"/>
  <c r="G40" i="17"/>
  <c r="CV144" i="16"/>
  <c r="BU144" i="16"/>
  <c r="CR145" i="16"/>
  <c r="BQ145" i="16"/>
  <c r="BN320" i="16"/>
  <c r="CJ320" i="16"/>
  <c r="BR320" i="16"/>
  <c r="CS321" i="16" s="1"/>
  <c r="CJ256" i="16"/>
  <c r="BN256" i="16"/>
  <c r="L9" i="26"/>
  <c r="K11" i="26"/>
  <c r="I15" i="27"/>
  <c r="I16" i="25"/>
  <c r="G53" i="25"/>
  <c r="G37" i="18"/>
  <c r="D6" i="28"/>
  <c r="D6" i="29"/>
  <c r="F19" i="26"/>
  <c r="G19" i="10"/>
  <c r="G19" i="33" s="1"/>
  <c r="G15" i="10"/>
  <c r="G15" i="33" s="1"/>
  <c r="G27" i="10"/>
  <c r="G27" i="33" s="1"/>
  <c r="F6" i="26"/>
  <c r="G14" i="10"/>
  <c r="G14" i="33" s="1"/>
  <c r="F17" i="23"/>
  <c r="BU386" i="16"/>
  <c r="CV386" i="16"/>
  <c r="BS189" i="16"/>
  <c r="CT190" i="16" s="1"/>
  <c r="CI189" i="16"/>
  <c r="BM189" i="16"/>
  <c r="CV451" i="16"/>
  <c r="J65" i="20" s="1"/>
  <c r="AJ195" i="16"/>
  <c r="BD195" i="16" s="1"/>
  <c r="CQ195" i="16"/>
  <c r="CR167" i="16"/>
  <c r="BQ167" i="16"/>
  <c r="DI10" i="16"/>
  <c r="BU451" i="16"/>
  <c r="J47" i="20" s="1"/>
  <c r="CV12" i="16"/>
  <c r="CP12" i="16"/>
  <c r="CP452" i="16" s="1"/>
  <c r="K58" i="20" s="1"/>
  <c r="BU12" i="16"/>
  <c r="BF451" i="16"/>
  <c r="J40" i="20" s="1"/>
  <c r="BD451" i="16"/>
  <c r="J38" i="20" s="1"/>
  <c r="J38" i="33" s="1"/>
  <c r="CN12" i="16"/>
  <c r="CN452" i="16" s="1"/>
  <c r="K56" i="20" s="1"/>
  <c r="BQ12" i="16"/>
  <c r="BG451" i="16"/>
  <c r="J41" i="20" s="1"/>
  <c r="CQ12" i="16"/>
  <c r="CQ452" i="16" s="1"/>
  <c r="K59" i="20" s="1"/>
  <c r="BW12" i="16"/>
  <c r="F53" i="27"/>
  <c r="F53" i="29"/>
  <c r="F37" i="27"/>
  <c r="F37" i="29"/>
  <c r="BV102" i="16"/>
  <c r="CW103" i="16" s="1"/>
  <c r="CK102" i="16"/>
  <c r="BO102" i="16"/>
  <c r="K45" i="13"/>
  <c r="J21" i="13"/>
  <c r="K30" i="13"/>
  <c r="J20" i="18"/>
  <c r="K17" i="13"/>
  <c r="J33" i="18"/>
  <c r="K43" i="13"/>
  <c r="K56" i="13"/>
  <c r="J15" i="25"/>
  <c r="J41" i="18"/>
  <c r="I10" i="27"/>
  <c r="I11" i="25"/>
  <c r="CL145" i="16"/>
  <c r="BX145" i="16"/>
  <c r="CY146" i="16" s="1"/>
  <c r="BP145" i="16"/>
  <c r="F40" i="25"/>
  <c r="F33" i="27"/>
  <c r="F33" i="29"/>
  <c r="CV210" i="16"/>
  <c r="BU210" i="16"/>
  <c r="H7" i="21"/>
  <c r="H13" i="17"/>
  <c r="H7" i="23"/>
  <c r="BN451" i="16"/>
  <c r="J18" i="20" s="1"/>
  <c r="J18" i="33" s="1"/>
  <c r="BR12" i="16"/>
  <c r="CJ12" i="16"/>
  <c r="CQ173" i="16"/>
  <c r="CH173" i="16"/>
  <c r="CD173" i="16"/>
  <c r="DG172" i="16"/>
  <c r="CM173" i="16"/>
  <c r="DF172" i="16"/>
  <c r="CK451" i="16"/>
  <c r="J32" i="20" s="1"/>
  <c r="AD287" i="16"/>
  <c r="AX287" i="16" s="1"/>
  <c r="D38" i="28"/>
  <c r="D38" i="29"/>
  <c r="CO241" i="16"/>
  <c r="CH241" i="16"/>
  <c r="CF241" i="16"/>
  <c r="CD241" i="16"/>
  <c r="F25" i="28"/>
  <c r="BV12" i="16"/>
  <c r="BO451" i="16"/>
  <c r="J19" i="20" s="1"/>
  <c r="CK12" i="16"/>
  <c r="CN218" i="16"/>
  <c r="CQ218" i="16"/>
  <c r="AB218" i="16"/>
  <c r="AV218" i="16" s="1"/>
  <c r="AS217" i="16"/>
  <c r="AA218" i="16"/>
  <c r="AU218" i="16" s="1"/>
  <c r="AI218" i="16"/>
  <c r="BC218" i="16" s="1"/>
  <c r="AK218" i="16"/>
  <c r="BE218" i="16" s="1"/>
  <c r="CO264" i="16"/>
  <c r="CM264" i="16"/>
  <c r="CB263" i="16"/>
  <c r="DC262" i="16"/>
  <c r="G48" i="23"/>
  <c r="G48" i="21"/>
  <c r="G51" i="20"/>
  <c r="G51" i="33" s="1"/>
  <c r="BQ299" i="16"/>
  <c r="CR299" i="16"/>
  <c r="G16" i="17"/>
  <c r="G13" i="28"/>
  <c r="G13" i="29"/>
  <c r="BX451" i="16"/>
  <c r="J50" i="20" s="1"/>
  <c r="I20" i="20"/>
  <c r="I22" i="20" s="1"/>
  <c r="G59" i="29"/>
  <c r="G59" i="27"/>
  <c r="BM386" i="16"/>
  <c r="CI386" i="16"/>
  <c r="BS386" i="16"/>
  <c r="CT387" i="16" s="1"/>
  <c r="J64" i="18"/>
  <c r="F28" i="17"/>
  <c r="BO432" i="16"/>
  <c r="CK432" i="16"/>
  <c r="I20" i="17"/>
  <c r="J59" i="21"/>
  <c r="J58" i="17"/>
  <c r="J58" i="28" s="1"/>
  <c r="J59" i="23"/>
  <c r="CT10" i="16"/>
  <c r="CT450" i="16" s="1"/>
  <c r="I63" i="20" s="1"/>
  <c r="I63" i="33" s="1"/>
  <c r="BS449" i="16"/>
  <c r="H45" i="20" s="1"/>
  <c r="H45" i="33" s="1"/>
  <c r="E28" i="29"/>
  <c r="E28" i="27"/>
  <c r="BQ211" i="16"/>
  <c r="CR211" i="16"/>
  <c r="I50" i="28"/>
  <c r="I50" i="29"/>
  <c r="BV210" i="16"/>
  <c r="CW211" i="16" s="1"/>
  <c r="BO210" i="16"/>
  <c r="CK210" i="16"/>
  <c r="CI209" i="16"/>
  <c r="BS209" i="16"/>
  <c r="CT210" i="16" s="1"/>
  <c r="BM209" i="16"/>
  <c r="CV409" i="16"/>
  <c r="BU409" i="16"/>
  <c r="CV188" i="16"/>
  <c r="BU188" i="16"/>
  <c r="BO409" i="16"/>
  <c r="CK409" i="16"/>
  <c r="BV409" i="16"/>
  <c r="CW410" i="16" s="1"/>
  <c r="I9" i="17"/>
  <c r="I15" i="23"/>
  <c r="I15" i="21"/>
  <c r="J58" i="23"/>
  <c r="J58" i="21"/>
  <c r="J57" i="17"/>
  <c r="J57" i="28" s="1"/>
  <c r="BW167" i="16"/>
  <c r="CX167" i="16"/>
  <c r="CU188" i="16"/>
  <c r="BT188" i="16"/>
  <c r="I51" i="28"/>
  <c r="I51" i="29"/>
  <c r="E6" i="27"/>
  <c r="E34" i="27"/>
  <c r="BN364" i="16"/>
  <c r="CJ364" i="16"/>
  <c r="BR364" i="16"/>
  <c r="CS365" i="16" s="1"/>
  <c r="F54" i="17"/>
  <c r="F38" i="21"/>
  <c r="F38" i="23"/>
  <c r="CJ276" i="16"/>
  <c r="BR276" i="16"/>
  <c r="CS277" i="16" s="1"/>
  <c r="BN276" i="16"/>
  <c r="CX366" i="16"/>
  <c r="BW366" i="16"/>
  <c r="CV124" i="16"/>
  <c r="BU124" i="16"/>
  <c r="H47" i="17"/>
  <c r="H13" i="21"/>
  <c r="H13" i="23"/>
  <c r="H40" i="21"/>
  <c r="H40" i="23"/>
  <c r="H10" i="17"/>
  <c r="H69" i="20"/>
  <c r="Z218" i="16" l="1"/>
  <c r="AT218" i="16" s="1"/>
  <c r="AM218" i="16"/>
  <c r="BG218" i="16" s="1"/>
  <c r="AG195" i="16"/>
  <c r="BA195" i="16" s="1"/>
  <c r="DJ240" i="16"/>
  <c r="DG309" i="16"/>
  <c r="AS263" i="16"/>
  <c r="AH218" i="16"/>
  <c r="BB218" i="16" s="1"/>
  <c r="DK218" i="16" s="1"/>
  <c r="AJ218" i="16"/>
  <c r="BD218" i="16" s="1"/>
  <c r="DF218" i="16" s="1"/>
  <c r="AM195" i="16"/>
  <c r="BG195" i="16" s="1"/>
  <c r="DB263" i="16"/>
  <c r="DB194" i="16"/>
  <c r="CP241" i="16"/>
  <c r="BT80" i="16"/>
  <c r="CH264" i="16"/>
  <c r="AD241" i="16"/>
  <c r="AX241" i="16" s="1"/>
  <c r="DG194" i="16"/>
  <c r="DF286" i="16"/>
  <c r="Z264" i="16"/>
  <c r="AT264" i="16" s="1"/>
  <c r="CC241" i="16"/>
  <c r="DK194" i="16"/>
  <c r="DB309" i="16"/>
  <c r="DD240" i="16"/>
  <c r="DD194" i="16"/>
  <c r="DH194" i="16" s="1"/>
  <c r="DH308" i="16"/>
  <c r="DE263" i="16"/>
  <c r="AH287" i="16"/>
  <c r="BB287" i="16" s="1"/>
  <c r="DF194" i="16"/>
  <c r="DD286" i="16"/>
  <c r="DH286" i="16" s="1"/>
  <c r="AL218" i="16"/>
  <c r="BF218" i="16" s="1"/>
  <c r="AK287" i="16"/>
  <c r="BE287" i="16" s="1"/>
  <c r="AS240" i="16"/>
  <c r="DC240" i="16" s="1"/>
  <c r="AN264" i="16"/>
  <c r="BH264" i="16" s="1"/>
  <c r="Y218" i="16"/>
  <c r="AO218" i="16"/>
  <c r="BI218" i="16" s="1"/>
  <c r="AG218" i="16"/>
  <c r="BA218" i="16" s="1"/>
  <c r="DC239" i="16"/>
  <c r="AC287" i="16"/>
  <c r="AW287" i="16" s="1"/>
  <c r="AN218" i="16"/>
  <c r="BH218" i="16" s="1"/>
  <c r="AD218" i="16"/>
  <c r="AX218" i="16" s="1"/>
  <c r="DB218" i="16" s="1"/>
  <c r="AE218" i="16"/>
  <c r="AY218" i="16" s="1"/>
  <c r="DD218" i="16" s="1"/>
  <c r="AC218" i="16"/>
  <c r="AW218" i="16" s="1"/>
  <c r="CE219" i="16" s="1"/>
  <c r="AE287" i="16"/>
  <c r="AY287" i="16" s="1"/>
  <c r="AE195" i="16"/>
  <c r="AY195" i="16" s="1"/>
  <c r="CG196" i="16" s="1"/>
  <c r="AM241" i="16"/>
  <c r="BG241" i="16" s="1"/>
  <c r="CQ242" i="16" s="1"/>
  <c r="BS431" i="16"/>
  <c r="CT432" i="16" s="1"/>
  <c r="J14" i="27"/>
  <c r="DD309" i="16"/>
  <c r="DH309" i="16" s="1"/>
  <c r="DG263" i="16"/>
  <c r="DH263" i="16" s="1"/>
  <c r="DB286" i="16"/>
  <c r="AK195" i="16"/>
  <c r="BE195" i="16" s="1"/>
  <c r="DJ286" i="16"/>
  <c r="AF287" i="16"/>
  <c r="AZ287" i="16" s="1"/>
  <c r="AJ287" i="16"/>
  <c r="BD287" i="16" s="1"/>
  <c r="AA195" i="16"/>
  <c r="AU195" i="16" s="1"/>
  <c r="CD196" i="16" s="1"/>
  <c r="AB195" i="16"/>
  <c r="AV195" i="16" s="1"/>
  <c r="CM241" i="16"/>
  <c r="AI241" i="16"/>
  <c r="BC241" i="16" s="1"/>
  <c r="AK241" i="16"/>
  <c r="BE241" i="16" s="1"/>
  <c r="AJ241" i="16"/>
  <c r="BD241" i="16" s="1"/>
  <c r="DE194" i="16"/>
  <c r="DI194" i="16" s="1"/>
  <c r="AM264" i="16"/>
  <c r="BG264" i="16" s="1"/>
  <c r="AC264" i="16"/>
  <c r="AW264" i="16" s="1"/>
  <c r="CE265" i="16" s="1"/>
  <c r="AK264" i="16"/>
  <c r="BE264" i="16" s="1"/>
  <c r="DE264" i="16" s="1"/>
  <c r="Z287" i="16"/>
  <c r="AT287" i="16" s="1"/>
  <c r="DB287" i="16" s="1"/>
  <c r="AH195" i="16"/>
  <c r="BB195" i="16" s="1"/>
  <c r="Z195" i="16"/>
  <c r="AT195" i="16" s="1"/>
  <c r="AL195" i="16"/>
  <c r="BF195" i="16" s="1"/>
  <c r="DE195" i="16" s="1"/>
  <c r="DC193" i="16"/>
  <c r="DE286" i="16"/>
  <c r="CG241" i="16"/>
  <c r="AN241" i="16"/>
  <c r="BH241" i="16" s="1"/>
  <c r="AA241" i="16"/>
  <c r="AU241" i="16" s="1"/>
  <c r="CD242" i="16" s="1"/>
  <c r="AO241" i="16"/>
  <c r="BI241" i="16" s="1"/>
  <c r="AL241" i="16"/>
  <c r="BF241" i="16" s="1"/>
  <c r="CC287" i="16"/>
  <c r="AF264" i="16"/>
  <c r="AZ264" i="16" s="1"/>
  <c r="CH265" i="16" s="1"/>
  <c r="AI264" i="16"/>
  <c r="BC264" i="16" s="1"/>
  <c r="AJ264" i="16"/>
  <c r="BD264" i="16" s="1"/>
  <c r="AD264" i="16"/>
  <c r="AX264" i="16" s="1"/>
  <c r="DB264" i="16" s="1"/>
  <c r="AG264" i="16"/>
  <c r="BA264" i="16" s="1"/>
  <c r="BX432" i="16"/>
  <c r="CY433" i="16" s="1"/>
  <c r="DJ263" i="16"/>
  <c r="AN287" i="16"/>
  <c r="BH287" i="16" s="1"/>
  <c r="AG287" i="16"/>
  <c r="BA287" i="16" s="1"/>
  <c r="AO287" i="16"/>
  <c r="BI287" i="16" s="1"/>
  <c r="AN195" i="16"/>
  <c r="BH195" i="16" s="1"/>
  <c r="AC195" i="16"/>
  <c r="AW195" i="16" s="1"/>
  <c r="CE196" i="16" s="1"/>
  <c r="AC241" i="16"/>
  <c r="AW241" i="16" s="1"/>
  <c r="CE242" i="16" s="1"/>
  <c r="Y241" i="16"/>
  <c r="AO264" i="16"/>
  <c r="BI264" i="16" s="1"/>
  <c r="AE264" i="16"/>
  <c r="AY264" i="16" s="1"/>
  <c r="CG265" i="16" s="1"/>
  <c r="AB287" i="16"/>
  <c r="AV287" i="16" s="1"/>
  <c r="DJ287" i="16" s="1"/>
  <c r="AI287" i="16"/>
  <c r="BC287" i="16" s="1"/>
  <c r="AS286" i="16"/>
  <c r="CB287" i="16" s="1"/>
  <c r="AA287" i="16"/>
  <c r="AU287" i="16" s="1"/>
  <c r="BN82" i="16"/>
  <c r="CJ83" i="16" s="1"/>
  <c r="AD195" i="16"/>
  <c r="AX195" i="16" s="1"/>
  <c r="Y195" i="16"/>
  <c r="Y287" i="16"/>
  <c r="AS287" i="16" s="1"/>
  <c r="AM287" i="16"/>
  <c r="BG287" i="16" s="1"/>
  <c r="DE287" i="16" s="1"/>
  <c r="AL287" i="16"/>
  <c r="BF287" i="16" s="1"/>
  <c r="AF195" i="16"/>
  <c r="AZ195" i="16" s="1"/>
  <c r="AI195" i="16"/>
  <c r="BC195" i="16" s="1"/>
  <c r="CM196" i="16" s="1"/>
  <c r="AO195" i="16"/>
  <c r="BI195" i="16" s="1"/>
  <c r="AS194" i="16"/>
  <c r="AG241" i="16"/>
  <c r="BA241" i="16" s="1"/>
  <c r="Z241" i="16"/>
  <c r="AT241" i="16" s="1"/>
  <c r="CC242" i="16" s="1"/>
  <c r="AB241" i="16"/>
  <c r="AV241" i="16" s="1"/>
  <c r="DJ241" i="16" s="1"/>
  <c r="AH264" i="16"/>
  <c r="BB264" i="16" s="1"/>
  <c r="AL264" i="16"/>
  <c r="BF264" i="16" s="1"/>
  <c r="AB264" i="16"/>
  <c r="AV264" i="16" s="1"/>
  <c r="DK264" i="16" s="1"/>
  <c r="BV36" i="16"/>
  <c r="CW37" i="16" s="1"/>
  <c r="BS103" i="16"/>
  <c r="CT104" i="16" s="1"/>
  <c r="BS365" i="16"/>
  <c r="CT366" i="16" s="1"/>
  <c r="DH126" i="16"/>
  <c r="BV145" i="16"/>
  <c r="CW146" i="16" s="1"/>
  <c r="L10" i="26"/>
  <c r="CX103" i="16"/>
  <c r="BN58" i="16"/>
  <c r="BR59" i="16" s="1"/>
  <c r="CS60" i="16" s="1"/>
  <c r="M37" i="10"/>
  <c r="M10" i="26" s="1"/>
  <c r="BR256" i="16"/>
  <c r="CS257" i="16" s="1"/>
  <c r="I65" i="13"/>
  <c r="I65" i="32" s="1"/>
  <c r="M25" i="10"/>
  <c r="M50" i="26" s="1"/>
  <c r="DI80" i="16"/>
  <c r="F25" i="29"/>
  <c r="DJ127" i="16"/>
  <c r="DH103" i="16"/>
  <c r="DB104" i="16"/>
  <c r="DD104" i="16"/>
  <c r="BX191" i="16"/>
  <c r="CY192" i="16" s="1"/>
  <c r="CC105" i="16"/>
  <c r="CW452" i="16"/>
  <c r="K66" i="20" s="1"/>
  <c r="BV277" i="16"/>
  <c r="CW278" i="16" s="1"/>
  <c r="L13" i="13"/>
  <c r="L14" i="25" s="1"/>
  <c r="DI149" i="16"/>
  <c r="CG105" i="16"/>
  <c r="K14" i="25"/>
  <c r="BV343" i="16"/>
  <c r="CW344" i="16" s="1"/>
  <c r="DJ81" i="16"/>
  <c r="BX59" i="16"/>
  <c r="CY60" i="16" s="1"/>
  <c r="L28" i="18"/>
  <c r="DG127" i="16"/>
  <c r="AG128" i="16"/>
  <c r="BA128" i="16" s="1"/>
  <c r="BP59" i="16"/>
  <c r="BX60" i="16" s="1"/>
  <c r="CY61" i="16" s="1"/>
  <c r="CB150" i="16"/>
  <c r="DD81" i="16"/>
  <c r="DH149" i="16"/>
  <c r="DH80" i="16"/>
  <c r="K9" i="33"/>
  <c r="L25" i="31"/>
  <c r="E64" i="29"/>
  <c r="K12" i="18"/>
  <c r="DF81" i="16"/>
  <c r="DI57" i="16"/>
  <c r="DJ104" i="16"/>
  <c r="DB127" i="16"/>
  <c r="DE127" i="16"/>
  <c r="DB81" i="16"/>
  <c r="BS36" i="16"/>
  <c r="CT37" i="16" s="1"/>
  <c r="AN128" i="16"/>
  <c r="BH128" i="16" s="1"/>
  <c r="AN105" i="16"/>
  <c r="BH105" i="16" s="1"/>
  <c r="AK82" i="16"/>
  <c r="BE82" i="16" s="1"/>
  <c r="CO83" i="16" s="1"/>
  <c r="AK105" i="16"/>
  <c r="BE105" i="16" s="1"/>
  <c r="CO106" i="16" s="1"/>
  <c r="DF127" i="16"/>
  <c r="DK127" i="16"/>
  <c r="AC128" i="16"/>
  <c r="AW128" i="16" s="1"/>
  <c r="CE129" i="16" s="1"/>
  <c r="AF128" i="16"/>
  <c r="AZ128" i="16" s="1"/>
  <c r="CH129" i="16" s="1"/>
  <c r="H60" i="25"/>
  <c r="H60" i="29" s="1"/>
  <c r="CN128" i="16"/>
  <c r="BP82" i="16"/>
  <c r="BR126" i="16"/>
  <c r="CS127" i="16" s="1"/>
  <c r="Z105" i="16"/>
  <c r="AT105" i="16" s="1"/>
  <c r="CC106" i="16" s="1"/>
  <c r="CF82" i="16"/>
  <c r="H50" i="21"/>
  <c r="DD127" i="16"/>
  <c r="Z128" i="16"/>
  <c r="AT128" i="16" s="1"/>
  <c r="CC129" i="16" s="1"/>
  <c r="CN82" i="16"/>
  <c r="AE105" i="16"/>
  <c r="AY105" i="16" s="1"/>
  <c r="CG106" i="16" s="1"/>
  <c r="AL105" i="16"/>
  <c r="BF105" i="16" s="1"/>
  <c r="CP106" i="16" s="1"/>
  <c r="DE81" i="16"/>
  <c r="DK104" i="16"/>
  <c r="CY81" i="16"/>
  <c r="BX81" i="16"/>
  <c r="CY82" i="16" s="1"/>
  <c r="I68" i="23"/>
  <c r="M25" i="13"/>
  <c r="G35" i="13"/>
  <c r="G35" i="32" s="1"/>
  <c r="L15" i="18"/>
  <c r="G55" i="18"/>
  <c r="L44" i="10"/>
  <c r="M62" i="10" s="1"/>
  <c r="L12" i="31"/>
  <c r="H58" i="31"/>
  <c r="DK35" i="16"/>
  <c r="DE150" i="16"/>
  <c r="BV233" i="16"/>
  <c r="CW234" i="16" s="1"/>
  <c r="BO233" i="16"/>
  <c r="CK233" i="16"/>
  <c r="AM128" i="16"/>
  <c r="BG128" i="16" s="1"/>
  <c r="CQ129" i="16" s="1"/>
  <c r="AE128" i="16"/>
  <c r="AY128" i="16" s="1"/>
  <c r="AH128" i="16"/>
  <c r="BB128" i="16" s="1"/>
  <c r="DG104" i="16"/>
  <c r="DH104" i="16" s="1"/>
  <c r="AG105" i="16"/>
  <c r="BA105" i="16" s="1"/>
  <c r="AM105" i="16"/>
  <c r="BG105" i="16" s="1"/>
  <c r="AF105" i="16"/>
  <c r="AZ105" i="16" s="1"/>
  <c r="H67" i="32"/>
  <c r="AL82" i="16"/>
  <c r="BF82" i="16" s="1"/>
  <c r="CP83" i="16" s="1"/>
  <c r="L10" i="18"/>
  <c r="K56" i="33"/>
  <c r="AO128" i="16"/>
  <c r="BI128" i="16" s="1"/>
  <c r="AA128" i="16"/>
  <c r="AU128" i="16" s="1"/>
  <c r="CD129" i="16" s="1"/>
  <c r="Y128" i="16"/>
  <c r="AL128" i="16"/>
  <c r="BF128" i="16" s="1"/>
  <c r="CP129" i="16" s="1"/>
  <c r="DF104" i="16"/>
  <c r="H61" i="21"/>
  <c r="DE104" i="16"/>
  <c r="AH105" i="16"/>
  <c r="BB105" i="16" s="1"/>
  <c r="AD105" i="16"/>
  <c r="AX105" i="16" s="1"/>
  <c r="CF106" i="16" s="1"/>
  <c r="AB105" i="16"/>
  <c r="AV105" i="16" s="1"/>
  <c r="AO105" i="16"/>
  <c r="BI105" i="16" s="1"/>
  <c r="AA105" i="16"/>
  <c r="AU105" i="16" s="1"/>
  <c r="CD106" i="16" s="1"/>
  <c r="BV59" i="16"/>
  <c r="CW60" i="16" s="1"/>
  <c r="AD82" i="16"/>
  <c r="AX82" i="16" s="1"/>
  <c r="CF83" i="16" s="1"/>
  <c r="AH82" i="16"/>
  <c r="BB82" i="16" s="1"/>
  <c r="DG81" i="16"/>
  <c r="DC126" i="16"/>
  <c r="M12" i="13"/>
  <c r="N25" i="13" s="1"/>
  <c r="H58" i="32"/>
  <c r="L10" i="13"/>
  <c r="L47" i="25" s="1"/>
  <c r="L48" i="25" s="1"/>
  <c r="DD150" i="16"/>
  <c r="BW36" i="16"/>
  <c r="CX37" i="16" s="1"/>
  <c r="AK128" i="16"/>
  <c r="BE128" i="16" s="1"/>
  <c r="AJ128" i="16"/>
  <c r="BD128" i="16" s="1"/>
  <c r="CN129" i="16" s="1"/>
  <c r="AI128" i="16"/>
  <c r="BC128" i="16" s="1"/>
  <c r="CM129" i="16" s="1"/>
  <c r="AD128" i="16"/>
  <c r="AX128" i="16" s="1"/>
  <c r="CF129" i="16" s="1"/>
  <c r="AB128" i="16"/>
  <c r="AV128" i="16" s="1"/>
  <c r="H70" i="18"/>
  <c r="L50" i="25"/>
  <c r="L50" i="27" s="1"/>
  <c r="Y105" i="16"/>
  <c r="AS105" i="16" s="1"/>
  <c r="AC105" i="16"/>
  <c r="AW105" i="16" s="1"/>
  <c r="CE106" i="16" s="1"/>
  <c r="AI105" i="16"/>
  <c r="BC105" i="16" s="1"/>
  <c r="CM106" i="16" s="1"/>
  <c r="AJ105" i="16"/>
  <c r="BD105" i="16" s="1"/>
  <c r="CN106" i="16" s="1"/>
  <c r="CY453" i="16"/>
  <c r="L68" i="20" s="1"/>
  <c r="BR168" i="16"/>
  <c r="CS169" i="16" s="1"/>
  <c r="AJ82" i="16"/>
  <c r="BD82" i="16" s="1"/>
  <c r="CN83" i="16" s="1"/>
  <c r="I39" i="26"/>
  <c r="H47" i="32"/>
  <c r="K31" i="31"/>
  <c r="K46" i="26"/>
  <c r="K46" i="27" s="1"/>
  <c r="K21" i="10"/>
  <c r="K32" i="26" s="1"/>
  <c r="BX234" i="16"/>
  <c r="CY235" i="16" s="1"/>
  <c r="CL234" i="16"/>
  <c r="BP234" i="16"/>
  <c r="AG82" i="16"/>
  <c r="BA82" i="16" s="1"/>
  <c r="AO82" i="16"/>
  <c r="BI82" i="16" s="1"/>
  <c r="AJ151" i="16"/>
  <c r="BD151" i="16" s="1"/>
  <c r="CN152" i="16" s="1"/>
  <c r="L8" i="25"/>
  <c r="L8" i="27" s="1"/>
  <c r="L30" i="25"/>
  <c r="CQ36" i="16"/>
  <c r="BR36" i="16"/>
  <c r="CS37" i="16" s="1"/>
  <c r="AN82" i="16"/>
  <c r="BH82" i="16" s="1"/>
  <c r="AF82" i="16"/>
  <c r="AZ82" i="16" s="1"/>
  <c r="CH83" i="16" s="1"/>
  <c r="AE82" i="16"/>
  <c r="AY82" i="16" s="1"/>
  <c r="CG83" i="16" s="1"/>
  <c r="AI82" i="16"/>
  <c r="BC82" i="16" s="1"/>
  <c r="AB82" i="16"/>
  <c r="AV82" i="16" s="1"/>
  <c r="G61" i="29"/>
  <c r="M3" i="13"/>
  <c r="M3" i="31" s="1"/>
  <c r="CP82" i="16"/>
  <c r="L7" i="31"/>
  <c r="DH34" i="16"/>
  <c r="DI34" i="16"/>
  <c r="DK150" i="16"/>
  <c r="DK81" i="16"/>
  <c r="AC82" i="16"/>
  <c r="AW82" i="16" s="1"/>
  <c r="CE83" i="16" s="1"/>
  <c r="L6" i="18"/>
  <c r="L3" i="31"/>
  <c r="DI240" i="16"/>
  <c r="H50" i="18"/>
  <c r="BS59" i="16"/>
  <c r="CT60" i="16" s="1"/>
  <c r="Z82" i="16"/>
  <c r="AT82" i="16" s="1"/>
  <c r="AM82" i="16"/>
  <c r="BG82" i="16" s="1"/>
  <c r="Y82" i="16"/>
  <c r="AS82" i="16" s="1"/>
  <c r="AA82" i="16"/>
  <c r="AU82" i="16" s="1"/>
  <c r="CD83" i="16" s="1"/>
  <c r="DF150" i="16"/>
  <c r="BQ36" i="16"/>
  <c r="CR37" i="16" s="1"/>
  <c r="H67" i="31"/>
  <c r="G52" i="32"/>
  <c r="K18" i="31"/>
  <c r="J48" i="26"/>
  <c r="J48" i="27" s="1"/>
  <c r="G37" i="25"/>
  <c r="G37" i="27" s="1"/>
  <c r="L18" i="10"/>
  <c r="K21" i="18"/>
  <c r="G53" i="13"/>
  <c r="H41" i="13" s="1"/>
  <c r="G52" i="31"/>
  <c r="BP36" i="16"/>
  <c r="BX37" i="16" s="1"/>
  <c r="CY38" i="16" s="1"/>
  <c r="L62" i="13"/>
  <c r="L65" i="18" s="1"/>
  <c r="L44" i="13"/>
  <c r="M62" i="13" s="1"/>
  <c r="DF58" i="16"/>
  <c r="DB35" i="16"/>
  <c r="H69" i="13"/>
  <c r="H69" i="31" s="1"/>
  <c r="Y151" i="16"/>
  <c r="BW59" i="16"/>
  <c r="CX60" i="16" s="1"/>
  <c r="K44" i="31"/>
  <c r="CI125" i="16"/>
  <c r="BS125" i="16"/>
  <c r="CT126" i="16" s="1"/>
  <c r="BM125" i="16"/>
  <c r="CO151" i="16"/>
  <c r="M18" i="13"/>
  <c r="M31" i="13"/>
  <c r="AN151" i="16"/>
  <c r="BH151" i="16" s="1"/>
  <c r="AK151" i="16"/>
  <c r="BE151" i="16" s="1"/>
  <c r="CO152" i="16" s="1"/>
  <c r="BM36" i="16"/>
  <c r="K47" i="18"/>
  <c r="DJ150" i="16"/>
  <c r="K8" i="18"/>
  <c r="CW431" i="16"/>
  <c r="BV431" i="16"/>
  <c r="AH151" i="16"/>
  <c r="BB151" i="16" s="1"/>
  <c r="E6" i="29"/>
  <c r="F76" i="23"/>
  <c r="F78" i="23" s="1"/>
  <c r="AN59" i="16"/>
  <c r="BH59" i="16" s="1"/>
  <c r="CM151" i="16"/>
  <c r="DB150" i="16"/>
  <c r="DH57" i="16"/>
  <c r="F53" i="33"/>
  <c r="H69" i="33"/>
  <c r="DJ35" i="16"/>
  <c r="AB59" i="16"/>
  <c r="AV59" i="16" s="1"/>
  <c r="L56" i="10"/>
  <c r="K15" i="26"/>
  <c r="K51" i="26"/>
  <c r="K51" i="27" s="1"/>
  <c r="K26" i="33"/>
  <c r="K26" i="31"/>
  <c r="K29" i="18"/>
  <c r="DG150" i="16"/>
  <c r="J47" i="27"/>
  <c r="L43" i="10"/>
  <c r="M61" i="10" s="1"/>
  <c r="G31" i="23"/>
  <c r="G28" i="33"/>
  <c r="AD151" i="16"/>
  <c r="AX151" i="16" s="1"/>
  <c r="AA151" i="16"/>
  <c r="AU151" i="16" s="1"/>
  <c r="CD152" i="16" s="1"/>
  <c r="AF151" i="16"/>
  <c r="AZ151" i="16" s="1"/>
  <c r="CH152" i="16" s="1"/>
  <c r="G63" i="26"/>
  <c r="G64" i="26" s="1"/>
  <c r="G70" i="33"/>
  <c r="DD58" i="16"/>
  <c r="L63" i="10"/>
  <c r="K13" i="26"/>
  <c r="L13" i="10"/>
  <c r="L4" i="10"/>
  <c r="L4" i="31" s="1"/>
  <c r="L5" i="10"/>
  <c r="K7" i="18"/>
  <c r="L8" i="10"/>
  <c r="J13" i="27"/>
  <c r="J16" i="26"/>
  <c r="I47" i="27"/>
  <c r="I48" i="26"/>
  <c r="I48" i="27" s="1"/>
  <c r="BN36" i="16"/>
  <c r="CJ37" i="16" s="1"/>
  <c r="F76" i="18"/>
  <c r="F78" i="18" s="1"/>
  <c r="AE59" i="16"/>
  <c r="AY59" i="16" s="1"/>
  <c r="CG60" i="16" s="1"/>
  <c r="CN151" i="16"/>
  <c r="G38" i="26"/>
  <c r="AB151" i="16"/>
  <c r="AV151" i="16" s="1"/>
  <c r="AE151" i="16"/>
  <c r="AY151" i="16" s="1"/>
  <c r="CG152" i="16" s="1"/>
  <c r="AM151" i="16"/>
  <c r="BG151" i="16" s="1"/>
  <c r="AL151" i="16"/>
  <c r="BF151" i="16" s="1"/>
  <c r="CP152" i="16" s="1"/>
  <c r="AH36" i="16"/>
  <c r="BB36" i="16" s="1"/>
  <c r="L34" i="18"/>
  <c r="K51" i="10"/>
  <c r="K36" i="26" s="1"/>
  <c r="BO59" i="16"/>
  <c r="J61" i="32"/>
  <c r="CV102" i="16"/>
  <c r="BU102" i="16"/>
  <c r="F55" i="26"/>
  <c r="F65" i="26"/>
  <c r="F66" i="26" s="1"/>
  <c r="K45" i="26"/>
  <c r="K45" i="27" s="1"/>
  <c r="K8" i="33"/>
  <c r="K11" i="18"/>
  <c r="K8" i="31"/>
  <c r="K10" i="10"/>
  <c r="F23" i="33"/>
  <c r="L17" i="10"/>
  <c r="L38" i="10"/>
  <c r="L26" i="10"/>
  <c r="L26" i="31" s="1"/>
  <c r="K14" i="26"/>
  <c r="K16" i="18"/>
  <c r="M57" i="26"/>
  <c r="AL59" i="16"/>
  <c r="BF59" i="16" s="1"/>
  <c r="CP60" i="16" s="1"/>
  <c r="Z151" i="16"/>
  <c r="AT151" i="16" s="1"/>
  <c r="CC152" i="16" s="1"/>
  <c r="AI151" i="16"/>
  <c r="BC151" i="16" s="1"/>
  <c r="CM152" i="16" s="1"/>
  <c r="AD36" i="16"/>
  <c r="AX36" i="16" s="1"/>
  <c r="CF37" i="16" s="1"/>
  <c r="AO151" i="16"/>
  <c r="BI151" i="16" s="1"/>
  <c r="AC151" i="16"/>
  <c r="AW151" i="16" s="1"/>
  <c r="CE152" i="16" s="1"/>
  <c r="AG151" i="16"/>
  <c r="BA151" i="16" s="1"/>
  <c r="DG35" i="16"/>
  <c r="DE58" i="16"/>
  <c r="AL36" i="16"/>
  <c r="BF36" i="16" s="1"/>
  <c r="CP37" i="16" s="1"/>
  <c r="K13" i="31"/>
  <c r="DE35" i="16"/>
  <c r="BU234" i="16"/>
  <c r="CV234" i="16"/>
  <c r="L9" i="10"/>
  <c r="K30" i="26"/>
  <c r="K30" i="27" s="1"/>
  <c r="L45" i="10"/>
  <c r="L30" i="10"/>
  <c r="BU58" i="16"/>
  <c r="CV59" i="16" s="1"/>
  <c r="BX256" i="16"/>
  <c r="CY257" i="16" s="1"/>
  <c r="CL256" i="16"/>
  <c r="BP256" i="16"/>
  <c r="K4" i="31"/>
  <c r="I69" i="20"/>
  <c r="I70" i="20" s="1"/>
  <c r="I63" i="32"/>
  <c r="G51" i="32"/>
  <c r="G41" i="32"/>
  <c r="K26" i="32"/>
  <c r="DK173" i="16"/>
  <c r="K55" i="32"/>
  <c r="K9" i="32"/>
  <c r="G15" i="32"/>
  <c r="K8" i="32"/>
  <c r="J38" i="32"/>
  <c r="CL322" i="16"/>
  <c r="BX322" i="16"/>
  <c r="CY323" i="16" s="1"/>
  <c r="BP322" i="16"/>
  <c r="BO321" i="16"/>
  <c r="CK321" i="16"/>
  <c r="BV321" i="16"/>
  <c r="CW322" i="16" s="1"/>
  <c r="J43" i="32"/>
  <c r="CY212" i="16"/>
  <c r="BX212" i="16"/>
  <c r="L51" i="25"/>
  <c r="I15" i="29"/>
  <c r="K25" i="32"/>
  <c r="BU36" i="16"/>
  <c r="CV37" i="16" s="1"/>
  <c r="H17" i="32"/>
  <c r="M5" i="13"/>
  <c r="M30" i="25" s="1"/>
  <c r="AC36" i="16"/>
  <c r="AW36" i="16" s="1"/>
  <c r="CE37" i="16" s="1"/>
  <c r="AF36" i="16"/>
  <c r="AZ36" i="16" s="1"/>
  <c r="CH37" i="16" s="1"/>
  <c r="F76" i="21"/>
  <c r="F78" i="21" s="1"/>
  <c r="G27" i="32"/>
  <c r="CU256" i="16"/>
  <c r="BT256" i="16"/>
  <c r="BP300" i="16"/>
  <c r="CL300" i="16"/>
  <c r="BX300" i="16"/>
  <c r="CY301" i="16" s="1"/>
  <c r="J18" i="32"/>
  <c r="K56" i="32"/>
  <c r="G70" i="32"/>
  <c r="G28" i="32"/>
  <c r="H3" i="32"/>
  <c r="J12" i="32"/>
  <c r="K62" i="32"/>
  <c r="I10" i="32"/>
  <c r="G21" i="32"/>
  <c r="AJ59" i="16"/>
  <c r="BD59" i="16" s="1"/>
  <c r="BN103" i="16"/>
  <c r="CJ103" i="16"/>
  <c r="BR103" i="16"/>
  <c r="CS104" i="16" s="1"/>
  <c r="H45" i="32"/>
  <c r="L45" i="25"/>
  <c r="AH59" i="16"/>
  <c r="BB59" i="16" s="1"/>
  <c r="G39" i="32"/>
  <c r="J13" i="32"/>
  <c r="G20" i="32"/>
  <c r="I4" i="32"/>
  <c r="J44" i="32"/>
  <c r="I37" i="32"/>
  <c r="I30" i="32"/>
  <c r="L13" i="25"/>
  <c r="J5" i="32"/>
  <c r="J31" i="32"/>
  <c r="G14" i="32"/>
  <c r="G19" i="32"/>
  <c r="I43" i="32"/>
  <c r="M4" i="13"/>
  <c r="J7" i="32"/>
  <c r="DJ58" i="16"/>
  <c r="DK58" i="16"/>
  <c r="BX388" i="16"/>
  <c r="CY389" i="16" s="1"/>
  <c r="BP388" i="16"/>
  <c r="CL388" i="16"/>
  <c r="BP433" i="16"/>
  <c r="BX433" i="16"/>
  <c r="CY434" i="16" s="1"/>
  <c r="CL433" i="16"/>
  <c r="G20" i="31"/>
  <c r="BO255" i="16"/>
  <c r="CK255" i="16"/>
  <c r="BV255" i="16"/>
  <c r="CW256" i="16" s="1"/>
  <c r="BW255" i="16"/>
  <c r="CX255" i="16"/>
  <c r="BT366" i="16"/>
  <c r="CU366" i="16"/>
  <c r="CU103" i="16"/>
  <c r="BT103" i="16"/>
  <c r="BP278" i="16"/>
  <c r="CL278" i="16"/>
  <c r="BX278" i="16"/>
  <c r="CY279" i="16" s="1"/>
  <c r="CU431" i="16"/>
  <c r="BT431" i="16"/>
  <c r="BR299" i="16"/>
  <c r="CS300" i="16" s="1"/>
  <c r="CJ299" i="16"/>
  <c r="BN299" i="16"/>
  <c r="BT167" i="16"/>
  <c r="CU167" i="16"/>
  <c r="BT410" i="16"/>
  <c r="CU410" i="16"/>
  <c r="DD287" i="16"/>
  <c r="K45" i="31"/>
  <c r="DD35" i="16"/>
  <c r="AK59" i="16"/>
  <c r="BE59" i="16" s="1"/>
  <c r="CO60" i="16" s="1"/>
  <c r="AA59" i="16"/>
  <c r="AU59" i="16" s="1"/>
  <c r="CD60" i="16" s="1"/>
  <c r="AC59" i="16"/>
  <c r="AW59" i="16" s="1"/>
  <c r="CE60" i="16" s="1"/>
  <c r="K55" i="31"/>
  <c r="AE36" i="16"/>
  <c r="AY36" i="16" s="1"/>
  <c r="CG37" i="16" s="1"/>
  <c r="AK36" i="16"/>
  <c r="BE36" i="16" s="1"/>
  <c r="CO37" i="16" s="1"/>
  <c r="AO36" i="16"/>
  <c r="BI36" i="16" s="1"/>
  <c r="CX452" i="16"/>
  <c r="K67" i="20" s="1"/>
  <c r="CJ211" i="16"/>
  <c r="BN211" i="16"/>
  <c r="BR211" i="16"/>
  <c r="CS212" i="16" s="1"/>
  <c r="BT387" i="16"/>
  <c r="CU387" i="16"/>
  <c r="BV167" i="16"/>
  <c r="CW168" i="16" s="1"/>
  <c r="BO167" i="16"/>
  <c r="CK167" i="16"/>
  <c r="BV278" i="16"/>
  <c r="CW279" i="16" s="1"/>
  <c r="CK278" i="16"/>
  <c r="BO278" i="16"/>
  <c r="CV432" i="16"/>
  <c r="BU432" i="16"/>
  <c r="BV189" i="16"/>
  <c r="CW190" i="16" s="1"/>
  <c r="CK189" i="16"/>
  <c r="BO189" i="16"/>
  <c r="CX388" i="16"/>
  <c r="BW388" i="16"/>
  <c r="CV322" i="16"/>
  <c r="BU322" i="16"/>
  <c r="BX410" i="16"/>
  <c r="CY411" i="16" s="1"/>
  <c r="CL410" i="16"/>
  <c r="BP410" i="16"/>
  <c r="DK12" i="16"/>
  <c r="DG58" i="16"/>
  <c r="BM59" i="16"/>
  <c r="BO36" i="16"/>
  <c r="AI59" i="16"/>
  <c r="BC59" i="16" s="1"/>
  <c r="CM60" i="16" s="1"/>
  <c r="AM59" i="16"/>
  <c r="BG59" i="16" s="1"/>
  <c r="CQ60" i="16" s="1"/>
  <c r="AF59" i="16"/>
  <c r="AZ59" i="16" s="1"/>
  <c r="CH60" i="16" s="1"/>
  <c r="Y59" i="16"/>
  <c r="G41" i="31"/>
  <c r="DI286" i="16"/>
  <c r="K61" i="31"/>
  <c r="CB58" i="16"/>
  <c r="K37" i="31"/>
  <c r="Z36" i="16"/>
  <c r="AT36" i="16" s="1"/>
  <c r="CC37" i="16" s="1"/>
  <c r="AG36" i="16"/>
  <c r="BA36" i="16" s="1"/>
  <c r="AJ36" i="16"/>
  <c r="BD36" i="16" s="1"/>
  <c r="CN37" i="16" s="1"/>
  <c r="BT36" i="16"/>
  <c r="CU37" i="16" s="1"/>
  <c r="DF35" i="16"/>
  <c r="G14" i="31"/>
  <c r="G19" i="31"/>
  <c r="DB58" i="16"/>
  <c r="BP214" i="16"/>
  <c r="CL214" i="16"/>
  <c r="BP168" i="16"/>
  <c r="BX168" i="16"/>
  <c r="CY169" i="16" s="1"/>
  <c r="CL168" i="16"/>
  <c r="CV255" i="16"/>
  <c r="BU255" i="16"/>
  <c r="CJ387" i="16"/>
  <c r="BR387" i="16"/>
  <c r="CS388" i="16" s="1"/>
  <c r="BN387" i="16"/>
  <c r="L31" i="31"/>
  <c r="CV365" i="16"/>
  <c r="BU365" i="16"/>
  <c r="BT299" i="16"/>
  <c r="CU299" i="16"/>
  <c r="CV168" i="16"/>
  <c r="BU168" i="16"/>
  <c r="CX343" i="16"/>
  <c r="BW343" i="16"/>
  <c r="CX409" i="16"/>
  <c r="BW409" i="16"/>
  <c r="CV81" i="16"/>
  <c r="BU81" i="16"/>
  <c r="BM343" i="16"/>
  <c r="CI343" i="16"/>
  <c r="BS343" i="16"/>
  <c r="CT344" i="16" s="1"/>
  <c r="CX299" i="16"/>
  <c r="BW299" i="16"/>
  <c r="CX146" i="16"/>
  <c r="BW146" i="16"/>
  <c r="CV343" i="16"/>
  <c r="BU343" i="16"/>
  <c r="K43" i="31"/>
  <c r="J21" i="31"/>
  <c r="K66" i="18"/>
  <c r="K63" i="31"/>
  <c r="G27" i="31"/>
  <c r="CX190" i="16"/>
  <c r="BW190" i="16"/>
  <c r="CU233" i="16"/>
  <c r="BT233" i="16"/>
  <c r="K17" i="31"/>
  <c r="AO59" i="16"/>
  <c r="BI59" i="16" s="1"/>
  <c r="AS58" i="16"/>
  <c r="CB59" i="16" s="1"/>
  <c r="G39" i="31"/>
  <c r="DI309" i="16"/>
  <c r="AI36" i="16"/>
  <c r="BC36" i="16" s="1"/>
  <c r="AN36" i="16"/>
  <c r="BH36" i="16" s="1"/>
  <c r="E34" i="29"/>
  <c r="K56" i="31"/>
  <c r="K30" i="31"/>
  <c r="G70" i="31"/>
  <c r="AD59" i="16"/>
  <c r="AX59" i="16" s="1"/>
  <c r="CF60" i="16" s="1"/>
  <c r="Z59" i="16"/>
  <c r="AT59" i="16" s="1"/>
  <c r="CC60" i="16" s="1"/>
  <c r="AG59" i="16"/>
  <c r="BA59" i="16" s="1"/>
  <c r="G28" i="31"/>
  <c r="J51" i="31"/>
  <c r="DI217" i="16"/>
  <c r="K38" i="31"/>
  <c r="AA36" i="16"/>
  <c r="AU36" i="16" s="1"/>
  <c r="Y36" i="16"/>
  <c r="AB36" i="16"/>
  <c r="AV36" i="16" s="1"/>
  <c r="AM36" i="16"/>
  <c r="BG36" i="16" s="1"/>
  <c r="CQ37" i="16" s="1"/>
  <c r="G15" i="31"/>
  <c r="DH450" i="16"/>
  <c r="M7" i="31"/>
  <c r="CW124" i="16"/>
  <c r="BV124" i="16"/>
  <c r="BO344" i="16"/>
  <c r="CK344" i="16"/>
  <c r="CS80" i="16"/>
  <c r="BR80" i="16"/>
  <c r="BW233" i="16"/>
  <c r="CX233" i="16"/>
  <c r="BQ366" i="16"/>
  <c r="CR366" i="16"/>
  <c r="CR411" i="16"/>
  <c r="BQ411" i="16"/>
  <c r="J64" i="23"/>
  <c r="J64" i="21"/>
  <c r="H70" i="20"/>
  <c r="H62" i="17"/>
  <c r="H62" i="28" s="1"/>
  <c r="H72" i="23"/>
  <c r="I9" i="28"/>
  <c r="I9" i="29"/>
  <c r="CC219" i="16"/>
  <c r="CQ219" i="16"/>
  <c r="J21" i="23"/>
  <c r="J21" i="21"/>
  <c r="K58" i="25"/>
  <c r="K59" i="18"/>
  <c r="BV103" i="16"/>
  <c r="CW104" i="16" s="1"/>
  <c r="CK103" i="16"/>
  <c r="BO103" i="16"/>
  <c r="CV13" i="16"/>
  <c r="BU452" i="16"/>
  <c r="K47" i="20" s="1"/>
  <c r="I16" i="27"/>
  <c r="J20" i="17"/>
  <c r="F63" i="28"/>
  <c r="F63" i="29"/>
  <c r="F64" i="17"/>
  <c r="H33" i="13"/>
  <c r="H50" i="13"/>
  <c r="G23" i="18"/>
  <c r="G23" i="21"/>
  <c r="H6" i="21"/>
  <c r="H8" i="17"/>
  <c r="H6" i="23"/>
  <c r="BN409" i="16"/>
  <c r="CJ409" i="16"/>
  <c r="BR409" i="16"/>
  <c r="CS410" i="16" s="1"/>
  <c r="E65" i="28"/>
  <c r="E65" i="29"/>
  <c r="I10" i="17"/>
  <c r="I40" i="23"/>
  <c r="I40" i="21"/>
  <c r="DC104" i="16"/>
  <c r="CB105" i="16"/>
  <c r="L9" i="27"/>
  <c r="DH240" i="16"/>
  <c r="CO174" i="16"/>
  <c r="DE173" i="16"/>
  <c r="I37" i="17"/>
  <c r="BO366" i="16"/>
  <c r="BV366" i="16"/>
  <c r="CW367" i="16" s="1"/>
  <c r="CK366" i="16"/>
  <c r="CM13" i="16"/>
  <c r="CM453" i="16" s="1"/>
  <c r="L55" i="20" s="1"/>
  <c r="L55" i="33" s="1"/>
  <c r="DG12" i="16"/>
  <c r="DF12" i="16"/>
  <c r="BC452" i="16"/>
  <c r="CJ13" i="16"/>
  <c r="BR13" i="16"/>
  <c r="BN452" i="16"/>
  <c r="K18" i="20" s="1"/>
  <c r="K18" i="33" s="1"/>
  <c r="H50" i="10"/>
  <c r="H50" i="33" s="1"/>
  <c r="H33" i="10"/>
  <c r="G23" i="23"/>
  <c r="CU58" i="16"/>
  <c r="BT58" i="16"/>
  <c r="DC35" i="16"/>
  <c r="CB36" i="16"/>
  <c r="H28" i="13"/>
  <c r="G20" i="25"/>
  <c r="H20" i="13"/>
  <c r="G18" i="18"/>
  <c r="G18" i="21"/>
  <c r="I44" i="28"/>
  <c r="I44" i="29"/>
  <c r="BS278" i="16"/>
  <c r="CT279" i="16" s="1"/>
  <c r="CI278" i="16"/>
  <c r="BM278" i="16"/>
  <c r="CU452" i="16"/>
  <c r="K64" i="20" s="1"/>
  <c r="M44" i="26"/>
  <c r="CQ265" i="16"/>
  <c r="M44" i="25"/>
  <c r="M10" i="13"/>
  <c r="M10" i="18"/>
  <c r="CJ277" i="16"/>
  <c r="BR277" i="16"/>
  <c r="CS278" i="16" s="1"/>
  <c r="BN277" i="16"/>
  <c r="CI210" i="16"/>
  <c r="BS210" i="16"/>
  <c r="CT211" i="16" s="1"/>
  <c r="BM210" i="16"/>
  <c r="BO433" i="16"/>
  <c r="CK433" i="16"/>
  <c r="AI219" i="16"/>
  <c r="BC219" i="16" s="1"/>
  <c r="Z219" i="16"/>
  <c r="AT219" i="16" s="1"/>
  <c r="AE219" i="16"/>
  <c r="AY219" i="16" s="1"/>
  <c r="AS218" i="16"/>
  <c r="K51" i="13"/>
  <c r="K46" i="18"/>
  <c r="L61" i="13"/>
  <c r="K33" i="18"/>
  <c r="CX13" i="16"/>
  <c r="BW452" i="16"/>
  <c r="K49" i="20" s="1"/>
  <c r="K60" i="17"/>
  <c r="AJ196" i="16"/>
  <c r="BD196" i="16" s="1"/>
  <c r="AS195" i="16"/>
  <c r="G22" i="10"/>
  <c r="G22" i="33" s="1"/>
  <c r="H48" i="10"/>
  <c r="H48" i="33" s="1"/>
  <c r="H32" i="10"/>
  <c r="H32" i="33" s="1"/>
  <c r="G22" i="23"/>
  <c r="G53" i="27"/>
  <c r="G53" i="29"/>
  <c r="F11" i="28"/>
  <c r="F11" i="29"/>
  <c r="F56" i="23"/>
  <c r="F56" i="21"/>
  <c r="F38" i="17"/>
  <c r="F38" i="28" s="1"/>
  <c r="D66" i="28"/>
  <c r="D66" i="29"/>
  <c r="H26" i="17"/>
  <c r="H21" i="17"/>
  <c r="F38" i="27"/>
  <c r="CL13" i="16"/>
  <c r="CL453" i="16" s="1"/>
  <c r="L33" i="20" s="1"/>
  <c r="BP452" i="16"/>
  <c r="BX13" i="16"/>
  <c r="CY14" i="16" s="1"/>
  <c r="H49" i="10"/>
  <c r="H49" i="33" s="1"/>
  <c r="H59" i="10"/>
  <c r="H59" i="33" s="1"/>
  <c r="G24" i="26"/>
  <c r="G24" i="28" s="1"/>
  <c r="G44" i="23"/>
  <c r="H41" i="10"/>
  <c r="H41" i="33" s="1"/>
  <c r="CX322" i="16"/>
  <c r="BW322" i="16"/>
  <c r="CI104" i="16"/>
  <c r="BS104" i="16"/>
  <c r="CT105" i="16" s="1"/>
  <c r="BM104" i="16"/>
  <c r="I7" i="23"/>
  <c r="I7" i="21"/>
  <c r="I13" i="17"/>
  <c r="H25" i="17"/>
  <c r="I36" i="27"/>
  <c r="CR80" i="16"/>
  <c r="BQ80" i="16"/>
  <c r="CK146" i="16"/>
  <c r="BO146" i="16"/>
  <c r="DD173" i="16"/>
  <c r="CG174" i="16"/>
  <c r="BU13" i="16"/>
  <c r="BF452" i="16"/>
  <c r="K40" i="20" s="1"/>
  <c r="CP13" i="16"/>
  <c r="CP453" i="16" s="1"/>
  <c r="L58" i="20" s="1"/>
  <c r="J8" i="21"/>
  <c r="J8" i="23"/>
  <c r="J30" i="17"/>
  <c r="CX432" i="16"/>
  <c r="BW432" i="16"/>
  <c r="CU212" i="16"/>
  <c r="BT212" i="16"/>
  <c r="G52" i="25"/>
  <c r="G30" i="18"/>
  <c r="G30" i="21"/>
  <c r="CU323" i="16"/>
  <c r="BT323" i="16"/>
  <c r="BS80" i="16"/>
  <c r="CT81" i="16" s="1"/>
  <c r="CI80" i="16"/>
  <c r="BM80" i="16"/>
  <c r="I19" i="17"/>
  <c r="F32" i="28"/>
  <c r="F32" i="29"/>
  <c r="F39" i="17"/>
  <c r="K11" i="21"/>
  <c r="K45" i="17"/>
  <c r="K11" i="23"/>
  <c r="N25" i="10"/>
  <c r="M9" i="26"/>
  <c r="BT344" i="16"/>
  <c r="CU344" i="16"/>
  <c r="CR256" i="16"/>
  <c r="BQ256" i="16"/>
  <c r="BS256" i="16"/>
  <c r="CT257" i="16" s="1"/>
  <c r="BM256" i="16"/>
  <c r="CI256" i="16"/>
  <c r="CM265" i="16"/>
  <c r="DI172" i="16"/>
  <c r="G62" i="28"/>
  <c r="CX168" i="16"/>
  <c r="BW168" i="16"/>
  <c r="BU410" i="16"/>
  <c r="CV410" i="16"/>
  <c r="BO211" i="16"/>
  <c r="CK211" i="16"/>
  <c r="BV211" i="16"/>
  <c r="CW212" i="16" s="1"/>
  <c r="CR212" i="16"/>
  <c r="BQ212" i="16"/>
  <c r="H48" i="23"/>
  <c r="H48" i="21"/>
  <c r="H51" i="20"/>
  <c r="H51" i="33" s="1"/>
  <c r="I27" i="17"/>
  <c r="CI387" i="16"/>
  <c r="BS387" i="16"/>
  <c r="CT388" i="16" s="1"/>
  <c r="BM387" i="16"/>
  <c r="G53" i="20"/>
  <c r="G53" i="33" s="1"/>
  <c r="G54" i="23"/>
  <c r="G54" i="21"/>
  <c r="G36" i="17"/>
  <c r="DI263" i="16"/>
  <c r="CH219" i="16"/>
  <c r="DJ12" i="16"/>
  <c r="DF287" i="16"/>
  <c r="DC286" i="16"/>
  <c r="CJ452" i="16"/>
  <c r="K31" i="20" s="1"/>
  <c r="K31" i="33" s="1"/>
  <c r="J32" i="25"/>
  <c r="J24" i="18"/>
  <c r="K61" i="17"/>
  <c r="J15" i="17"/>
  <c r="J15" i="28" s="1"/>
  <c r="J41" i="21"/>
  <c r="J41" i="23"/>
  <c r="CV452" i="16"/>
  <c r="K65" i="20" s="1"/>
  <c r="CR168" i="16"/>
  <c r="BQ168" i="16"/>
  <c r="CH196" i="16"/>
  <c r="CB195" i="16"/>
  <c r="DC194" i="16"/>
  <c r="CO196" i="16"/>
  <c r="F26" i="26"/>
  <c r="F21" i="26"/>
  <c r="F21" i="28" s="1"/>
  <c r="F19" i="28"/>
  <c r="CJ257" i="16"/>
  <c r="BR257" i="16"/>
  <c r="CS258" i="16" s="1"/>
  <c r="BN257" i="16"/>
  <c r="CJ321" i="16"/>
  <c r="BR321" i="16"/>
  <c r="CS322" i="16" s="1"/>
  <c r="BN321" i="16"/>
  <c r="BM298" i="16"/>
  <c r="CI298" i="16"/>
  <c r="BS298" i="16"/>
  <c r="CT299" i="16" s="1"/>
  <c r="H35" i="20"/>
  <c r="H53" i="17"/>
  <c r="G62" i="27"/>
  <c r="G62" i="29"/>
  <c r="CI168" i="16"/>
  <c r="BS168" i="16"/>
  <c r="CT169" i="16" s="1"/>
  <c r="BM168" i="16"/>
  <c r="BR344" i="16"/>
  <c r="CS345" i="16" s="1"/>
  <c r="BN344" i="16"/>
  <c r="CJ344" i="16"/>
  <c r="BR189" i="16"/>
  <c r="CS190" i="16" s="1"/>
  <c r="CJ189" i="16"/>
  <c r="BN189" i="16"/>
  <c r="E66" i="17"/>
  <c r="H40" i="13"/>
  <c r="G23" i="25"/>
  <c r="H57" i="13"/>
  <c r="H46" i="13"/>
  <c r="G42" i="18"/>
  <c r="G42" i="21"/>
  <c r="J39" i="26"/>
  <c r="CR322" i="16"/>
  <c r="BQ322" i="16"/>
  <c r="DH217" i="16"/>
  <c r="CI366" i="16"/>
  <c r="BM366" i="16"/>
  <c r="K65" i="21"/>
  <c r="K65" i="23"/>
  <c r="H33" i="17"/>
  <c r="CX212" i="16"/>
  <c r="BW212" i="16"/>
  <c r="H21" i="20"/>
  <c r="H21" i="33" s="1"/>
  <c r="H20" i="21"/>
  <c r="H20" i="23"/>
  <c r="J46" i="21"/>
  <c r="J46" i="23"/>
  <c r="CG242" i="16"/>
  <c r="CF242" i="16"/>
  <c r="CH242" i="16"/>
  <c r="BX345" i="16"/>
  <c r="CY346" i="16" s="1"/>
  <c r="CL345" i="16"/>
  <c r="BP345" i="16"/>
  <c r="DC172" i="16"/>
  <c r="CB173" i="16"/>
  <c r="CF174" i="16"/>
  <c r="AL174" i="16"/>
  <c r="BF174" i="16" s="1"/>
  <c r="AG174" i="16"/>
  <c r="BA174" i="16" s="1"/>
  <c r="AM174" i="16"/>
  <c r="BG174" i="16" s="1"/>
  <c r="AO174" i="16"/>
  <c r="BI174" i="16" s="1"/>
  <c r="AB174" i="16"/>
  <c r="AV174" i="16" s="1"/>
  <c r="AF174" i="16"/>
  <c r="AZ174" i="16" s="1"/>
  <c r="AK174" i="16"/>
  <c r="BE174" i="16" s="1"/>
  <c r="AH174" i="16"/>
  <c r="BB174" i="16" s="1"/>
  <c r="Y174" i="16"/>
  <c r="AI174" i="16"/>
  <c r="BC174" i="16" s="1"/>
  <c r="Z174" i="16"/>
  <c r="AT174" i="16" s="1"/>
  <c r="AJ174" i="16"/>
  <c r="BD174" i="16" s="1"/>
  <c r="AD174" i="16"/>
  <c r="AX174" i="16" s="1"/>
  <c r="AA174" i="16"/>
  <c r="AU174" i="16" s="1"/>
  <c r="AN174" i="16"/>
  <c r="BH174" i="16" s="1"/>
  <c r="AC174" i="16"/>
  <c r="AW174" i="16" s="1"/>
  <c r="CE175" i="16" s="1"/>
  <c r="AE174" i="16"/>
  <c r="AY174" i="16" s="1"/>
  <c r="AS173" i="16"/>
  <c r="DC81" i="16"/>
  <c r="CB82" i="16"/>
  <c r="BM409" i="16"/>
  <c r="CI409" i="16"/>
  <c r="BS409" i="16"/>
  <c r="CT410" i="16" s="1"/>
  <c r="K10" i="25"/>
  <c r="L55" i="13"/>
  <c r="K40" i="18"/>
  <c r="L37" i="13"/>
  <c r="L38" i="13"/>
  <c r="J10" i="27"/>
  <c r="J11" i="25"/>
  <c r="CH13" i="16"/>
  <c r="CH453" i="16" s="1"/>
  <c r="L28" i="20" s="1"/>
  <c r="BP13" i="16"/>
  <c r="AZ452" i="16"/>
  <c r="K15" i="20" s="1"/>
  <c r="CN13" i="16"/>
  <c r="CN453" i="16" s="1"/>
  <c r="L56" i="20" s="1"/>
  <c r="BQ13" i="16"/>
  <c r="BD452" i="16"/>
  <c r="K38" i="20" s="1"/>
  <c r="K38" i="32" s="1"/>
  <c r="AY452" i="16"/>
  <c r="BO13" i="16"/>
  <c r="CG13" i="16"/>
  <c r="CG453" i="16" s="1"/>
  <c r="L27" i="20" s="1"/>
  <c r="DD12" i="16"/>
  <c r="CF13" i="16"/>
  <c r="CF453" i="16" s="1"/>
  <c r="L26" i="20" s="1"/>
  <c r="L26" i="32" s="1"/>
  <c r="AX452" i="16"/>
  <c r="K13" i="20" s="1"/>
  <c r="K13" i="33" s="1"/>
  <c r="K12" i="21"/>
  <c r="K12" i="23"/>
  <c r="K46" i="17"/>
  <c r="CU124" i="16"/>
  <c r="BT124" i="16"/>
  <c r="J34" i="21"/>
  <c r="J34" i="23"/>
  <c r="F27" i="26"/>
  <c r="F27" i="28" s="1"/>
  <c r="F20" i="28"/>
  <c r="BQ278" i="16"/>
  <c r="CR278" i="16"/>
  <c r="F6" i="27"/>
  <c r="F21" i="25"/>
  <c r="F26" i="25"/>
  <c r="F19" i="29"/>
  <c r="F19" i="27"/>
  <c r="I47" i="17"/>
  <c r="I48" i="17" s="1"/>
  <c r="I13" i="21"/>
  <c r="I13" i="23"/>
  <c r="I46" i="23"/>
  <c r="I46" i="21"/>
  <c r="E41" i="17"/>
  <c r="E41" i="28" s="1"/>
  <c r="E39" i="28"/>
  <c r="E39" i="29"/>
  <c r="F26" i="23"/>
  <c r="F26" i="21"/>
  <c r="F34" i="17"/>
  <c r="F34" i="28" s="1"/>
  <c r="F6" i="17"/>
  <c r="F6" i="28" s="1"/>
  <c r="J4" i="20"/>
  <c r="J4" i="33" s="1"/>
  <c r="DB451" i="16"/>
  <c r="K52" i="17"/>
  <c r="CU147" i="16"/>
  <c r="BT147" i="16"/>
  <c r="G24" i="23"/>
  <c r="G24" i="21"/>
  <c r="G32" i="17"/>
  <c r="G23" i="20"/>
  <c r="G11" i="17"/>
  <c r="G8" i="28"/>
  <c r="G8" i="29"/>
  <c r="BX104" i="16"/>
  <c r="CY105" i="16" s="1"/>
  <c r="CL104" i="16"/>
  <c r="BP104" i="16"/>
  <c r="DC263" i="16"/>
  <c r="CB264" i="16"/>
  <c r="CP265" i="16"/>
  <c r="DJ264" i="16"/>
  <c r="J37" i="20"/>
  <c r="J37" i="33" s="1"/>
  <c r="DF451" i="16"/>
  <c r="DG451" i="16"/>
  <c r="I3" i="20"/>
  <c r="I3" i="33" s="1"/>
  <c r="DC450" i="16"/>
  <c r="J39" i="20"/>
  <c r="DE451" i="16"/>
  <c r="BO387" i="16"/>
  <c r="CK387" i="16"/>
  <c r="BV387" i="16"/>
  <c r="CW388" i="16" s="1"/>
  <c r="BN365" i="16"/>
  <c r="BR365" i="16"/>
  <c r="CS366" i="16" s="1"/>
  <c r="CJ365" i="16"/>
  <c r="CV189" i="16"/>
  <c r="BU189" i="16"/>
  <c r="CP219" i="16"/>
  <c r="CB218" i="16"/>
  <c r="DC217" i="16"/>
  <c r="L44" i="27"/>
  <c r="CL146" i="16"/>
  <c r="BX146" i="16"/>
  <c r="CY147" i="16" s="1"/>
  <c r="BP146" i="16"/>
  <c r="CR13" i="16"/>
  <c r="CB128" i="16"/>
  <c r="DC127" i="16"/>
  <c r="H20" i="10"/>
  <c r="H20" i="33" s="1"/>
  <c r="H28" i="10"/>
  <c r="G20" i="26"/>
  <c r="G18" i="23"/>
  <c r="CV278" i="16"/>
  <c r="BU278" i="16"/>
  <c r="I33" i="17"/>
  <c r="I30" i="28"/>
  <c r="I30" i="29"/>
  <c r="J16" i="21"/>
  <c r="J16" i="23"/>
  <c r="J14" i="17"/>
  <c r="H57" i="10"/>
  <c r="H57" i="33" s="1"/>
  <c r="G23" i="26"/>
  <c r="H40" i="10"/>
  <c r="H40" i="33" s="1"/>
  <c r="H46" i="10"/>
  <c r="H46" i="33" s="1"/>
  <c r="H39" i="10"/>
  <c r="H39" i="33" s="1"/>
  <c r="G42" i="23"/>
  <c r="CR234" i="16"/>
  <c r="BQ234" i="16"/>
  <c r="M46" i="25"/>
  <c r="J9" i="17"/>
  <c r="J15" i="21"/>
  <c r="J15" i="23"/>
  <c r="J36" i="25"/>
  <c r="J54" i="18"/>
  <c r="BQ432" i="16"/>
  <c r="CR432" i="16"/>
  <c r="CJ127" i="16"/>
  <c r="BN127" i="16"/>
  <c r="I33" i="23"/>
  <c r="I34" i="20"/>
  <c r="I33" i="21"/>
  <c r="K48" i="25"/>
  <c r="E41" i="27"/>
  <c r="M45" i="25"/>
  <c r="CP242" i="16"/>
  <c r="CN174" i="16"/>
  <c r="J57" i="29"/>
  <c r="J57" i="27"/>
  <c r="AW452" i="16"/>
  <c r="K12" i="20" s="1"/>
  <c r="K12" i="33" s="1"/>
  <c r="CE13" i="16"/>
  <c r="CE453" i="16" s="1"/>
  <c r="L25" i="20" s="1"/>
  <c r="L25" i="33" s="1"/>
  <c r="CL192" i="16"/>
  <c r="BP192" i="16"/>
  <c r="CK13" i="16"/>
  <c r="BV13" i="16"/>
  <c r="BO452" i="16"/>
  <c r="K19" i="20" s="1"/>
  <c r="M8" i="26"/>
  <c r="N3" i="10"/>
  <c r="N12" i="10"/>
  <c r="N7" i="10"/>
  <c r="CJ145" i="16"/>
  <c r="BR145" i="16"/>
  <c r="CS146" i="16" s="1"/>
  <c r="BN145" i="16"/>
  <c r="CU13" i="16"/>
  <c r="BT452" i="16"/>
  <c r="K46" i="20" s="1"/>
  <c r="I23" i="17"/>
  <c r="CX278" i="16"/>
  <c r="BW278" i="16"/>
  <c r="H10" i="28"/>
  <c r="H10" i="29"/>
  <c r="CV125" i="16"/>
  <c r="BU125" i="16"/>
  <c r="F54" i="28"/>
  <c r="F55" i="17"/>
  <c r="F65" i="17"/>
  <c r="F66" i="17" s="1"/>
  <c r="G16" i="28"/>
  <c r="G16" i="29"/>
  <c r="BQ300" i="16"/>
  <c r="CR300" i="16"/>
  <c r="CW13" i="16"/>
  <c r="BV452" i="16"/>
  <c r="K48" i="20" s="1"/>
  <c r="K59" i="23"/>
  <c r="K58" i="17"/>
  <c r="K58" i="28" s="1"/>
  <c r="K59" i="21"/>
  <c r="CF196" i="16"/>
  <c r="CC196" i="16"/>
  <c r="DB195" i="16"/>
  <c r="CV387" i="16"/>
  <c r="BU387" i="16"/>
  <c r="H27" i="10"/>
  <c r="H27" i="33" s="1"/>
  <c r="H19" i="10"/>
  <c r="H19" i="33" s="1"/>
  <c r="G19" i="26"/>
  <c r="G17" i="23"/>
  <c r="CV145" i="16"/>
  <c r="BU145" i="16"/>
  <c r="F34" i="27"/>
  <c r="K29" i="21"/>
  <c r="K51" i="17"/>
  <c r="K29" i="23"/>
  <c r="F27" i="25"/>
  <c r="F20" i="27"/>
  <c r="F20" i="29"/>
  <c r="CT11" i="16"/>
  <c r="CT451" i="16" s="1"/>
  <c r="J63" i="20" s="1"/>
  <c r="J63" i="33" s="1"/>
  <c r="BS450" i="16"/>
  <c r="I45" i="20" s="1"/>
  <c r="I45" i="33" s="1"/>
  <c r="BX452" i="16"/>
  <c r="K50" i="20" s="1"/>
  <c r="J20" i="20"/>
  <c r="CK127" i="16"/>
  <c r="BO127" i="16"/>
  <c r="CL367" i="16"/>
  <c r="BX367" i="16"/>
  <c r="CY368" i="16" s="1"/>
  <c r="BP367" i="16"/>
  <c r="CJ169" i="16"/>
  <c r="BN169" i="16"/>
  <c r="CD174" i="16"/>
  <c r="CC174" i="16"/>
  <c r="DB173" i="16"/>
  <c r="J46" i="28"/>
  <c r="J46" i="29"/>
  <c r="K57" i="25"/>
  <c r="K58" i="18"/>
  <c r="I32" i="27"/>
  <c r="I39" i="25"/>
  <c r="F54" i="29"/>
  <c r="F54" i="27"/>
  <c r="F65" i="25"/>
  <c r="F55" i="25"/>
  <c r="AV452" i="16"/>
  <c r="DE12" i="16"/>
  <c r="BT13" i="16"/>
  <c r="CO13" i="16"/>
  <c r="CO453" i="16" s="1"/>
  <c r="L57" i="20" s="1"/>
  <c r="BE452" i="16"/>
  <c r="I14" i="28"/>
  <c r="I14" i="29"/>
  <c r="CR103" i="16"/>
  <c r="BQ103" i="16"/>
  <c r="CJ432" i="16"/>
  <c r="BN432" i="16"/>
  <c r="BR432" i="16"/>
  <c r="CS433" i="16" s="1"/>
  <c r="G54" i="17"/>
  <c r="J14" i="20"/>
  <c r="DD451" i="16"/>
  <c r="D41" i="28"/>
  <c r="D41" i="29"/>
  <c r="CX80" i="16"/>
  <c r="BW80" i="16"/>
  <c r="CN265" i="16"/>
  <c r="DJ173" i="16"/>
  <c r="DI11" i="16"/>
  <c r="DI450" i="16"/>
  <c r="H47" i="28"/>
  <c r="H47" i="29"/>
  <c r="H48" i="17"/>
  <c r="BW367" i="16"/>
  <c r="CX367" i="16"/>
  <c r="CU189" i="16"/>
  <c r="BT189" i="16"/>
  <c r="BV410" i="16"/>
  <c r="CW411" i="16" s="1"/>
  <c r="BO410" i="16"/>
  <c r="CK410" i="16"/>
  <c r="I66" i="21"/>
  <c r="I66" i="23"/>
  <c r="CO219" i="16"/>
  <c r="DE218" i="16"/>
  <c r="CM219" i="16"/>
  <c r="DG218" i="16"/>
  <c r="CD219" i="16"/>
  <c r="CK452" i="16"/>
  <c r="K32" i="20" s="1"/>
  <c r="CS13" i="16"/>
  <c r="CS453" i="16" s="1"/>
  <c r="L62" i="20" s="1"/>
  <c r="L62" i="33" s="1"/>
  <c r="BR452" i="16"/>
  <c r="K44" i="20" s="1"/>
  <c r="K44" i="33" s="1"/>
  <c r="H16" i="17"/>
  <c r="H13" i="28"/>
  <c r="H13" i="29"/>
  <c r="CV211" i="16"/>
  <c r="BU211" i="16"/>
  <c r="F40" i="27"/>
  <c r="F40" i="29"/>
  <c r="F41" i="25"/>
  <c r="I11" i="27"/>
  <c r="J15" i="27"/>
  <c r="J16" i="25"/>
  <c r="K21" i="13"/>
  <c r="K20" i="18"/>
  <c r="L45" i="13"/>
  <c r="L30" i="13"/>
  <c r="L17" i="13"/>
  <c r="L63" i="13"/>
  <c r="K48" i="18"/>
  <c r="J24" i="17"/>
  <c r="CN196" i="16"/>
  <c r="CQ196" i="16"/>
  <c r="BS190" i="16"/>
  <c r="CT191" i="16" s="1"/>
  <c r="CI190" i="16"/>
  <c r="BM190" i="16"/>
  <c r="G52" i="26"/>
  <c r="G52" i="28" s="1"/>
  <c r="G30" i="23"/>
  <c r="G35" i="10"/>
  <c r="CR146" i="16"/>
  <c r="BQ146" i="16"/>
  <c r="CU278" i="16"/>
  <c r="BT278" i="16"/>
  <c r="BS145" i="16"/>
  <c r="CT146" i="16" s="1"/>
  <c r="CI145" i="16"/>
  <c r="BM145" i="16"/>
  <c r="CR344" i="16"/>
  <c r="BQ344" i="16"/>
  <c r="G63" i="25"/>
  <c r="G73" i="18"/>
  <c r="F36" i="28"/>
  <c r="F36" i="29"/>
  <c r="H60" i="27"/>
  <c r="CK299" i="16"/>
  <c r="BV299" i="16"/>
  <c r="CW300" i="16" s="1"/>
  <c r="BO299" i="16"/>
  <c r="G24" i="25"/>
  <c r="H49" i="13"/>
  <c r="H59" i="13"/>
  <c r="G44" i="18"/>
  <c r="G44" i="21"/>
  <c r="CR58" i="16"/>
  <c r="BQ58" i="16"/>
  <c r="J58" i="29"/>
  <c r="J58" i="27"/>
  <c r="BV81" i="16"/>
  <c r="CW82" i="16" s="1"/>
  <c r="CK81" i="16"/>
  <c r="BO81" i="16"/>
  <c r="G31" i="18"/>
  <c r="G31" i="21"/>
  <c r="H39" i="27"/>
  <c r="BM233" i="16"/>
  <c r="BS233" i="16"/>
  <c r="CT234" i="16" s="1"/>
  <c r="CI233" i="16"/>
  <c r="CI321" i="16"/>
  <c r="BS321" i="16"/>
  <c r="CT322" i="16" s="1"/>
  <c r="BM321" i="16"/>
  <c r="K50" i="17"/>
  <c r="K28" i="23"/>
  <c r="K28" i="21"/>
  <c r="J47" i="23"/>
  <c r="J47" i="21"/>
  <c r="K64" i="18"/>
  <c r="J51" i="28"/>
  <c r="J51" i="29"/>
  <c r="CR388" i="16"/>
  <c r="BQ388" i="16"/>
  <c r="J50" i="28"/>
  <c r="J50" i="29"/>
  <c r="F40" i="28"/>
  <c r="CI11" i="16"/>
  <c r="CI451" i="16" s="1"/>
  <c r="J30" i="20" s="1"/>
  <c r="J30" i="33" s="1"/>
  <c r="BS11" i="16"/>
  <c r="BM450" i="16"/>
  <c r="I17" i="20" s="1"/>
  <c r="I17" i="33" s="1"/>
  <c r="BM11" i="16"/>
  <c r="DK241" i="16"/>
  <c r="E38" i="28"/>
  <c r="E38" i="29"/>
  <c r="CU81" i="16"/>
  <c r="BT81" i="16"/>
  <c r="CM242" i="16"/>
  <c r="CO242" i="16"/>
  <c r="CN242" i="16"/>
  <c r="AA242" i="16"/>
  <c r="AU242" i="16" s="1"/>
  <c r="AS241" i="16"/>
  <c r="CX125" i="16"/>
  <c r="BW125" i="16"/>
  <c r="CM174" i="16"/>
  <c r="DF173" i="16"/>
  <c r="DG173" i="16"/>
  <c r="CH174" i="16"/>
  <c r="CQ174" i="16"/>
  <c r="CP174" i="16"/>
  <c r="K15" i="25"/>
  <c r="L43" i="13"/>
  <c r="K41" i="18"/>
  <c r="L56" i="13"/>
  <c r="Y13" i="16"/>
  <c r="AF13" i="16"/>
  <c r="AZ13" i="16" s="1"/>
  <c r="AI13" i="16"/>
  <c r="BC13" i="16" s="1"/>
  <c r="AM13" i="16"/>
  <c r="BG13" i="16" s="1"/>
  <c r="AN13" i="16"/>
  <c r="BH13" i="16" s="1"/>
  <c r="BH453" i="16" s="1"/>
  <c r="Z13" i="16"/>
  <c r="AT13" i="16" s="1"/>
  <c r="AC13" i="16"/>
  <c r="AW13" i="16" s="1"/>
  <c r="AJ13" i="16"/>
  <c r="BD13" i="16" s="1"/>
  <c r="AB13" i="16"/>
  <c r="AV13" i="16" s="1"/>
  <c r="AO13" i="16"/>
  <c r="BI13" i="16" s="1"/>
  <c r="BI453" i="16" s="1"/>
  <c r="AE13" i="16"/>
  <c r="AY13" i="16" s="1"/>
  <c r="AS12" i="16"/>
  <c r="AL13" i="16"/>
  <c r="BF13" i="16" s="1"/>
  <c r="AH13" i="16"/>
  <c r="BB13" i="16" s="1"/>
  <c r="BB453" i="16" s="1"/>
  <c r="AA13" i="16"/>
  <c r="AU13" i="16" s="1"/>
  <c r="AD13" i="16"/>
  <c r="AX13" i="16" s="1"/>
  <c r="AG13" i="16"/>
  <c r="BA13" i="16" s="1"/>
  <c r="BA453" i="16" s="1"/>
  <c r="AK13" i="16"/>
  <c r="BE13" i="16" s="1"/>
  <c r="CQ13" i="16"/>
  <c r="CQ453" i="16" s="1"/>
  <c r="L59" i="20" s="1"/>
  <c r="BG452" i="16"/>
  <c r="K41" i="20" s="1"/>
  <c r="BW13" i="16"/>
  <c r="CC13" i="16"/>
  <c r="CC453" i="16" s="1"/>
  <c r="L8" i="20" s="1"/>
  <c r="AT452" i="16"/>
  <c r="DB12" i="16"/>
  <c r="DC11" i="16"/>
  <c r="CB12" i="16"/>
  <c r="CB452" i="16" s="1"/>
  <c r="K7" i="20" s="1"/>
  <c r="K7" i="33" s="1"/>
  <c r="AS451" i="16"/>
  <c r="BN13" i="16"/>
  <c r="AU452" i="16"/>
  <c r="K5" i="20" s="1"/>
  <c r="K5" i="33" s="1"/>
  <c r="CD13" i="16"/>
  <c r="CD453" i="16" s="1"/>
  <c r="L9" i="20" s="1"/>
  <c r="CL125" i="16"/>
  <c r="BX125" i="16"/>
  <c r="CY126" i="16" s="1"/>
  <c r="BP125" i="16"/>
  <c r="CB151" i="16"/>
  <c r="DC150" i="16"/>
  <c r="H27" i="13"/>
  <c r="H19" i="13"/>
  <c r="G19" i="25"/>
  <c r="G17" i="18"/>
  <c r="G17" i="21"/>
  <c r="H48" i="13"/>
  <c r="G22" i="13"/>
  <c r="H32" i="13"/>
  <c r="G22" i="18"/>
  <c r="G22" i="21"/>
  <c r="CX104" i="16"/>
  <c r="BW104" i="16"/>
  <c r="DH172" i="16"/>
  <c r="CI432" i="16"/>
  <c r="BM432" i="16"/>
  <c r="BS432" i="16"/>
  <c r="CT433" i="16" s="1"/>
  <c r="J45" i="28"/>
  <c r="J45" i="29"/>
  <c r="DH11" i="16"/>
  <c r="J52" i="20"/>
  <c r="BU299" i="16"/>
  <c r="CV299" i="16"/>
  <c r="L11" i="26"/>
  <c r="CR188" i="16"/>
  <c r="CR452" i="16" s="1"/>
  <c r="K61" i="20" s="1"/>
  <c r="K61" i="33" s="1"/>
  <c r="BQ188" i="16"/>
  <c r="CC265" i="16"/>
  <c r="AA265" i="16"/>
  <c r="AU265" i="16" s="1"/>
  <c r="AS264" i="16"/>
  <c r="CD265" i="16"/>
  <c r="CR124" i="16"/>
  <c r="BQ124" i="16"/>
  <c r="G28" i="17"/>
  <c r="BN233" i="16"/>
  <c r="CJ233" i="16"/>
  <c r="BR233" i="16"/>
  <c r="CS234" i="16" s="1"/>
  <c r="K58" i="21"/>
  <c r="K58" i="23"/>
  <c r="K57" i="17"/>
  <c r="K57" i="28" s="1"/>
  <c r="J44" i="17"/>
  <c r="J10" i="23"/>
  <c r="J10" i="20"/>
  <c r="J10" i="33" s="1"/>
  <c r="J10" i="21"/>
  <c r="K59" i="17"/>
  <c r="G73" i="21"/>
  <c r="G63" i="17"/>
  <c r="G73" i="23"/>
  <c r="AA219" i="16" l="1"/>
  <c r="AU219" i="16" s="1"/>
  <c r="AJ219" i="16"/>
  <c r="BD219" i="16" s="1"/>
  <c r="DK287" i="16"/>
  <c r="DC287" i="16"/>
  <c r="DG287" i="16"/>
  <c r="DG241" i="16"/>
  <c r="Z242" i="16"/>
  <c r="AT242" i="16" s="1"/>
  <c r="CC243" i="16" s="1"/>
  <c r="CB241" i="16"/>
  <c r="CN219" i="16"/>
  <c r="CO265" i="16"/>
  <c r="CG219" i="16"/>
  <c r="BV146" i="16"/>
  <c r="CW147" i="16" s="1"/>
  <c r="N55" i="10"/>
  <c r="CP196" i="16"/>
  <c r="AG196" i="16"/>
  <c r="BA196" i="16" s="1"/>
  <c r="AH219" i="16"/>
  <c r="BB219" i="16" s="1"/>
  <c r="AM219" i="16"/>
  <c r="BG219" i="16" s="1"/>
  <c r="Y219" i="16"/>
  <c r="AC219" i="16"/>
  <c r="AW219" i="16" s="1"/>
  <c r="CE220" i="16" s="1"/>
  <c r="AO219" i="16"/>
  <c r="BI219" i="16" s="1"/>
  <c r="BV37" i="16"/>
  <c r="CW38" i="16" s="1"/>
  <c r="DJ218" i="16"/>
  <c r="AD196" i="16"/>
  <c r="AX196" i="16" s="1"/>
  <c r="CF197" i="16" s="1"/>
  <c r="DF264" i="16"/>
  <c r="DI264" i="16" s="1"/>
  <c r="DD241" i="16"/>
  <c r="AH242" i="16"/>
  <c r="BB242" i="16" s="1"/>
  <c r="AL196" i="16"/>
  <c r="BF196" i="16" s="1"/>
  <c r="CP197" i="16" s="1"/>
  <c r="AG219" i="16"/>
  <c r="BA219" i="16" s="1"/>
  <c r="AL219" i="16"/>
  <c r="BF219" i="16" s="1"/>
  <c r="DJ195" i="16"/>
  <c r="AG265" i="16"/>
  <c r="BA265" i="16" s="1"/>
  <c r="AB265" i="16"/>
  <c r="AV265" i="16" s="1"/>
  <c r="AF242" i="16"/>
  <c r="AZ242" i="16" s="1"/>
  <c r="DF241" i="16"/>
  <c r="DG195" i="16"/>
  <c r="CF219" i="16"/>
  <c r="N37" i="10"/>
  <c r="AF219" i="16"/>
  <c r="AZ219" i="16" s="1"/>
  <c r="AD219" i="16"/>
  <c r="AX219" i="16" s="1"/>
  <c r="AB219" i="16"/>
  <c r="AV219" i="16" s="1"/>
  <c r="DK219" i="16" s="1"/>
  <c r="AN219" i="16"/>
  <c r="BH219" i="16" s="1"/>
  <c r="AK219" i="16"/>
  <c r="BE219" i="16" s="1"/>
  <c r="DD264" i="16"/>
  <c r="AH265" i="16"/>
  <c r="BB265" i="16" s="1"/>
  <c r="AJ265" i="16"/>
  <c r="BD265" i="16" s="1"/>
  <c r="Y242" i="16"/>
  <c r="AE242" i="16"/>
  <c r="AY242" i="16" s="1"/>
  <c r="DD195" i="16"/>
  <c r="DH195" i="16" s="1"/>
  <c r="DG264" i="16"/>
  <c r="AK196" i="16"/>
  <c r="BE196" i="16" s="1"/>
  <c r="AH196" i="16"/>
  <c r="BB196" i="16" s="1"/>
  <c r="AC196" i="16"/>
  <c r="AW196" i="16" s="1"/>
  <c r="CE197" i="16" s="1"/>
  <c r="AA196" i="16"/>
  <c r="AU196" i="16" s="1"/>
  <c r="CD197" i="16" s="1"/>
  <c r="AM196" i="16"/>
  <c r="BG196" i="16" s="1"/>
  <c r="CQ197" i="16" s="1"/>
  <c r="DB241" i="16"/>
  <c r="DK195" i="16"/>
  <c r="DF195" i="16"/>
  <c r="DI195" i="16" s="1"/>
  <c r="CF265" i="16"/>
  <c r="AB196" i="16"/>
  <c r="AV196" i="16" s="1"/>
  <c r="AF196" i="16"/>
  <c r="AZ196" i="16" s="1"/>
  <c r="CH197" i="16" s="1"/>
  <c r="Y196" i="16"/>
  <c r="AN196" i="16"/>
  <c r="BH196" i="16" s="1"/>
  <c r="AO196" i="16"/>
  <c r="BI196" i="16" s="1"/>
  <c r="AF265" i="16"/>
  <c r="AZ265" i="16" s="1"/>
  <c r="AE265" i="16"/>
  <c r="AY265" i="16" s="1"/>
  <c r="AK265" i="16"/>
  <c r="BE265" i="16" s="1"/>
  <c r="AB242" i="16"/>
  <c r="AV242" i="16" s="1"/>
  <c r="DK242" i="16" s="1"/>
  <c r="AC242" i="16"/>
  <c r="AW242" i="16" s="1"/>
  <c r="CE243" i="16" s="1"/>
  <c r="M28" i="18"/>
  <c r="AC265" i="16"/>
  <c r="AW265" i="16" s="1"/>
  <c r="Y265" i="16"/>
  <c r="AS265" i="16" s="1"/>
  <c r="AD265" i="16"/>
  <c r="AX265" i="16" s="1"/>
  <c r="DB265" i="16" s="1"/>
  <c r="AO265" i="16"/>
  <c r="BI265" i="16" s="1"/>
  <c r="AL265" i="16"/>
  <c r="BF265" i="16" s="1"/>
  <c r="AD242" i="16"/>
  <c r="AX242" i="16" s="1"/>
  <c r="CF243" i="16" s="1"/>
  <c r="AK242" i="16"/>
  <c r="BE242" i="16" s="1"/>
  <c r="DE242" i="16" s="1"/>
  <c r="AM242" i="16"/>
  <c r="BG242" i="16" s="1"/>
  <c r="CQ243" i="16" s="1"/>
  <c r="AJ242" i="16"/>
  <c r="BD242" i="16" s="1"/>
  <c r="CN243" i="16" s="1"/>
  <c r="AL242" i="16"/>
  <c r="BF242" i="16" s="1"/>
  <c r="DE241" i="16"/>
  <c r="AM265" i="16"/>
  <c r="BG265" i="16" s="1"/>
  <c r="AI265" i="16"/>
  <c r="BC265" i="16" s="1"/>
  <c r="Z265" i="16"/>
  <c r="AT265" i="16" s="1"/>
  <c r="AN265" i="16"/>
  <c r="BH265" i="16" s="1"/>
  <c r="AI242" i="16"/>
  <c r="BC242" i="16" s="1"/>
  <c r="AG242" i="16"/>
  <c r="BA242" i="16" s="1"/>
  <c r="AO242" i="16"/>
  <c r="BI242" i="16" s="1"/>
  <c r="AN242" i="16"/>
  <c r="BH242" i="16" s="1"/>
  <c r="DF242" i="16" s="1"/>
  <c r="Z196" i="16"/>
  <c r="AT196" i="16" s="1"/>
  <c r="CC197" i="16" s="1"/>
  <c r="AE196" i="16"/>
  <c r="AY196" i="16" s="1"/>
  <c r="AI196" i="16"/>
  <c r="BC196" i="16" s="1"/>
  <c r="DG196" i="16" s="1"/>
  <c r="I65" i="31"/>
  <c r="BS366" i="16"/>
  <c r="CT367" i="16" s="1"/>
  <c r="DI81" i="16"/>
  <c r="DI127" i="16"/>
  <c r="I68" i="21"/>
  <c r="BN59" i="16"/>
  <c r="BR60" i="16" s="1"/>
  <c r="CS61" i="16" s="1"/>
  <c r="BX192" i="16"/>
  <c r="CY193" i="16" s="1"/>
  <c r="CJ59" i="16"/>
  <c r="I68" i="18"/>
  <c r="M12" i="31"/>
  <c r="DI58" i="16"/>
  <c r="DI150" i="16"/>
  <c r="DB82" i="16"/>
  <c r="DE59" i="16"/>
  <c r="M50" i="25"/>
  <c r="M50" i="27" s="1"/>
  <c r="M9" i="25"/>
  <c r="M44" i="10"/>
  <c r="N62" i="10" s="1"/>
  <c r="DI104" i="16"/>
  <c r="AJ129" i="16"/>
  <c r="BD129" i="16" s="1"/>
  <c r="CN130" i="16" s="1"/>
  <c r="BP83" i="16"/>
  <c r="CL84" i="16" s="1"/>
  <c r="BW37" i="16"/>
  <c r="CX38" i="16" s="1"/>
  <c r="DH81" i="16"/>
  <c r="DH127" i="16"/>
  <c r="BW60" i="16"/>
  <c r="CX61" i="16" s="1"/>
  <c r="BV344" i="16"/>
  <c r="CW345" i="16" s="1"/>
  <c r="M13" i="13"/>
  <c r="N26" i="13" s="1"/>
  <c r="N51" i="25" s="1"/>
  <c r="DK151" i="16"/>
  <c r="DJ128" i="16"/>
  <c r="DE105" i="16"/>
  <c r="CW453" i="16"/>
  <c r="L66" i="20" s="1"/>
  <c r="M26" i="13"/>
  <c r="M51" i="25" s="1"/>
  <c r="Y106" i="16"/>
  <c r="AS106" i="16" s="1"/>
  <c r="DB128" i="16"/>
  <c r="AD83" i="16"/>
  <c r="AX83" i="16" s="1"/>
  <c r="CF84" i="16" s="1"/>
  <c r="K14" i="27"/>
  <c r="CQ106" i="16"/>
  <c r="CL60" i="16"/>
  <c r="DB151" i="16"/>
  <c r="BS37" i="16"/>
  <c r="CT38" i="16" s="1"/>
  <c r="DJ105" i="16"/>
  <c r="DD105" i="16"/>
  <c r="DD128" i="16"/>
  <c r="Z106" i="16"/>
  <c r="AT106" i="16" s="1"/>
  <c r="CC107" i="16" s="1"/>
  <c r="CL37" i="16"/>
  <c r="AG129" i="16"/>
  <c r="BA129" i="16" s="1"/>
  <c r="BS60" i="16"/>
  <c r="CT61" i="16" s="1"/>
  <c r="AH129" i="16"/>
  <c r="BB129" i="16" s="1"/>
  <c r="DE128" i="16"/>
  <c r="CL83" i="16"/>
  <c r="BN83" i="16"/>
  <c r="CJ84" i="16" s="1"/>
  <c r="AI83" i="16"/>
  <c r="BC83" i="16" s="1"/>
  <c r="CM84" i="16" s="1"/>
  <c r="BR127" i="16"/>
  <c r="CS128" i="16" s="1"/>
  <c r="DG105" i="16"/>
  <c r="AK106" i="16"/>
  <c r="BE106" i="16" s="1"/>
  <c r="CO107" i="16" s="1"/>
  <c r="DK105" i="16"/>
  <c r="CH106" i="16"/>
  <c r="CG129" i="16"/>
  <c r="BX82" i="16"/>
  <c r="AI106" i="16"/>
  <c r="BC106" i="16" s="1"/>
  <c r="CM107" i="16" s="1"/>
  <c r="AO129" i="16"/>
  <c r="BI129" i="16" s="1"/>
  <c r="H72" i="18"/>
  <c r="AM129" i="16"/>
  <c r="BG129" i="16" s="1"/>
  <c r="CQ130" i="16" s="1"/>
  <c r="AD106" i="16"/>
  <c r="AX106" i="16" s="1"/>
  <c r="CF107" i="16" s="1"/>
  <c r="CO129" i="16"/>
  <c r="BP37" i="16"/>
  <c r="CL38" i="16" s="1"/>
  <c r="AO152" i="16"/>
  <c r="BI152" i="16" s="1"/>
  <c r="DD82" i="16"/>
  <c r="DJ82" i="16"/>
  <c r="DG128" i="16"/>
  <c r="DK128" i="16"/>
  <c r="G37" i="29"/>
  <c r="M15" i="18"/>
  <c r="M25" i="31"/>
  <c r="N12" i="13"/>
  <c r="N12" i="31" s="1"/>
  <c r="G38" i="21"/>
  <c r="G54" i="25"/>
  <c r="G55" i="25" s="1"/>
  <c r="DB105" i="16"/>
  <c r="AE129" i="16"/>
  <c r="AY129" i="16" s="1"/>
  <c r="CG130" i="16" s="1"/>
  <c r="AB129" i="16"/>
  <c r="AV129" i="16" s="1"/>
  <c r="AF129" i="16"/>
  <c r="AZ129" i="16" s="1"/>
  <c r="CH130" i="16" s="1"/>
  <c r="AL129" i="16"/>
  <c r="BF129" i="16" s="1"/>
  <c r="AC129" i="16"/>
  <c r="AW129" i="16" s="1"/>
  <c r="CE130" i="16" s="1"/>
  <c r="AF83" i="16"/>
  <c r="AZ83" i="16" s="1"/>
  <c r="CH84" i="16" s="1"/>
  <c r="DF105" i="16"/>
  <c r="AJ106" i="16"/>
  <c r="BD106" i="16" s="1"/>
  <c r="AF106" i="16"/>
  <c r="AZ106" i="16" s="1"/>
  <c r="CH107" i="16" s="1"/>
  <c r="AN106" i="16"/>
  <c r="BH106" i="16" s="1"/>
  <c r="AG106" i="16"/>
  <c r="BA106" i="16" s="1"/>
  <c r="G56" i="18"/>
  <c r="DF82" i="16"/>
  <c r="BO234" i="16"/>
  <c r="CK234" i="16"/>
  <c r="BV234" i="16"/>
  <c r="CW235" i="16" s="1"/>
  <c r="CF152" i="16"/>
  <c r="AN129" i="16"/>
  <c r="BH129" i="16" s="1"/>
  <c r="Z129" i="16"/>
  <c r="AT129" i="16" s="1"/>
  <c r="CC130" i="16" s="1"/>
  <c r="Y129" i="16"/>
  <c r="AA129" i="16"/>
  <c r="AU129" i="16" s="1"/>
  <c r="CD130" i="16" s="1"/>
  <c r="AD129" i="16"/>
  <c r="AX129" i="16" s="1"/>
  <c r="CF130" i="16" s="1"/>
  <c r="AB106" i="16"/>
  <c r="AV106" i="16" s="1"/>
  <c r="AM106" i="16"/>
  <c r="BG106" i="16" s="1"/>
  <c r="CQ107" i="16" s="1"/>
  <c r="AO106" i="16"/>
  <c r="BI106" i="16" s="1"/>
  <c r="AL106" i="16"/>
  <c r="BF106" i="16" s="1"/>
  <c r="CP107" i="16" s="1"/>
  <c r="DF128" i="16"/>
  <c r="DI128" i="16" s="1"/>
  <c r="DE82" i="16"/>
  <c r="DJ59" i="16"/>
  <c r="DH35" i="16"/>
  <c r="BV60" i="16"/>
  <c r="CW61" i="16" s="1"/>
  <c r="DH150" i="16"/>
  <c r="DG82" i="16"/>
  <c r="BR169" i="16"/>
  <c r="CS170" i="16" s="1"/>
  <c r="AI129" i="16"/>
  <c r="BC129" i="16" s="1"/>
  <c r="CM130" i="16" s="1"/>
  <c r="AS128" i="16"/>
  <c r="DC128" i="16" s="1"/>
  <c r="AK129" i="16"/>
  <c r="BE129" i="16" s="1"/>
  <c r="CO130" i="16" s="1"/>
  <c r="AN83" i="16"/>
  <c r="BH83" i="16" s="1"/>
  <c r="AA83" i="16"/>
  <c r="AU83" i="16" s="1"/>
  <c r="CD84" i="16" s="1"/>
  <c r="AE106" i="16"/>
  <c r="AY106" i="16" s="1"/>
  <c r="AC106" i="16"/>
  <c r="AW106" i="16" s="1"/>
  <c r="CE107" i="16" s="1"/>
  <c r="AA106" i="16"/>
  <c r="AU106" i="16" s="1"/>
  <c r="CD107" i="16" s="1"/>
  <c r="AH106" i="16"/>
  <c r="BB106" i="16" s="1"/>
  <c r="L18" i="31"/>
  <c r="M31" i="10"/>
  <c r="M31" i="31" s="1"/>
  <c r="M8" i="25"/>
  <c r="M8" i="27" s="1"/>
  <c r="N4" i="13"/>
  <c r="N13" i="25" s="1"/>
  <c r="F34" i="29"/>
  <c r="M6" i="18"/>
  <c r="L21" i="18"/>
  <c r="N7" i="13"/>
  <c r="N44" i="25" s="1"/>
  <c r="N3" i="13"/>
  <c r="N3" i="31" s="1"/>
  <c r="AB83" i="16"/>
  <c r="AV83" i="16" s="1"/>
  <c r="AE83" i="16"/>
  <c r="AY83" i="16" s="1"/>
  <c r="CG84" i="16" s="1"/>
  <c r="G38" i="25"/>
  <c r="G38" i="27" s="1"/>
  <c r="DJ151" i="16"/>
  <c r="DK82" i="16"/>
  <c r="BX235" i="16"/>
  <c r="CY236" i="16" s="1"/>
  <c r="BP235" i="16"/>
  <c r="CL235" i="16"/>
  <c r="CM83" i="16"/>
  <c r="AH83" i="16"/>
  <c r="BB83" i="16" s="1"/>
  <c r="AL83" i="16"/>
  <c r="BF83" i="16" s="1"/>
  <c r="CP84" i="16" s="1"/>
  <c r="AM83" i="16"/>
  <c r="BG83" i="16" s="1"/>
  <c r="CQ84" i="16" s="1"/>
  <c r="AK83" i="16"/>
  <c r="BE83" i="16" s="1"/>
  <c r="CO84" i="16" s="1"/>
  <c r="CC83" i="16"/>
  <c r="H39" i="13"/>
  <c r="H39" i="32" s="1"/>
  <c r="CI60" i="16"/>
  <c r="CQ83" i="16"/>
  <c r="H72" i="21"/>
  <c r="I62" i="17"/>
  <c r="DJ36" i="16"/>
  <c r="G53" i="31"/>
  <c r="DE151" i="16"/>
  <c r="AJ83" i="16"/>
  <c r="BD83" i="16" s="1"/>
  <c r="Z83" i="16"/>
  <c r="AT83" i="16" s="1"/>
  <c r="CC84" i="16" s="1"/>
  <c r="Y83" i="16"/>
  <c r="AS83" i="16" s="1"/>
  <c r="CY454" i="16"/>
  <c r="M68" i="20" s="1"/>
  <c r="CI37" i="16"/>
  <c r="AA152" i="16"/>
  <c r="AU152" i="16" s="1"/>
  <c r="CD153" i="16" s="1"/>
  <c r="AC83" i="16"/>
  <c r="AW83" i="16" s="1"/>
  <c r="CE84" i="16" s="1"/>
  <c r="AO83" i="16"/>
  <c r="BI83" i="16" s="1"/>
  <c r="AG83" i="16"/>
  <c r="BA83" i="16" s="1"/>
  <c r="DF151" i="16"/>
  <c r="L47" i="18"/>
  <c r="DF59" i="16"/>
  <c r="H69" i="32"/>
  <c r="AI152" i="16"/>
  <c r="BC152" i="16" s="1"/>
  <c r="CM153" i="16" s="1"/>
  <c r="F55" i="28"/>
  <c r="L62" i="31"/>
  <c r="N18" i="13"/>
  <c r="O31" i="13" s="1"/>
  <c r="BR37" i="16"/>
  <c r="CS38" i="16" s="1"/>
  <c r="BN37" i="16"/>
  <c r="CJ38" i="16" s="1"/>
  <c r="G63" i="28"/>
  <c r="L21" i="10"/>
  <c r="L32" i="26" s="1"/>
  <c r="M62" i="31"/>
  <c r="DH451" i="16"/>
  <c r="DD59" i="16"/>
  <c r="DK59" i="16"/>
  <c r="H62" i="25"/>
  <c r="H62" i="27" s="1"/>
  <c r="CN60" i="16"/>
  <c r="AN152" i="16"/>
  <c r="BH152" i="16" s="1"/>
  <c r="CK37" i="16"/>
  <c r="N31" i="13"/>
  <c r="CW432" i="16"/>
  <c r="BV432" i="16"/>
  <c r="AS151" i="16"/>
  <c r="CB152" i="16" s="1"/>
  <c r="F38" i="29"/>
  <c r="K39" i="26"/>
  <c r="AC152" i="16"/>
  <c r="AW152" i="16" s="1"/>
  <c r="CE153" i="16" s="1"/>
  <c r="I51" i="20"/>
  <c r="I51" i="33" s="1"/>
  <c r="DD151" i="16"/>
  <c r="DG151" i="16"/>
  <c r="BM60" i="16"/>
  <c r="DI287" i="16"/>
  <c r="L44" i="31"/>
  <c r="CI126" i="16"/>
  <c r="BM126" i="16"/>
  <c r="BS126" i="16"/>
  <c r="CT127" i="16" s="1"/>
  <c r="M44" i="13"/>
  <c r="N62" i="13" s="1"/>
  <c r="BX257" i="16"/>
  <c r="CY258" i="16" s="1"/>
  <c r="BP257" i="16"/>
  <c r="CL257" i="16"/>
  <c r="L46" i="26"/>
  <c r="L46" i="27" s="1"/>
  <c r="L9" i="33"/>
  <c r="L12" i="18"/>
  <c r="L9" i="31"/>
  <c r="K47" i="26"/>
  <c r="K10" i="31"/>
  <c r="K13" i="18"/>
  <c r="CV103" i="16"/>
  <c r="BU103" i="16"/>
  <c r="L45" i="26"/>
  <c r="L45" i="27" s="1"/>
  <c r="L8" i="33"/>
  <c r="L10" i="10"/>
  <c r="AD152" i="16"/>
  <c r="AX152" i="16" s="1"/>
  <c r="CF153" i="16" s="1"/>
  <c r="DF36" i="16"/>
  <c r="L51" i="26"/>
  <c r="L51" i="27" s="1"/>
  <c r="L26" i="33"/>
  <c r="L29" i="18"/>
  <c r="N9" i="13"/>
  <c r="N46" i="25" s="1"/>
  <c r="AM37" i="16"/>
  <c r="BG37" i="16" s="1"/>
  <c r="CQ38" i="16" s="1"/>
  <c r="AL152" i="16"/>
  <c r="BF152" i="16" s="1"/>
  <c r="CP153" i="16" s="1"/>
  <c r="BM37" i="16"/>
  <c r="CI38" i="16" s="1"/>
  <c r="BO60" i="16"/>
  <c r="DI35" i="16"/>
  <c r="L5" i="31"/>
  <c r="L30" i="26"/>
  <c r="L30" i="27" s="1"/>
  <c r="L8" i="18"/>
  <c r="M9" i="10"/>
  <c r="M18" i="10"/>
  <c r="L58" i="26"/>
  <c r="L56" i="33"/>
  <c r="L11" i="18"/>
  <c r="G54" i="26"/>
  <c r="G65" i="26" s="1"/>
  <c r="G35" i="33"/>
  <c r="M26" i="10"/>
  <c r="L14" i="26"/>
  <c r="L14" i="27" s="1"/>
  <c r="L13" i="31"/>
  <c r="L16" i="18"/>
  <c r="M17" i="10"/>
  <c r="M38" i="10"/>
  <c r="AF152" i="16"/>
  <c r="AZ152" i="16" s="1"/>
  <c r="CH153" i="16" s="1"/>
  <c r="AE152" i="16"/>
  <c r="AY152" i="16" s="1"/>
  <c r="CG153" i="16" s="1"/>
  <c r="E41" i="29"/>
  <c r="CK60" i="16"/>
  <c r="L8" i="31"/>
  <c r="M63" i="10"/>
  <c r="K16" i="26"/>
  <c r="BQ37" i="16"/>
  <c r="CR38" i="16" s="1"/>
  <c r="AJ152" i="16"/>
  <c r="BD152" i="16" s="1"/>
  <c r="CN153" i="16" s="1"/>
  <c r="AK152" i="16"/>
  <c r="BE152" i="16" s="1"/>
  <c r="CO153" i="16" s="1"/>
  <c r="AG152" i="16"/>
  <c r="BA152" i="16" s="1"/>
  <c r="CQ152" i="16"/>
  <c r="N50" i="26"/>
  <c r="CD37" i="16"/>
  <c r="AF60" i="16"/>
  <c r="AZ60" i="16" s="1"/>
  <c r="CH61" i="16" s="1"/>
  <c r="DH58" i="16"/>
  <c r="L15" i="26"/>
  <c r="M56" i="10"/>
  <c r="N5" i="13"/>
  <c r="O9" i="13" s="1"/>
  <c r="CM37" i="16"/>
  <c r="M43" i="10"/>
  <c r="N61" i="10" s="1"/>
  <c r="M65" i="18"/>
  <c r="AI37" i="16"/>
  <c r="BC37" i="16" s="1"/>
  <c r="F66" i="28"/>
  <c r="Y152" i="16"/>
  <c r="AS152" i="16" s="1"/>
  <c r="AB152" i="16"/>
  <c r="AV152" i="16" s="1"/>
  <c r="Z152" i="16"/>
  <c r="AT152" i="16" s="1"/>
  <c r="CC153" i="16" s="1"/>
  <c r="AH152" i="16"/>
  <c r="BB152" i="16" s="1"/>
  <c r="AM152" i="16"/>
  <c r="BG152" i="16" s="1"/>
  <c r="CQ153" i="16" s="1"/>
  <c r="H31" i="23"/>
  <c r="H28" i="33"/>
  <c r="DH287" i="16"/>
  <c r="N57" i="26"/>
  <c r="DK196" i="16"/>
  <c r="H36" i="23"/>
  <c r="H33" i="33"/>
  <c r="L51" i="10"/>
  <c r="L36" i="26" s="1"/>
  <c r="AH60" i="16"/>
  <c r="BB60" i="16" s="1"/>
  <c r="DB59" i="16"/>
  <c r="DE36" i="16"/>
  <c r="CV235" i="16"/>
  <c r="BU235" i="16"/>
  <c r="M30" i="10"/>
  <c r="M45" i="10"/>
  <c r="K13" i="27"/>
  <c r="M13" i="10"/>
  <c r="M5" i="10"/>
  <c r="M4" i="10"/>
  <c r="L13" i="26"/>
  <c r="M8" i="10"/>
  <c r="L7" i="18"/>
  <c r="K38" i="33"/>
  <c r="BU59" i="16"/>
  <c r="J10" i="32"/>
  <c r="H27" i="32"/>
  <c r="L56" i="32"/>
  <c r="H41" i="32"/>
  <c r="H49" i="32"/>
  <c r="J69" i="20"/>
  <c r="J62" i="17" s="1"/>
  <c r="J63" i="32"/>
  <c r="J37" i="32"/>
  <c r="K13" i="32"/>
  <c r="H28" i="32"/>
  <c r="G22" i="32"/>
  <c r="L9" i="32"/>
  <c r="K7" i="32"/>
  <c r="L62" i="32"/>
  <c r="K12" i="32"/>
  <c r="H21" i="32"/>
  <c r="H46" i="32"/>
  <c r="H20" i="32"/>
  <c r="H50" i="32"/>
  <c r="CU257" i="16"/>
  <c r="BT257" i="16"/>
  <c r="BP323" i="16"/>
  <c r="CL323" i="16"/>
  <c r="BX323" i="16"/>
  <c r="CY324" i="16" s="1"/>
  <c r="G53" i="32"/>
  <c r="N8" i="13"/>
  <c r="G76" i="21"/>
  <c r="G78" i="21" s="1"/>
  <c r="H48" i="32"/>
  <c r="H19" i="32"/>
  <c r="DD36" i="16"/>
  <c r="K5" i="32"/>
  <c r="I17" i="32"/>
  <c r="H59" i="32"/>
  <c r="J15" i="29"/>
  <c r="Z37" i="16"/>
  <c r="AT37" i="16" s="1"/>
  <c r="CC38" i="16" s="1"/>
  <c r="I45" i="32"/>
  <c r="BU37" i="16"/>
  <c r="CV38" i="16" s="1"/>
  <c r="H57" i="32"/>
  <c r="K31" i="32"/>
  <c r="H51" i="32"/>
  <c r="K18" i="32"/>
  <c r="H33" i="32"/>
  <c r="AB60" i="16"/>
  <c r="AV60" i="16" s="1"/>
  <c r="AM60" i="16"/>
  <c r="BG60" i="16" s="1"/>
  <c r="CL434" i="16"/>
  <c r="BX434" i="16"/>
  <c r="CY435" i="16" s="1"/>
  <c r="BP434" i="16"/>
  <c r="K61" i="32"/>
  <c r="DB36" i="16"/>
  <c r="BP301" i="16"/>
  <c r="BX301" i="16"/>
  <c r="CY302" i="16" s="1"/>
  <c r="CL301" i="16"/>
  <c r="CY213" i="16"/>
  <c r="BX213" i="16"/>
  <c r="L8" i="32"/>
  <c r="M13" i="25"/>
  <c r="H32" i="32"/>
  <c r="J30" i="32"/>
  <c r="K44" i="32"/>
  <c r="AN37" i="16"/>
  <c r="BH37" i="16" s="1"/>
  <c r="AL37" i="16"/>
  <c r="BF37" i="16" s="1"/>
  <c r="CP38" i="16" s="1"/>
  <c r="L25" i="32"/>
  <c r="BP60" i="16"/>
  <c r="CL61" i="16" s="1"/>
  <c r="I3" i="32"/>
  <c r="J4" i="32"/>
  <c r="L55" i="32"/>
  <c r="H40" i="32"/>
  <c r="AE60" i="16"/>
  <c r="AY60" i="16" s="1"/>
  <c r="AC37" i="16"/>
  <c r="AW37" i="16" s="1"/>
  <c r="CE38" i="16" s="1"/>
  <c r="CL389" i="16"/>
  <c r="BP389" i="16"/>
  <c r="BX389" i="16"/>
  <c r="CY390" i="16" s="1"/>
  <c r="BN104" i="16"/>
  <c r="CJ104" i="16"/>
  <c r="BR104" i="16"/>
  <c r="CS105" i="16" s="1"/>
  <c r="CK322" i="16"/>
  <c r="BO322" i="16"/>
  <c r="BV322" i="16"/>
  <c r="CW323" i="16" s="1"/>
  <c r="H48" i="31"/>
  <c r="L43" i="31"/>
  <c r="L45" i="31"/>
  <c r="H40" i="31"/>
  <c r="CR367" i="16"/>
  <c r="BQ367" i="16"/>
  <c r="CS81" i="16"/>
  <c r="BR81" i="16"/>
  <c r="BO345" i="16"/>
  <c r="CK345" i="16"/>
  <c r="CV82" i="16"/>
  <c r="BU82" i="16"/>
  <c r="CX344" i="16"/>
  <c r="BW344" i="16"/>
  <c r="BU256" i="16"/>
  <c r="CV256" i="16"/>
  <c r="BX169" i="16"/>
  <c r="CY170" i="16" s="1"/>
  <c r="CL169" i="16"/>
  <c r="BP169" i="16"/>
  <c r="BO279" i="16"/>
  <c r="CK279" i="16"/>
  <c r="BV279" i="16"/>
  <c r="CW280" i="16" s="1"/>
  <c r="BO168" i="16"/>
  <c r="CK168" i="16"/>
  <c r="BV168" i="16"/>
  <c r="CW169" i="16" s="1"/>
  <c r="BT388" i="16"/>
  <c r="CU388" i="16"/>
  <c r="BT168" i="16"/>
  <c r="CU168" i="16"/>
  <c r="CU432" i="16"/>
  <c r="BT432" i="16"/>
  <c r="CL279" i="16"/>
  <c r="BP279" i="16"/>
  <c r="BX279" i="16"/>
  <c r="CY280" i="16" s="1"/>
  <c r="CU367" i="16"/>
  <c r="BT367" i="16"/>
  <c r="H27" i="31"/>
  <c r="BO37" i="16"/>
  <c r="CK38" i="16" s="1"/>
  <c r="L66" i="18"/>
  <c r="L63" i="31"/>
  <c r="AE37" i="16"/>
  <c r="AY37" i="16" s="1"/>
  <c r="N25" i="31"/>
  <c r="L55" i="31"/>
  <c r="H46" i="31"/>
  <c r="L61" i="31"/>
  <c r="H20" i="31"/>
  <c r="H50" i="31"/>
  <c r="AG60" i="16"/>
  <c r="BA60" i="16" s="1"/>
  <c r="AK60" i="16"/>
  <c r="BE60" i="16" s="1"/>
  <c r="CO61" i="16" s="1"/>
  <c r="CW125" i="16"/>
  <c r="BV125" i="16"/>
  <c r="BT234" i="16"/>
  <c r="CU234" i="16"/>
  <c r="BT300" i="16"/>
  <c r="CU300" i="16"/>
  <c r="BW389" i="16"/>
  <c r="CX389" i="16"/>
  <c r="H32" i="31"/>
  <c r="DG36" i="16"/>
  <c r="L56" i="31"/>
  <c r="H59" i="31"/>
  <c r="DC58" i="16"/>
  <c r="L17" i="31"/>
  <c r="K21" i="31"/>
  <c r="AG37" i="16"/>
  <c r="BA37" i="16" s="1"/>
  <c r="Y37" i="16"/>
  <c r="AJ37" i="16"/>
  <c r="BD37" i="16" s="1"/>
  <c r="CN38" i="16" s="1"/>
  <c r="AD37" i="16"/>
  <c r="AX37" i="16" s="1"/>
  <c r="CF38" i="16" s="1"/>
  <c r="DG59" i="16"/>
  <c r="F6" i="29"/>
  <c r="L38" i="31"/>
  <c r="H57" i="31"/>
  <c r="H33" i="31"/>
  <c r="Z60" i="16"/>
  <c r="AT60" i="16" s="1"/>
  <c r="CC61" i="16" s="1"/>
  <c r="AL60" i="16"/>
  <c r="BF60" i="16" s="1"/>
  <c r="AC60" i="16"/>
  <c r="AW60" i="16" s="1"/>
  <c r="CE61" i="16" s="1"/>
  <c r="AN60" i="16"/>
  <c r="BH60" i="16" s="1"/>
  <c r="AS59" i="16"/>
  <c r="DC59" i="16" s="1"/>
  <c r="BQ412" i="16"/>
  <c r="CR412" i="16"/>
  <c r="BW234" i="16"/>
  <c r="CX234" i="16"/>
  <c r="BW410" i="16"/>
  <c r="CX410" i="16"/>
  <c r="CV169" i="16"/>
  <c r="BU169" i="16"/>
  <c r="BU366" i="16"/>
  <c r="CV366" i="16"/>
  <c r="CL215" i="16"/>
  <c r="BP215" i="16"/>
  <c r="CL411" i="16"/>
  <c r="BP411" i="16"/>
  <c r="BX411" i="16"/>
  <c r="CY412" i="16" s="1"/>
  <c r="CV433" i="16"/>
  <c r="BU433" i="16"/>
  <c r="BR212" i="16"/>
  <c r="CS213" i="16" s="1"/>
  <c r="BN212" i="16"/>
  <c r="CJ212" i="16"/>
  <c r="CU411" i="16"/>
  <c r="BT411" i="16"/>
  <c r="CX256" i="16"/>
  <c r="BW256" i="16"/>
  <c r="CK256" i="16"/>
  <c r="BV256" i="16"/>
  <c r="CW257" i="16" s="1"/>
  <c r="BO256" i="16"/>
  <c r="G35" i="31"/>
  <c r="H19" i="31"/>
  <c r="DK36" i="16"/>
  <c r="AB37" i="16"/>
  <c r="AV37" i="16" s="1"/>
  <c r="AF37" i="16"/>
  <c r="AZ37" i="16" s="1"/>
  <c r="CH38" i="16" s="1"/>
  <c r="AH37" i="16"/>
  <c r="BB37" i="16" s="1"/>
  <c r="Y60" i="16"/>
  <c r="AS60" i="16" s="1"/>
  <c r="AJ60" i="16"/>
  <c r="BD60" i="16" s="1"/>
  <c r="CN61" i="16" s="1"/>
  <c r="CX147" i="16"/>
  <c r="BW147" i="16"/>
  <c r="BN388" i="16"/>
  <c r="CJ388" i="16"/>
  <c r="BR388" i="16"/>
  <c r="CS389" i="16" s="1"/>
  <c r="CV323" i="16"/>
  <c r="BU323" i="16"/>
  <c r="BR300" i="16"/>
  <c r="CS301" i="16" s="1"/>
  <c r="BN300" i="16"/>
  <c r="CJ300" i="16"/>
  <c r="CU104" i="16"/>
  <c r="BT104" i="16"/>
  <c r="G22" i="31"/>
  <c r="BT37" i="16"/>
  <c r="CU38" i="16" s="1"/>
  <c r="DI241" i="16"/>
  <c r="H41" i="31"/>
  <c r="H49" i="31"/>
  <c r="L30" i="31"/>
  <c r="G38" i="23"/>
  <c r="AA37" i="16"/>
  <c r="AU37" i="16" s="1"/>
  <c r="AS36" i="16"/>
  <c r="CB37" i="16" s="1"/>
  <c r="AK37" i="16"/>
  <c r="BE37" i="16" s="1"/>
  <c r="CO38" i="16" s="1"/>
  <c r="AO37" i="16"/>
  <c r="BI37" i="16" s="1"/>
  <c r="DI12" i="16"/>
  <c r="G76" i="23"/>
  <c r="G78" i="23" s="1"/>
  <c r="L37" i="31"/>
  <c r="DJ196" i="16"/>
  <c r="CX453" i="16"/>
  <c r="L67" i="20" s="1"/>
  <c r="K51" i="31"/>
  <c r="H28" i="31"/>
  <c r="AI60" i="16"/>
  <c r="BC60" i="16" s="1"/>
  <c r="CM61" i="16" s="1"/>
  <c r="AO60" i="16"/>
  <c r="BI60" i="16" s="1"/>
  <c r="AD60" i="16"/>
  <c r="AX60" i="16" s="1"/>
  <c r="CF61" i="16" s="1"/>
  <c r="AA60" i="16"/>
  <c r="AU60" i="16" s="1"/>
  <c r="CD61" i="16" s="1"/>
  <c r="CX191" i="16"/>
  <c r="BW191" i="16"/>
  <c r="BU344" i="16"/>
  <c r="CV344" i="16"/>
  <c r="BW300" i="16"/>
  <c r="CX300" i="16"/>
  <c r="CI344" i="16"/>
  <c r="BM344" i="16"/>
  <c r="BS344" i="16"/>
  <c r="CT345" i="16" s="1"/>
  <c r="CK190" i="16"/>
  <c r="BV190" i="16"/>
  <c r="CW191" i="16" s="1"/>
  <c r="BO190" i="16"/>
  <c r="K64" i="21"/>
  <c r="K64" i="23"/>
  <c r="J44" i="28"/>
  <c r="J44" i="29"/>
  <c r="CR189" i="16"/>
  <c r="CR453" i="16" s="1"/>
  <c r="L61" i="20" s="1"/>
  <c r="L61" i="33" s="1"/>
  <c r="BQ189" i="16"/>
  <c r="BQ453" i="16" s="1"/>
  <c r="L43" i="20" s="1"/>
  <c r="L43" i="33" s="1"/>
  <c r="H22" i="13"/>
  <c r="I32" i="13"/>
  <c r="I48" i="13"/>
  <c r="H22" i="18"/>
  <c r="H22" i="21"/>
  <c r="DC451" i="16"/>
  <c r="J3" i="20"/>
  <c r="J3" i="33" s="1"/>
  <c r="DB452" i="16"/>
  <c r="K4" i="20"/>
  <c r="K4" i="33" s="1"/>
  <c r="CG14" i="16"/>
  <c r="CG454" i="16" s="1"/>
  <c r="M27" i="20" s="1"/>
  <c r="AY453" i="16"/>
  <c r="DD13" i="16"/>
  <c r="BO14" i="16"/>
  <c r="BC453" i="16"/>
  <c r="DG13" i="16"/>
  <c r="CM14" i="16"/>
  <c r="CM454" i="16" s="1"/>
  <c r="M55" i="20" s="1"/>
  <c r="M55" i="33" s="1"/>
  <c r="DF13" i="16"/>
  <c r="J33" i="23"/>
  <c r="J34" i="20"/>
  <c r="J33" i="21"/>
  <c r="CR345" i="16"/>
  <c r="BQ345" i="16"/>
  <c r="L20" i="18"/>
  <c r="M45" i="13"/>
  <c r="L21" i="13"/>
  <c r="M30" i="13"/>
  <c r="M17" i="13"/>
  <c r="F27" i="27"/>
  <c r="F27" i="29"/>
  <c r="I48" i="10"/>
  <c r="I48" i="33" s="1"/>
  <c r="I32" i="10"/>
  <c r="I32" i="33" s="1"/>
  <c r="H22" i="10"/>
  <c r="H22" i="33" s="1"/>
  <c r="H22" i="23"/>
  <c r="BU388" i="16"/>
  <c r="CV388" i="16"/>
  <c r="CL193" i="16"/>
  <c r="BP193" i="16"/>
  <c r="I57" i="10"/>
  <c r="I57" i="33" s="1"/>
  <c r="I40" i="10"/>
  <c r="I40" i="33" s="1"/>
  <c r="I46" i="10"/>
  <c r="I46" i="33" s="1"/>
  <c r="H23" i="26"/>
  <c r="H42" i="23"/>
  <c r="BO388" i="16"/>
  <c r="BV388" i="16"/>
  <c r="CW389" i="16" s="1"/>
  <c r="CK388" i="16"/>
  <c r="N50" i="25"/>
  <c r="N28" i="18"/>
  <c r="CU148" i="16"/>
  <c r="BT148" i="16"/>
  <c r="K16" i="23"/>
  <c r="K14" i="17"/>
  <c r="K16" i="21"/>
  <c r="J11" i="27"/>
  <c r="CD175" i="16"/>
  <c r="CH175" i="16"/>
  <c r="BP346" i="16"/>
  <c r="BX346" i="16"/>
  <c r="CY347" i="16" s="1"/>
  <c r="CL346" i="16"/>
  <c r="H24" i="23"/>
  <c r="H32" i="17"/>
  <c r="H24" i="21"/>
  <c r="H23" i="20"/>
  <c r="BM367" i="16"/>
  <c r="CI367" i="16"/>
  <c r="I47" i="13"/>
  <c r="I58" i="13"/>
  <c r="H43" i="18"/>
  <c r="H43" i="21"/>
  <c r="J32" i="27"/>
  <c r="J39" i="25"/>
  <c r="G36" i="28"/>
  <c r="G36" i="29"/>
  <c r="CX433" i="16"/>
  <c r="BW433" i="16"/>
  <c r="CG197" i="16"/>
  <c r="CD220" i="16"/>
  <c r="CP220" i="16"/>
  <c r="G27" i="25"/>
  <c r="G20" i="27"/>
  <c r="G20" i="29"/>
  <c r="BV367" i="16"/>
  <c r="CW368" i="16" s="1"/>
  <c r="BO367" i="16"/>
  <c r="CK367" i="16"/>
  <c r="H36" i="18"/>
  <c r="H36" i="21"/>
  <c r="CR125" i="16"/>
  <c r="BQ125" i="16"/>
  <c r="I66" i="13"/>
  <c r="H51" i="18"/>
  <c r="H51" i="21"/>
  <c r="H52" i="25"/>
  <c r="H30" i="18"/>
  <c r="H30" i="21"/>
  <c r="CL126" i="16"/>
  <c r="BX126" i="16"/>
  <c r="CY127" i="16" s="1"/>
  <c r="BP126" i="16"/>
  <c r="K44" i="17"/>
  <c r="K10" i="20"/>
  <c r="K10" i="33" s="1"/>
  <c r="K10" i="21"/>
  <c r="K10" i="23"/>
  <c r="CO14" i="16"/>
  <c r="CO454" i="16" s="1"/>
  <c r="M57" i="20" s="1"/>
  <c r="BE453" i="16"/>
  <c r="DE13" i="16"/>
  <c r="BT14" i="16"/>
  <c r="BP14" i="16"/>
  <c r="CH14" i="16"/>
  <c r="CH454" i="16" s="1"/>
  <c r="M28" i="20" s="1"/>
  <c r="AZ453" i="16"/>
  <c r="L15" i="20" s="1"/>
  <c r="CX126" i="16"/>
  <c r="BW126" i="16"/>
  <c r="CD243" i="16"/>
  <c r="BS322" i="16"/>
  <c r="CT323" i="16" s="1"/>
  <c r="CI322" i="16"/>
  <c r="BM322" i="16"/>
  <c r="H61" i="25"/>
  <c r="H62" i="18"/>
  <c r="H62" i="21"/>
  <c r="CU279" i="16"/>
  <c r="BT279" i="16"/>
  <c r="L33" i="18"/>
  <c r="DJ452" i="16"/>
  <c r="DK452" i="16"/>
  <c r="CK128" i="16"/>
  <c r="BO128" i="16"/>
  <c r="CV146" i="16"/>
  <c r="BU146" i="16"/>
  <c r="K52" i="20"/>
  <c r="CK453" i="16"/>
  <c r="L32" i="20" s="1"/>
  <c r="K9" i="17"/>
  <c r="K15" i="23"/>
  <c r="K15" i="21"/>
  <c r="CB83" i="16"/>
  <c r="DC82" i="16"/>
  <c r="BQ433" i="16"/>
  <c r="CR433" i="16"/>
  <c r="I64" i="10"/>
  <c r="I64" i="33" s="1"/>
  <c r="H52" i="10"/>
  <c r="H52" i="33" s="1"/>
  <c r="H49" i="23"/>
  <c r="BQ452" i="16"/>
  <c r="K43" i="20" s="1"/>
  <c r="K43" i="33" s="1"/>
  <c r="J7" i="23"/>
  <c r="J13" i="17"/>
  <c r="J7" i="21"/>
  <c r="F21" i="29"/>
  <c r="F21" i="27"/>
  <c r="L51" i="17"/>
  <c r="L29" i="23"/>
  <c r="L29" i="21"/>
  <c r="BV14" i="16"/>
  <c r="BO453" i="16"/>
  <c r="L19" i="20" s="1"/>
  <c r="CK14" i="16"/>
  <c r="BS410" i="16"/>
  <c r="CT411" i="16" s="1"/>
  <c r="CI410" i="16"/>
  <c r="BM410" i="16"/>
  <c r="CF175" i="16"/>
  <c r="DK174" i="16"/>
  <c r="DJ174" i="16"/>
  <c r="DC105" i="16"/>
  <c r="CB106" i="16"/>
  <c r="H40" i="17"/>
  <c r="E66" i="28"/>
  <c r="E66" i="29"/>
  <c r="BS169" i="16"/>
  <c r="CT170" i="16" s="1"/>
  <c r="CI169" i="16"/>
  <c r="BM169" i="16"/>
  <c r="CI299" i="16"/>
  <c r="BS299" i="16"/>
  <c r="CT300" i="16" s="1"/>
  <c r="BM299" i="16"/>
  <c r="F28" i="26"/>
  <c r="F28" i="28" s="1"/>
  <c r="F26" i="28"/>
  <c r="L60" i="17"/>
  <c r="H34" i="10"/>
  <c r="H34" i="33" s="1"/>
  <c r="H35" i="23"/>
  <c r="CB196" i="16"/>
  <c r="DC195" i="16"/>
  <c r="AA220" i="16"/>
  <c r="AU220" i="16" s="1"/>
  <c r="AE220" i="16"/>
  <c r="AY220" i="16" s="1"/>
  <c r="AI220" i="16"/>
  <c r="BC220" i="16" s="1"/>
  <c r="AS219" i="16"/>
  <c r="H31" i="18"/>
  <c r="H31" i="21"/>
  <c r="CJ453" i="16"/>
  <c r="L31" i="20" s="1"/>
  <c r="L31" i="33" s="1"/>
  <c r="I10" i="28"/>
  <c r="I10" i="29"/>
  <c r="J13" i="23"/>
  <c r="J13" i="21"/>
  <c r="J47" i="17"/>
  <c r="J48" i="17" s="1"/>
  <c r="BR234" i="16"/>
  <c r="CS235" i="16" s="1"/>
  <c r="CJ234" i="16"/>
  <c r="BN234" i="16"/>
  <c r="J37" i="17"/>
  <c r="K30" i="17"/>
  <c r="K8" i="21"/>
  <c r="K8" i="23"/>
  <c r="BW453" i="16"/>
  <c r="L49" i="20" s="1"/>
  <c r="CX14" i="16"/>
  <c r="CP14" i="16"/>
  <c r="CP454" i="16" s="1"/>
  <c r="M58" i="20" s="1"/>
  <c r="BU14" i="16"/>
  <c r="BF453" i="16"/>
  <c r="L40" i="20" s="1"/>
  <c r="AV453" i="16"/>
  <c r="DJ453" i="16" s="1"/>
  <c r="DJ13" i="16"/>
  <c r="DK13" i="16"/>
  <c r="AA14" i="16"/>
  <c r="AU14" i="16" s="1"/>
  <c r="AD14" i="16"/>
  <c r="AX14" i="16" s="1"/>
  <c r="AK14" i="16"/>
  <c r="BE14" i="16" s="1"/>
  <c r="AG14" i="16"/>
  <c r="BA14" i="16" s="1"/>
  <c r="BA454" i="16" s="1"/>
  <c r="AS13" i="16"/>
  <c r="AE14" i="16"/>
  <c r="AY14" i="16" s="1"/>
  <c r="AL14" i="16"/>
  <c r="BF14" i="16" s="1"/>
  <c r="AH14" i="16"/>
  <c r="BB14" i="16" s="1"/>
  <c r="BB454" i="16" s="1"/>
  <c r="AC14" i="16"/>
  <c r="AW14" i="16" s="1"/>
  <c r="AO14" i="16"/>
  <c r="BI14" i="16" s="1"/>
  <c r="BI454" i="16" s="1"/>
  <c r="AI14" i="16"/>
  <c r="BC14" i="16" s="1"/>
  <c r="AN14" i="16"/>
  <c r="BH14" i="16" s="1"/>
  <c r="BH454" i="16" s="1"/>
  <c r="AJ14" i="16"/>
  <c r="BD14" i="16" s="1"/>
  <c r="AF14" i="16"/>
  <c r="AZ14" i="16" s="1"/>
  <c r="AM14" i="16"/>
  <c r="BG14" i="16" s="1"/>
  <c r="Z14" i="16"/>
  <c r="AT14" i="16" s="1"/>
  <c r="Y14" i="16"/>
  <c r="AB14" i="16"/>
  <c r="AV14" i="16" s="1"/>
  <c r="H70" i="13"/>
  <c r="H73" i="21" s="1"/>
  <c r="L51" i="13"/>
  <c r="L46" i="18"/>
  <c r="M61" i="13"/>
  <c r="Z243" i="16"/>
  <c r="AT243" i="16" s="1"/>
  <c r="AS242" i="16"/>
  <c r="CG243" i="16"/>
  <c r="I21" i="20"/>
  <c r="I21" i="33" s="1"/>
  <c r="I20" i="21"/>
  <c r="I20" i="23"/>
  <c r="K50" i="28"/>
  <c r="K50" i="29"/>
  <c r="H24" i="25"/>
  <c r="I59" i="13"/>
  <c r="I49" i="13"/>
  <c r="H44" i="18"/>
  <c r="H44" i="21"/>
  <c r="I67" i="13"/>
  <c r="H52" i="18"/>
  <c r="H52" i="21"/>
  <c r="CK300" i="16"/>
  <c r="BV300" i="16"/>
  <c r="CW301" i="16" s="1"/>
  <c r="BO300" i="16"/>
  <c r="BS146" i="16"/>
  <c r="CT147" i="16" s="1"/>
  <c r="CI146" i="16"/>
  <c r="BM146" i="16"/>
  <c r="L48" i="18"/>
  <c r="M63" i="13"/>
  <c r="F41" i="27"/>
  <c r="K47" i="21"/>
  <c r="K47" i="23"/>
  <c r="DI218" i="16"/>
  <c r="BO411" i="16"/>
  <c r="BV411" i="16"/>
  <c r="CW412" i="16" s="1"/>
  <c r="CK411" i="16"/>
  <c r="BR433" i="16"/>
  <c r="CS434" i="16" s="1"/>
  <c r="BN433" i="16"/>
  <c r="CJ433" i="16"/>
  <c r="K39" i="20"/>
  <c r="DE452" i="16"/>
  <c r="I39" i="27"/>
  <c r="K57" i="27"/>
  <c r="K57" i="29"/>
  <c r="BP368" i="16"/>
  <c r="BX368" i="16"/>
  <c r="CY369" i="16" s="1"/>
  <c r="CL368" i="16"/>
  <c r="I48" i="23"/>
  <c r="I48" i="21"/>
  <c r="K51" i="28"/>
  <c r="K51" i="29"/>
  <c r="G26" i="26"/>
  <c r="G21" i="26"/>
  <c r="G21" i="28" s="1"/>
  <c r="G19" i="28"/>
  <c r="F65" i="28"/>
  <c r="I25" i="17"/>
  <c r="CU453" i="16"/>
  <c r="L64" i="20" s="1"/>
  <c r="N8" i="26"/>
  <c r="O7" i="10"/>
  <c r="O12" i="10"/>
  <c r="O3" i="10"/>
  <c r="BQ235" i="16"/>
  <c r="CR235" i="16"/>
  <c r="I58" i="10"/>
  <c r="I58" i="33" s="1"/>
  <c r="I47" i="10"/>
  <c r="I47" i="33" s="1"/>
  <c r="H43" i="23"/>
  <c r="G27" i="26"/>
  <c r="G27" i="28" s="1"/>
  <c r="G20" i="28"/>
  <c r="CV190" i="16"/>
  <c r="BU190" i="16"/>
  <c r="BN366" i="16"/>
  <c r="CJ366" i="16"/>
  <c r="BR366" i="16"/>
  <c r="CS367" i="16" s="1"/>
  <c r="DI451" i="16"/>
  <c r="CL105" i="16"/>
  <c r="BX105" i="16"/>
  <c r="CY106" i="16" s="1"/>
  <c r="BP105" i="16"/>
  <c r="I47" i="28"/>
  <c r="I47" i="29"/>
  <c r="K14" i="20"/>
  <c r="DD452" i="16"/>
  <c r="K20" i="17"/>
  <c r="CN175" i="16"/>
  <c r="DH241" i="16"/>
  <c r="H59" i="25"/>
  <c r="H60" i="18"/>
  <c r="H60" i="21"/>
  <c r="CR169" i="16"/>
  <c r="BQ169" i="16"/>
  <c r="DH218" i="16"/>
  <c r="BM388" i="16"/>
  <c r="BS388" i="16"/>
  <c r="CT389" i="16" s="1"/>
  <c r="CI388" i="16"/>
  <c r="CK212" i="16"/>
  <c r="BO212" i="16"/>
  <c r="BV212" i="16"/>
  <c r="CW213" i="16" s="1"/>
  <c r="BS257" i="16"/>
  <c r="CT258" i="16" s="1"/>
  <c r="CI257" i="16"/>
  <c r="BM257" i="16"/>
  <c r="O55" i="10"/>
  <c r="N10" i="26"/>
  <c r="F39" i="28"/>
  <c r="F41" i="17"/>
  <c r="F41" i="28" s="1"/>
  <c r="F39" i="29"/>
  <c r="CU324" i="16"/>
  <c r="BT324" i="16"/>
  <c r="G52" i="27"/>
  <c r="G52" i="29"/>
  <c r="CU213" i="16"/>
  <c r="BT213" i="16"/>
  <c r="J30" i="28"/>
  <c r="J30" i="29"/>
  <c r="DH173" i="16"/>
  <c r="BW323" i="16"/>
  <c r="CX323" i="16"/>
  <c r="I49" i="10"/>
  <c r="I49" i="33" s="1"/>
  <c r="I59" i="10"/>
  <c r="I59" i="33" s="1"/>
  <c r="H24" i="26"/>
  <c r="H24" i="28" s="1"/>
  <c r="H44" i="23"/>
  <c r="I67" i="10"/>
  <c r="H52" i="23"/>
  <c r="I66" i="10"/>
  <c r="H51" i="23"/>
  <c r="CO197" i="16"/>
  <c r="CH220" i="16"/>
  <c r="CF220" i="16"/>
  <c r="DJ219" i="16"/>
  <c r="DE219" i="16"/>
  <c r="CO220" i="16"/>
  <c r="BR278" i="16"/>
  <c r="CS279" i="16" s="1"/>
  <c r="CJ278" i="16"/>
  <c r="BN278" i="16"/>
  <c r="M47" i="25"/>
  <c r="I68" i="10"/>
  <c r="H53" i="23"/>
  <c r="K37" i="20"/>
  <c r="K37" i="33" s="1"/>
  <c r="DF452" i="16"/>
  <c r="DG452" i="16"/>
  <c r="DI173" i="16"/>
  <c r="BN410" i="16"/>
  <c r="CJ410" i="16"/>
  <c r="BR410" i="16"/>
  <c r="CS411" i="16" s="1"/>
  <c r="H11" i="17"/>
  <c r="H8" i="28"/>
  <c r="H8" i="29"/>
  <c r="G64" i="17"/>
  <c r="G64" i="28" s="1"/>
  <c r="J27" i="17"/>
  <c r="CV453" i="16"/>
  <c r="L65" i="20" s="1"/>
  <c r="G33" i="25"/>
  <c r="G25" i="18"/>
  <c r="G23" i="13"/>
  <c r="G26" i="21" s="1"/>
  <c r="G25" i="21"/>
  <c r="L61" i="17"/>
  <c r="CD14" i="16"/>
  <c r="CD454" i="16" s="1"/>
  <c r="M9" i="20" s="1"/>
  <c r="AU453" i="16"/>
  <c r="L5" i="20" s="1"/>
  <c r="L5" i="33" s="1"/>
  <c r="BN14" i="16"/>
  <c r="CE14" i="16"/>
  <c r="CE454" i="16" s="1"/>
  <c r="M25" i="20" s="1"/>
  <c r="M25" i="33" s="1"/>
  <c r="AW453" i="16"/>
  <c r="L12" i="20" s="1"/>
  <c r="L12" i="33" s="1"/>
  <c r="L59" i="18"/>
  <c r="L58" i="25"/>
  <c r="CB242" i="16"/>
  <c r="DC241" i="16"/>
  <c r="CM243" i="16"/>
  <c r="CR389" i="16"/>
  <c r="BQ389" i="16"/>
  <c r="CI234" i="16"/>
  <c r="BS234" i="16"/>
  <c r="CT235" i="16" s="1"/>
  <c r="BM234" i="16"/>
  <c r="CR59" i="16"/>
  <c r="BQ59" i="16"/>
  <c r="K32" i="25"/>
  <c r="K24" i="18"/>
  <c r="CU190" i="16"/>
  <c r="BT190" i="16"/>
  <c r="H48" i="28"/>
  <c r="H48" i="29"/>
  <c r="CX81" i="16"/>
  <c r="BW81" i="16"/>
  <c r="CR104" i="16"/>
  <c r="BQ104" i="16"/>
  <c r="BT453" i="16"/>
  <c r="L46" i="20" s="1"/>
  <c r="CU14" i="16"/>
  <c r="CV126" i="16"/>
  <c r="BU126" i="16"/>
  <c r="CX279" i="16"/>
  <c r="BW279" i="16"/>
  <c r="N44" i="26"/>
  <c r="BV453" i="16"/>
  <c r="L48" i="20" s="1"/>
  <c r="CW14" i="16"/>
  <c r="L28" i="21"/>
  <c r="L28" i="23"/>
  <c r="L50" i="17"/>
  <c r="I53" i="17"/>
  <c r="I35" i="20"/>
  <c r="H59" i="26"/>
  <c r="H59" i="28" s="1"/>
  <c r="H60" i="23"/>
  <c r="H70" i="10"/>
  <c r="I40" i="17"/>
  <c r="I33" i="10"/>
  <c r="I50" i="10"/>
  <c r="I50" i="33" s="1"/>
  <c r="H23" i="23"/>
  <c r="J40" i="21"/>
  <c r="J10" i="17"/>
  <c r="J40" i="23"/>
  <c r="M9" i="27"/>
  <c r="G34" i="17"/>
  <c r="G6" i="17"/>
  <c r="F28" i="25"/>
  <c r="F26" i="29"/>
  <c r="F26" i="27"/>
  <c r="L52" i="17"/>
  <c r="CR14" i="16"/>
  <c r="L15" i="25"/>
  <c r="M43" i="13"/>
  <c r="L41" i="18"/>
  <c r="M56" i="13"/>
  <c r="K10" i="27"/>
  <c r="K11" i="25"/>
  <c r="CB174" i="16"/>
  <c r="DC173" i="16"/>
  <c r="DF174" i="16"/>
  <c r="DG174" i="16"/>
  <c r="CM175" i="16"/>
  <c r="BN258" i="16"/>
  <c r="BR258" i="16"/>
  <c r="CS259" i="16" s="1"/>
  <c r="CJ258" i="16"/>
  <c r="K34" i="21"/>
  <c r="K34" i="23"/>
  <c r="CV411" i="16"/>
  <c r="BU411" i="16"/>
  <c r="CR257" i="16"/>
  <c r="BQ257" i="16"/>
  <c r="K45" i="28"/>
  <c r="K45" i="29"/>
  <c r="BX453" i="16"/>
  <c r="L50" i="20" s="1"/>
  <c r="K20" i="20"/>
  <c r="K22" i="20" s="1"/>
  <c r="DB196" i="16"/>
  <c r="CN220" i="16"/>
  <c r="BM279" i="16"/>
  <c r="CI279" i="16"/>
  <c r="BS279" i="16"/>
  <c r="CT280" i="16" s="1"/>
  <c r="BR453" i="16"/>
  <c r="L44" i="20" s="1"/>
  <c r="L44" i="33" s="1"/>
  <c r="CS14" i="16"/>
  <c r="CS454" i="16" s="1"/>
  <c r="M62" i="20" s="1"/>
  <c r="M62" i="33" s="1"/>
  <c r="L12" i="23"/>
  <c r="L46" i="17"/>
  <c r="L12" i="21"/>
  <c r="L11" i="21"/>
  <c r="L11" i="23"/>
  <c r="L45" i="17"/>
  <c r="AT453" i="16"/>
  <c r="DB13" i="16"/>
  <c r="CC14" i="16"/>
  <c r="CC454" i="16" s="1"/>
  <c r="M8" i="20" s="1"/>
  <c r="CH243" i="16"/>
  <c r="CU82" i="16"/>
  <c r="BT82" i="16"/>
  <c r="CI12" i="16"/>
  <c r="CI452" i="16" s="1"/>
  <c r="K30" i="20" s="1"/>
  <c r="K30" i="33" s="1"/>
  <c r="BS12" i="16"/>
  <c r="BM451" i="16"/>
  <c r="J17" i="20" s="1"/>
  <c r="J17" i="33" s="1"/>
  <c r="BM12" i="16"/>
  <c r="BS191" i="16"/>
  <c r="CT192" i="16" s="1"/>
  <c r="CI191" i="16"/>
  <c r="BM191" i="16"/>
  <c r="J16" i="27"/>
  <c r="CV212" i="16"/>
  <c r="BU212" i="16"/>
  <c r="H16" i="28"/>
  <c r="H16" i="29"/>
  <c r="G65" i="17"/>
  <c r="H52" i="26"/>
  <c r="H52" i="28" s="1"/>
  <c r="H30" i="23"/>
  <c r="CR301" i="16"/>
  <c r="BQ301" i="16"/>
  <c r="N9" i="26"/>
  <c r="O37" i="10"/>
  <c r="O25" i="10"/>
  <c r="CJ128" i="16"/>
  <c r="BN128" i="16"/>
  <c r="J14" i="28"/>
  <c r="J14" i="29"/>
  <c r="CL147" i="16"/>
  <c r="BX147" i="16"/>
  <c r="CY148" i="16" s="1"/>
  <c r="BP147" i="16"/>
  <c r="I6" i="23"/>
  <c r="I6" i="21"/>
  <c r="I8" i="17"/>
  <c r="G32" i="28"/>
  <c r="G32" i="29"/>
  <c r="G39" i="17"/>
  <c r="K46" i="28"/>
  <c r="K46" i="29"/>
  <c r="L58" i="17"/>
  <c r="L59" i="21"/>
  <c r="L59" i="23"/>
  <c r="L10" i="25"/>
  <c r="M55" i="13"/>
  <c r="L40" i="18"/>
  <c r="M37" i="13"/>
  <c r="M38" i="13"/>
  <c r="DD174" i="16"/>
  <c r="CG175" i="16"/>
  <c r="AH175" i="16"/>
  <c r="BB175" i="16" s="1"/>
  <c r="Z175" i="16"/>
  <c r="AT175" i="16" s="1"/>
  <c r="AS174" i="16"/>
  <c r="AJ175" i="16"/>
  <c r="BD175" i="16" s="1"/>
  <c r="AG175" i="16"/>
  <c r="BA175" i="16" s="1"/>
  <c r="AD175" i="16"/>
  <c r="AX175" i="16" s="1"/>
  <c r="AC175" i="16"/>
  <c r="AW175" i="16" s="1"/>
  <c r="CE176" i="16" s="1"/>
  <c r="AL175" i="16"/>
  <c r="BF175" i="16" s="1"/>
  <c r="AF175" i="16"/>
  <c r="AZ175" i="16" s="1"/>
  <c r="AM175" i="16"/>
  <c r="BG175" i="16" s="1"/>
  <c r="AO175" i="16"/>
  <c r="BI175" i="16" s="1"/>
  <c r="AK175" i="16"/>
  <c r="BE175" i="16" s="1"/>
  <c r="AI175" i="16"/>
  <c r="BC175" i="16" s="1"/>
  <c r="Y175" i="16"/>
  <c r="AE175" i="16"/>
  <c r="AY175" i="16" s="1"/>
  <c r="AA175" i="16"/>
  <c r="AU175" i="16" s="1"/>
  <c r="AB175" i="16"/>
  <c r="AV175" i="16" s="1"/>
  <c r="AN175" i="16"/>
  <c r="BH175" i="16" s="1"/>
  <c r="CP175" i="16"/>
  <c r="BQ323" i="16"/>
  <c r="CR323" i="16"/>
  <c r="I64" i="13"/>
  <c r="H52" i="13"/>
  <c r="H49" i="18"/>
  <c r="H49" i="21"/>
  <c r="CR213" i="16"/>
  <c r="BQ213" i="16"/>
  <c r="CX169" i="16"/>
  <c r="BW169" i="16"/>
  <c r="I16" i="17"/>
  <c r="I13" i="28"/>
  <c r="I13" i="29"/>
  <c r="H61" i="26"/>
  <c r="H61" i="28" s="1"/>
  <c r="H62" i="23"/>
  <c r="H28" i="17"/>
  <c r="CN197" i="16"/>
  <c r="K36" i="25"/>
  <c r="K54" i="18"/>
  <c r="CQ220" i="16"/>
  <c r="BM211" i="16"/>
  <c r="CI211" i="16"/>
  <c r="BS211" i="16"/>
  <c r="CT212" i="16" s="1"/>
  <c r="L58" i="21"/>
  <c r="L57" i="17"/>
  <c r="L57" i="28" s="1"/>
  <c r="L58" i="23"/>
  <c r="F64" i="28"/>
  <c r="F64" i="29"/>
  <c r="J22" i="20"/>
  <c r="H63" i="17"/>
  <c r="I63" i="17"/>
  <c r="CB265" i="16"/>
  <c r="DC264" i="16"/>
  <c r="BU300" i="16"/>
  <c r="CV300" i="16"/>
  <c r="BM433" i="16"/>
  <c r="CI433" i="16"/>
  <c r="BS433" i="16"/>
  <c r="CT434" i="16" s="1"/>
  <c r="CX105" i="16"/>
  <c r="BW105" i="16"/>
  <c r="H35" i="18"/>
  <c r="H34" i="13"/>
  <c r="H35" i="21"/>
  <c r="G26" i="25"/>
  <c r="G21" i="25"/>
  <c r="G19" i="27"/>
  <c r="G19" i="29"/>
  <c r="CJ14" i="16"/>
  <c r="BN453" i="16"/>
  <c r="L18" i="20" s="1"/>
  <c r="L18" i="33" s="1"/>
  <c r="BR14" i="16"/>
  <c r="K24" i="17"/>
  <c r="CF14" i="16"/>
  <c r="CF454" i="16" s="1"/>
  <c r="M26" i="20" s="1"/>
  <c r="AX453" i="16"/>
  <c r="L13" i="20" s="1"/>
  <c r="L13" i="33" s="1"/>
  <c r="CB13" i="16"/>
  <c r="CB453" i="16" s="1"/>
  <c r="L7" i="20" s="1"/>
  <c r="L7" i="33" s="1"/>
  <c r="DC12" i="16"/>
  <c r="AS452" i="16"/>
  <c r="BQ14" i="16"/>
  <c r="BD453" i="16"/>
  <c r="L38" i="20" s="1"/>
  <c r="L38" i="32" s="1"/>
  <c r="CN14" i="16"/>
  <c r="CN454" i="16" s="1"/>
  <c r="M56" i="20" s="1"/>
  <c r="BG453" i="16"/>
  <c r="L41" i="20" s="1"/>
  <c r="BW14" i="16"/>
  <c r="CQ14" i="16"/>
  <c r="CQ454" i="16" s="1"/>
  <c r="M59" i="20" s="1"/>
  <c r="K15" i="27"/>
  <c r="K16" i="25"/>
  <c r="CP243" i="16"/>
  <c r="BS451" i="16"/>
  <c r="J45" i="20" s="1"/>
  <c r="J45" i="33" s="1"/>
  <c r="CT12" i="16"/>
  <c r="CT452" i="16" s="1"/>
  <c r="K63" i="20" s="1"/>
  <c r="CK82" i="16"/>
  <c r="BV82" i="16"/>
  <c r="CW83" i="16" s="1"/>
  <c r="BO82" i="16"/>
  <c r="G24" i="29"/>
  <c r="G24" i="27"/>
  <c r="G63" i="27"/>
  <c r="G63" i="29"/>
  <c r="G64" i="25"/>
  <c r="CR147" i="16"/>
  <c r="BQ147" i="16"/>
  <c r="L65" i="23"/>
  <c r="L65" i="21"/>
  <c r="CX368" i="16"/>
  <c r="BW368" i="16"/>
  <c r="I48" i="28"/>
  <c r="I48" i="29"/>
  <c r="J19" i="17"/>
  <c r="L59" i="17"/>
  <c r="F55" i="27"/>
  <c r="F55" i="29"/>
  <c r="F65" i="29"/>
  <c r="F65" i="27"/>
  <c r="F66" i="25"/>
  <c r="CJ170" i="16"/>
  <c r="BN170" i="16"/>
  <c r="J66" i="21"/>
  <c r="J66" i="23"/>
  <c r="G55" i="17"/>
  <c r="BR146" i="16"/>
  <c r="CS147" i="16" s="1"/>
  <c r="CJ146" i="16"/>
  <c r="BN146" i="16"/>
  <c r="M11" i="26"/>
  <c r="J36" i="27"/>
  <c r="J9" i="28"/>
  <c r="J9" i="29"/>
  <c r="G25" i="26"/>
  <c r="G25" i="28" s="1"/>
  <c r="G23" i="28"/>
  <c r="CV279" i="16"/>
  <c r="BU279" i="16"/>
  <c r="G38" i="18"/>
  <c r="J23" i="17"/>
  <c r="DK265" i="16"/>
  <c r="G11" i="28"/>
  <c r="G11" i="29"/>
  <c r="CR279" i="16"/>
  <c r="BQ279" i="16"/>
  <c r="CU125" i="16"/>
  <c r="BT125" i="16"/>
  <c r="DH12" i="16"/>
  <c r="K41" i="23"/>
  <c r="K15" i="17"/>
  <c r="K15" i="28" s="1"/>
  <c r="K41" i="21"/>
  <c r="CL14" i="16"/>
  <c r="CL454" i="16" s="1"/>
  <c r="M33" i="20" s="1"/>
  <c r="BX14" i="16"/>
  <c r="CY15" i="16" s="1"/>
  <c r="BP453" i="16"/>
  <c r="L57" i="25"/>
  <c r="L58" i="18"/>
  <c r="CC175" i="16"/>
  <c r="DB174" i="16"/>
  <c r="DE174" i="16"/>
  <c r="CO175" i="16"/>
  <c r="CQ175" i="16"/>
  <c r="CX213" i="16"/>
  <c r="BW213" i="16"/>
  <c r="G25" i="25"/>
  <c r="G23" i="27"/>
  <c r="G23" i="29"/>
  <c r="CJ190" i="16"/>
  <c r="BR190" i="16"/>
  <c r="CS191" i="16" s="1"/>
  <c r="BN190" i="16"/>
  <c r="BN345" i="16"/>
  <c r="CJ345" i="16"/>
  <c r="BR345" i="16"/>
  <c r="CS346" i="16" s="1"/>
  <c r="H54" i="17"/>
  <c r="BN322" i="16"/>
  <c r="CJ322" i="16"/>
  <c r="BR322" i="16"/>
  <c r="CS323" i="16" s="1"/>
  <c r="G56" i="23"/>
  <c r="G38" i="17"/>
  <c r="G38" i="28" s="1"/>
  <c r="G56" i="21"/>
  <c r="H54" i="21"/>
  <c r="H54" i="23"/>
  <c r="H36" i="17"/>
  <c r="H53" i="20"/>
  <c r="BT345" i="16"/>
  <c r="CU345" i="16"/>
  <c r="I21" i="17"/>
  <c r="I26" i="17"/>
  <c r="CI81" i="16"/>
  <c r="BS81" i="16"/>
  <c r="CT82" i="16" s="1"/>
  <c r="BM81" i="16"/>
  <c r="BU453" i="16"/>
  <c r="L47" i="20" s="1"/>
  <c r="CV14" i="16"/>
  <c r="CK147" i="16"/>
  <c r="BO147" i="16"/>
  <c r="CR81" i="16"/>
  <c r="BQ81" i="16"/>
  <c r="BS105" i="16"/>
  <c r="CT106" i="16" s="1"/>
  <c r="CI105" i="16"/>
  <c r="BM105" i="16"/>
  <c r="G33" i="26"/>
  <c r="G23" i="10"/>
  <c r="G25" i="23"/>
  <c r="AA197" i="16"/>
  <c r="AU197" i="16" s="1"/>
  <c r="AO197" i="16"/>
  <c r="BI197" i="16" s="1"/>
  <c r="L64" i="18"/>
  <c r="DC218" i="16"/>
  <c r="CB219" i="16"/>
  <c r="CG220" i="16"/>
  <c r="DD219" i="16"/>
  <c r="CC220" i="16"/>
  <c r="DB219" i="16"/>
  <c r="DG219" i="16"/>
  <c r="CM220" i="16"/>
  <c r="DF219" i="16"/>
  <c r="BO434" i="16"/>
  <c r="CK434" i="16"/>
  <c r="M44" i="27"/>
  <c r="I50" i="13"/>
  <c r="I33" i="13"/>
  <c r="H23" i="18"/>
  <c r="H23" i="21"/>
  <c r="CU59" i="16"/>
  <c r="BT59" i="16"/>
  <c r="K21" i="23"/>
  <c r="K21" i="21"/>
  <c r="I68" i="13"/>
  <c r="H53" i="18"/>
  <c r="H53" i="21"/>
  <c r="CK104" i="16"/>
  <c r="BV104" i="16"/>
  <c r="CW105" i="16" s="1"/>
  <c r="BO104" i="16"/>
  <c r="K58" i="29"/>
  <c r="K58" i="27"/>
  <c r="AF220" i="16" l="1"/>
  <c r="AZ220" i="16" s="1"/>
  <c r="AN220" i="16"/>
  <c r="BH220" i="16" s="1"/>
  <c r="Y197" i="16"/>
  <c r="AS197" i="16" s="1"/>
  <c r="CO243" i="16"/>
  <c r="CM197" i="16"/>
  <c r="DJ242" i="16"/>
  <c r="AN243" i="16"/>
  <c r="BH243" i="16" s="1"/>
  <c r="AM220" i="16"/>
  <c r="BG220" i="16" s="1"/>
  <c r="CQ221" i="16" s="1"/>
  <c r="AO220" i="16"/>
  <c r="BI220" i="16" s="1"/>
  <c r="AH220" i="16"/>
  <c r="BB220" i="16" s="1"/>
  <c r="AC220" i="16"/>
  <c r="AW220" i="16" s="1"/>
  <c r="CE221" i="16" s="1"/>
  <c r="AJ220" i="16"/>
  <c r="BD220" i="16" s="1"/>
  <c r="DG220" i="16" s="1"/>
  <c r="BW61" i="16"/>
  <c r="CX62" i="16" s="1"/>
  <c r="DD196" i="16"/>
  <c r="DG265" i="16"/>
  <c r="DC265" i="16"/>
  <c r="DE265" i="16"/>
  <c r="DF196" i="16"/>
  <c r="DE196" i="16"/>
  <c r="AA243" i="16"/>
  <c r="AU243" i="16" s="1"/>
  <c r="AH197" i="16"/>
  <c r="BB197" i="16" s="1"/>
  <c r="AI243" i="16"/>
  <c r="BC243" i="16" s="1"/>
  <c r="Y220" i="16"/>
  <c r="AI221" i="16" s="1"/>
  <c r="BC221" i="16" s="1"/>
  <c r="AD220" i="16"/>
  <c r="AX220" i="16" s="1"/>
  <c r="CF221" i="16" s="1"/>
  <c r="Z220" i="16"/>
  <c r="AT220" i="16" s="1"/>
  <c r="N44" i="10"/>
  <c r="AF197" i="16"/>
  <c r="AZ197" i="16" s="1"/>
  <c r="BV147" i="16"/>
  <c r="CW148" i="16" s="1"/>
  <c r="AO243" i="16"/>
  <c r="BI243" i="16" s="1"/>
  <c r="AK220" i="16"/>
  <c r="BE220" i="16" s="1"/>
  <c r="AB220" i="16"/>
  <c r="AV220" i="16" s="1"/>
  <c r="AL220" i="16"/>
  <c r="BF220" i="16" s="1"/>
  <c r="DE220" i="16" s="1"/>
  <c r="AG220" i="16"/>
  <c r="BA220" i="16" s="1"/>
  <c r="DG242" i="16"/>
  <c r="DJ265" i="16"/>
  <c r="AL197" i="16"/>
  <c r="BF197" i="16" s="1"/>
  <c r="DH264" i="16"/>
  <c r="AI197" i="16"/>
  <c r="BC197" i="16" s="1"/>
  <c r="AM197" i="16"/>
  <c r="BG197" i="16" s="1"/>
  <c r="AG197" i="16"/>
  <c r="BA197" i="16" s="1"/>
  <c r="DD265" i="16"/>
  <c r="AM243" i="16"/>
  <c r="BG243" i="16" s="1"/>
  <c r="AF243" i="16"/>
  <c r="AZ243" i="16" s="1"/>
  <c r="DB242" i="16"/>
  <c r="AS196" i="16"/>
  <c r="DC196" i="16" s="1"/>
  <c r="AE197" i="16"/>
  <c r="AY197" i="16" s="1"/>
  <c r="AC197" i="16"/>
  <c r="AW197" i="16" s="1"/>
  <c r="CE198" i="16" s="1"/>
  <c r="Z197" i="16"/>
  <c r="AT197" i="16" s="1"/>
  <c r="DD242" i="16"/>
  <c r="AL243" i="16"/>
  <c r="BF243" i="16" s="1"/>
  <c r="AG243" i="16"/>
  <c r="BA243" i="16" s="1"/>
  <c r="AB243" i="16"/>
  <c r="AV243" i="16" s="1"/>
  <c r="DK243" i="16" s="1"/>
  <c r="AK243" i="16"/>
  <c r="BE243" i="16" s="1"/>
  <c r="DF265" i="16"/>
  <c r="BS367" i="16"/>
  <c r="CT368" i="16" s="1"/>
  <c r="M14" i="25"/>
  <c r="BN60" i="16"/>
  <c r="CJ61" i="16" s="1"/>
  <c r="M16" i="18"/>
  <c r="AJ197" i="16"/>
  <c r="BD197" i="16" s="1"/>
  <c r="DF197" i="16" s="1"/>
  <c r="AD197" i="16"/>
  <c r="AX197" i="16" s="1"/>
  <c r="CF198" i="16" s="1"/>
  <c r="AC243" i="16"/>
  <c r="AW243" i="16" s="1"/>
  <c r="AJ243" i="16"/>
  <c r="BD243" i="16" s="1"/>
  <c r="Y243" i="16"/>
  <c r="AS243" i="16" s="1"/>
  <c r="AN197" i="16"/>
  <c r="BH197" i="16" s="1"/>
  <c r="DG197" i="16" s="1"/>
  <c r="AK197" i="16"/>
  <c r="BE197" i="16" s="1"/>
  <c r="AB197" i="16"/>
  <c r="AV197" i="16" s="1"/>
  <c r="AH243" i="16"/>
  <c r="BB243" i="16" s="1"/>
  <c r="AD243" i="16"/>
  <c r="AX243" i="16" s="1"/>
  <c r="AE243" i="16"/>
  <c r="AY243" i="16" s="1"/>
  <c r="DI59" i="16"/>
  <c r="CJ60" i="16"/>
  <c r="BX193" i="16"/>
  <c r="CY194" i="16" s="1"/>
  <c r="O7" i="13"/>
  <c r="O10" i="18" s="1"/>
  <c r="DI105" i="16"/>
  <c r="BX38" i="16"/>
  <c r="CY39" i="16" s="1"/>
  <c r="AO130" i="16"/>
  <c r="BI130" i="16" s="1"/>
  <c r="DK129" i="16"/>
  <c r="DH219" i="16"/>
  <c r="BR128" i="16"/>
  <c r="CS129" i="16" s="1"/>
  <c r="G54" i="29"/>
  <c r="DI151" i="16"/>
  <c r="G65" i="25"/>
  <c r="G66" i="25" s="1"/>
  <c r="BV61" i="16"/>
  <c r="CW62" i="16" s="1"/>
  <c r="DH105" i="16"/>
  <c r="CW454" i="16"/>
  <c r="M66" i="20" s="1"/>
  <c r="BP38" i="16"/>
  <c r="BW38" i="16"/>
  <c r="CX39" i="16" s="1"/>
  <c r="BV345" i="16"/>
  <c r="CW346" i="16" s="1"/>
  <c r="DG129" i="16"/>
  <c r="CB60" i="16"/>
  <c r="BO61" i="16"/>
  <c r="CK62" i="16" s="1"/>
  <c r="DI82" i="16"/>
  <c r="DH128" i="16"/>
  <c r="M47" i="18"/>
  <c r="DH82" i="16"/>
  <c r="N13" i="13"/>
  <c r="O13" i="13" s="1"/>
  <c r="DF83" i="16"/>
  <c r="BR170" i="16"/>
  <c r="CS171" i="16" s="1"/>
  <c r="H62" i="29"/>
  <c r="BP84" i="16"/>
  <c r="CL85" i="16" s="1"/>
  <c r="DJ129" i="16"/>
  <c r="AN107" i="16"/>
  <c r="BH107" i="16" s="1"/>
  <c r="BS61" i="16"/>
  <c r="CT62" i="16" s="1"/>
  <c r="AM130" i="16"/>
  <c r="BG130" i="16" s="1"/>
  <c r="CQ131" i="16" s="1"/>
  <c r="DD106" i="16"/>
  <c r="AH130" i="16"/>
  <c r="BB130" i="16" s="1"/>
  <c r="DG106" i="16"/>
  <c r="DE129" i="16"/>
  <c r="CN84" i="16"/>
  <c r="AK130" i="16"/>
  <c r="BE130" i="16" s="1"/>
  <c r="AE107" i="16"/>
  <c r="AY107" i="16" s="1"/>
  <c r="CG108" i="16" s="1"/>
  <c r="DD129" i="16"/>
  <c r="DH151" i="16"/>
  <c r="DJ83" i="16"/>
  <c r="BN84" i="16"/>
  <c r="CJ85" i="16" s="1"/>
  <c r="DF129" i="16"/>
  <c r="CY83" i="16"/>
  <c r="BX83" i="16"/>
  <c r="AC84" i="16"/>
  <c r="AW84" i="16" s="1"/>
  <c r="CE85" i="16" s="1"/>
  <c r="AA130" i="16"/>
  <c r="AU130" i="16" s="1"/>
  <c r="CD131" i="16" s="1"/>
  <c r="AC107" i="16"/>
  <c r="AW107" i="16" s="1"/>
  <c r="CE108" i="16" s="1"/>
  <c r="O25" i="13"/>
  <c r="O25" i="31" s="1"/>
  <c r="DE106" i="16"/>
  <c r="BX61" i="16"/>
  <c r="CY62" i="16" s="1"/>
  <c r="AF84" i="16"/>
  <c r="AZ84" i="16" s="1"/>
  <c r="CH85" i="16" s="1"/>
  <c r="AG130" i="16"/>
  <c r="BA130" i="16" s="1"/>
  <c r="CG107" i="16"/>
  <c r="I53" i="20"/>
  <c r="I38" i="17" s="1"/>
  <c r="DF106" i="16"/>
  <c r="Y107" i="16"/>
  <c r="CP130" i="16"/>
  <c r="AB84" i="16"/>
  <c r="AV84" i="16" s="1"/>
  <c r="M34" i="18"/>
  <c r="N9" i="25"/>
  <c r="N9" i="27" s="1"/>
  <c r="N15" i="18"/>
  <c r="AA84" i="16"/>
  <c r="AU84" i="16" s="1"/>
  <c r="AI130" i="16"/>
  <c r="BC130" i="16" s="1"/>
  <c r="CM131" i="16" s="1"/>
  <c r="AN130" i="16"/>
  <c r="BH130" i="16" s="1"/>
  <c r="Z130" i="16"/>
  <c r="AT130" i="16" s="1"/>
  <c r="CC131" i="16" s="1"/>
  <c r="AE130" i="16"/>
  <c r="AY130" i="16" s="1"/>
  <c r="CG131" i="16" s="1"/>
  <c r="AS129" i="16"/>
  <c r="CB130" i="16" s="1"/>
  <c r="AM107" i="16"/>
  <c r="BG107" i="16" s="1"/>
  <c r="CQ108" i="16" s="1"/>
  <c r="AF107" i="16"/>
  <c r="AZ107" i="16" s="1"/>
  <c r="CH108" i="16" s="1"/>
  <c r="AJ107" i="16"/>
  <c r="BD107" i="16" s="1"/>
  <c r="CN108" i="16" s="1"/>
  <c r="AI107" i="16"/>
  <c r="BC107" i="16" s="1"/>
  <c r="CM108" i="16" s="1"/>
  <c r="CB129" i="16"/>
  <c r="DE60" i="16"/>
  <c r="DK106" i="16"/>
  <c r="CN107" i="16"/>
  <c r="O8" i="13"/>
  <c r="O45" i="25" s="1"/>
  <c r="DB83" i="16"/>
  <c r="AO153" i="16"/>
  <c r="BI153" i="16" s="1"/>
  <c r="AB130" i="16"/>
  <c r="AV130" i="16" s="1"/>
  <c r="Y130" i="16"/>
  <c r="AJ130" i="16"/>
  <c r="BD130" i="16" s="1"/>
  <c r="AD130" i="16"/>
  <c r="AX130" i="16" s="1"/>
  <c r="CF131" i="16" s="1"/>
  <c r="DB129" i="16"/>
  <c r="M51" i="10"/>
  <c r="M36" i="26" s="1"/>
  <c r="DB106" i="16"/>
  <c r="AK107" i="16"/>
  <c r="BE107" i="16" s="1"/>
  <c r="CO108" i="16" s="1"/>
  <c r="AA107" i="16"/>
  <c r="AU107" i="16" s="1"/>
  <c r="CD108" i="16" s="1"/>
  <c r="AO107" i="16"/>
  <c r="BI107" i="16" s="1"/>
  <c r="AB107" i="16"/>
  <c r="AV107" i="16" s="1"/>
  <c r="Z107" i="16"/>
  <c r="AT107" i="16" s="1"/>
  <c r="CC108" i="16" s="1"/>
  <c r="N10" i="18"/>
  <c r="DE152" i="16"/>
  <c r="N7" i="31"/>
  <c r="DH36" i="16"/>
  <c r="CK235" i="16"/>
  <c r="BV235" i="16"/>
  <c r="CW236" i="16" s="1"/>
  <c r="BO235" i="16"/>
  <c r="BR38" i="16"/>
  <c r="CS39" i="16" s="1"/>
  <c r="AM84" i="16"/>
  <c r="BG84" i="16" s="1"/>
  <c r="CQ85" i="16" s="1"/>
  <c r="AC130" i="16"/>
  <c r="AW130" i="16" s="1"/>
  <c r="CE131" i="16" s="1"/>
  <c r="AF130" i="16"/>
  <c r="AZ130" i="16" s="1"/>
  <c r="CH131" i="16" s="1"/>
  <c r="AL130" i="16"/>
  <c r="BF130" i="16" s="1"/>
  <c r="CP131" i="16" s="1"/>
  <c r="DJ106" i="16"/>
  <c r="AH107" i="16"/>
  <c r="BB107" i="16" s="1"/>
  <c r="AG107" i="16"/>
  <c r="BA107" i="16" s="1"/>
  <c r="AD107" i="16"/>
  <c r="AX107" i="16" s="1"/>
  <c r="CF108" i="16" s="1"/>
  <c r="AL107" i="16"/>
  <c r="BF107" i="16" s="1"/>
  <c r="CP108" i="16" s="1"/>
  <c r="J70" i="20"/>
  <c r="J63" i="17" s="1"/>
  <c r="CK61" i="16"/>
  <c r="AD38" i="16"/>
  <c r="AX38" i="16" s="1"/>
  <c r="CF39" i="16" s="1"/>
  <c r="M44" i="31"/>
  <c r="N62" i="31"/>
  <c r="N8" i="25"/>
  <c r="N8" i="27" s="1"/>
  <c r="N6" i="18"/>
  <c r="O12" i="13"/>
  <c r="O9" i="25" s="1"/>
  <c r="O3" i="13"/>
  <c r="O3" i="31" s="1"/>
  <c r="H23" i="25"/>
  <c r="H23" i="29" s="1"/>
  <c r="O4" i="13"/>
  <c r="P8" i="13" s="1"/>
  <c r="O18" i="13"/>
  <c r="P31" i="13" s="1"/>
  <c r="DF152" i="16"/>
  <c r="H42" i="21"/>
  <c r="AI84" i="16"/>
  <c r="BC84" i="16" s="1"/>
  <c r="CM85" i="16" s="1"/>
  <c r="AH84" i="16"/>
  <c r="BB84" i="16" s="1"/>
  <c r="DG83" i="16"/>
  <c r="DH59" i="16"/>
  <c r="H42" i="18"/>
  <c r="I46" i="13"/>
  <c r="I49" i="18" s="1"/>
  <c r="AD84" i="16"/>
  <c r="AX84" i="16" s="1"/>
  <c r="CF85" i="16" s="1"/>
  <c r="AL84" i="16"/>
  <c r="BF84" i="16" s="1"/>
  <c r="CP85" i="16" s="1"/>
  <c r="AO84" i="16"/>
  <c r="BI84" i="16" s="1"/>
  <c r="DD83" i="16"/>
  <c r="DK83" i="16"/>
  <c r="DB152" i="16"/>
  <c r="AJ153" i="16"/>
  <c r="BD153" i="16" s="1"/>
  <c r="CN154" i="16" s="1"/>
  <c r="BR61" i="16"/>
  <c r="CS62" i="16" s="1"/>
  <c r="CI61" i="16"/>
  <c r="DE83" i="16"/>
  <c r="H39" i="31"/>
  <c r="N10" i="13"/>
  <c r="N47" i="25" s="1"/>
  <c r="AA153" i="16"/>
  <c r="AU153" i="16" s="1"/>
  <c r="CD154" i="16" s="1"/>
  <c r="BP61" i="16"/>
  <c r="CL62" i="16" s="1"/>
  <c r="I40" i="13"/>
  <c r="I43" i="21" s="1"/>
  <c r="AJ84" i="16"/>
  <c r="BD84" i="16" s="1"/>
  <c r="CN85" i="16" s="1"/>
  <c r="Y84" i="16"/>
  <c r="AK84" i="16"/>
  <c r="BE84" i="16" s="1"/>
  <c r="CO85" i="16" s="1"/>
  <c r="AF61" i="16"/>
  <c r="AZ61" i="16" s="1"/>
  <c r="CH62" i="16" s="1"/>
  <c r="BP236" i="16"/>
  <c r="CL236" i="16"/>
  <c r="BX236" i="16"/>
  <c r="CY237" i="16" s="1"/>
  <c r="I57" i="13"/>
  <c r="I57" i="32" s="1"/>
  <c r="Z84" i="16"/>
  <c r="AT84" i="16" s="1"/>
  <c r="CC85" i="16" s="1"/>
  <c r="AG84" i="16"/>
  <c r="BA84" i="16" s="1"/>
  <c r="AE84" i="16"/>
  <c r="AY84" i="16" s="1"/>
  <c r="CG85" i="16" s="1"/>
  <c r="AN84" i="16"/>
  <c r="BH84" i="16" s="1"/>
  <c r="AG153" i="16"/>
  <c r="BA153" i="16" s="1"/>
  <c r="BV38" i="16"/>
  <c r="CW39" i="16" s="1"/>
  <c r="CG61" i="16"/>
  <c r="N45" i="25"/>
  <c r="DK37" i="16"/>
  <c r="BN38" i="16"/>
  <c r="CJ39" i="16" s="1"/>
  <c r="DG37" i="16"/>
  <c r="DI36" i="16"/>
  <c r="AI153" i="16"/>
  <c r="BC153" i="16" s="1"/>
  <c r="AC61" i="16"/>
  <c r="AW61" i="16" s="1"/>
  <c r="CE62" i="16" s="1"/>
  <c r="N30" i="25"/>
  <c r="CI127" i="16"/>
  <c r="BM127" i="16"/>
  <c r="BS127" i="16"/>
  <c r="CT128" i="16" s="1"/>
  <c r="CW433" i="16"/>
  <c r="BV433" i="16"/>
  <c r="Y153" i="16"/>
  <c r="AS153" i="16" s="1"/>
  <c r="CM38" i="16"/>
  <c r="I36" i="17"/>
  <c r="I36" i="28" s="1"/>
  <c r="DC151" i="16"/>
  <c r="N65" i="18"/>
  <c r="G55" i="26"/>
  <c r="G55" i="27" s="1"/>
  <c r="G54" i="27"/>
  <c r="DK152" i="16"/>
  <c r="O5" i="13"/>
  <c r="P9" i="13" s="1"/>
  <c r="AE153" i="16"/>
  <c r="AY153" i="16" s="1"/>
  <c r="CG154" i="16" s="1"/>
  <c r="AN153" i="16"/>
  <c r="BH153" i="16" s="1"/>
  <c r="I54" i="23"/>
  <c r="Z38" i="16"/>
  <c r="AT38" i="16" s="1"/>
  <c r="CC39" i="16" s="1"/>
  <c r="L39" i="26"/>
  <c r="Z153" i="16"/>
  <c r="AT153" i="16" s="1"/>
  <c r="CC154" i="16" s="1"/>
  <c r="AK153" i="16"/>
  <c r="BE153" i="16" s="1"/>
  <c r="CO154" i="16" s="1"/>
  <c r="I54" i="21"/>
  <c r="BM61" i="16"/>
  <c r="I51" i="32"/>
  <c r="N44" i="13"/>
  <c r="N47" i="18" s="1"/>
  <c r="K69" i="20"/>
  <c r="K70" i="20" s="1"/>
  <c r="K63" i="33"/>
  <c r="H63" i="26"/>
  <c r="H63" i="28" s="1"/>
  <c r="H70" i="33"/>
  <c r="I70" i="23"/>
  <c r="I67" i="33"/>
  <c r="N18" i="10"/>
  <c r="N9" i="10"/>
  <c r="M8" i="18"/>
  <c r="M30" i="26"/>
  <c r="M30" i="27" s="1"/>
  <c r="N63" i="10"/>
  <c r="M58" i="26"/>
  <c r="M56" i="33"/>
  <c r="N56" i="10"/>
  <c r="M15" i="26"/>
  <c r="CV104" i="16"/>
  <c r="BU104" i="16"/>
  <c r="BP258" i="16"/>
  <c r="BX258" i="16"/>
  <c r="CY259" i="16" s="1"/>
  <c r="CL258" i="16"/>
  <c r="CQ61" i="16"/>
  <c r="DJ152" i="16"/>
  <c r="AM153" i="16"/>
  <c r="BG153" i="16" s="1"/>
  <c r="CQ154" i="16" s="1"/>
  <c r="AF153" i="16"/>
  <c r="AZ153" i="16" s="1"/>
  <c r="CH154" i="16" s="1"/>
  <c r="AL153" i="16"/>
  <c r="BF153" i="16" s="1"/>
  <c r="CP154" i="16" s="1"/>
  <c r="BU38" i="16"/>
  <c r="CV39" i="16" s="1"/>
  <c r="N43" i="10"/>
  <c r="O61" i="10" s="1"/>
  <c r="H73" i="23"/>
  <c r="O50" i="26"/>
  <c r="O57" i="26"/>
  <c r="DE37" i="16"/>
  <c r="DD152" i="16"/>
  <c r="BQ38" i="16"/>
  <c r="CR39" i="16" s="1"/>
  <c r="BS38" i="16"/>
  <c r="CT39" i="16" s="1"/>
  <c r="Y61" i="16"/>
  <c r="DB60" i="16"/>
  <c r="AC38" i="16"/>
  <c r="AW38" i="16" s="1"/>
  <c r="CE39" i="16" s="1"/>
  <c r="L61" i="32"/>
  <c r="M45" i="26"/>
  <c r="M45" i="27" s="1"/>
  <c r="M8" i="33"/>
  <c r="M10" i="10"/>
  <c r="M11" i="18"/>
  <c r="M8" i="31"/>
  <c r="N17" i="10"/>
  <c r="N26" i="10"/>
  <c r="N38" i="10"/>
  <c r="M14" i="26"/>
  <c r="N45" i="10"/>
  <c r="M21" i="10"/>
  <c r="N30" i="10"/>
  <c r="M51" i="26"/>
  <c r="M51" i="27" s="1"/>
  <c r="M26" i="33"/>
  <c r="M29" i="18"/>
  <c r="M26" i="31"/>
  <c r="M5" i="31"/>
  <c r="L47" i="26"/>
  <c r="L13" i="18"/>
  <c r="L10" i="31"/>
  <c r="K48" i="26"/>
  <c r="K48" i="27" s="1"/>
  <c r="K47" i="27"/>
  <c r="G26" i="23"/>
  <c r="G23" i="33"/>
  <c r="AB153" i="16"/>
  <c r="AV153" i="16" s="1"/>
  <c r="AC153" i="16"/>
  <c r="AW153" i="16" s="1"/>
  <c r="CE154" i="16" s="1"/>
  <c r="AD153" i="16"/>
  <c r="AX153" i="16" s="1"/>
  <c r="CF154" i="16" s="1"/>
  <c r="AH153" i="16"/>
  <c r="BB153" i="16" s="1"/>
  <c r="L58" i="28"/>
  <c r="BM38" i="16"/>
  <c r="G54" i="28"/>
  <c r="I36" i="23"/>
  <c r="I33" i="33"/>
  <c r="DG152" i="16"/>
  <c r="DJ37" i="16"/>
  <c r="CP61" i="16"/>
  <c r="I71" i="23"/>
  <c r="I68" i="33"/>
  <c r="I69" i="23"/>
  <c r="I66" i="33"/>
  <c r="CD38" i="16"/>
  <c r="CX454" i="16"/>
  <c r="M67" i="20" s="1"/>
  <c r="DD60" i="16"/>
  <c r="M13" i="31"/>
  <c r="CV60" i="16"/>
  <c r="BU60" i="16"/>
  <c r="L16" i="26"/>
  <c r="L38" i="33"/>
  <c r="M18" i="31"/>
  <c r="M21" i="18"/>
  <c r="N31" i="10"/>
  <c r="DK60" i="16"/>
  <c r="DI265" i="16"/>
  <c r="O62" i="10"/>
  <c r="N8" i="10"/>
  <c r="N13" i="10"/>
  <c r="N4" i="10"/>
  <c r="N5" i="10"/>
  <c r="M4" i="31"/>
  <c r="M7" i="18"/>
  <c r="M13" i="26"/>
  <c r="CV236" i="16"/>
  <c r="BU236" i="16"/>
  <c r="M46" i="26"/>
  <c r="M46" i="27" s="1"/>
  <c r="M9" i="33"/>
  <c r="M12" i="18"/>
  <c r="M9" i="31"/>
  <c r="L13" i="27"/>
  <c r="L43" i="32"/>
  <c r="L13" i="32"/>
  <c r="L18" i="32"/>
  <c r="M55" i="32"/>
  <c r="M62" i="32"/>
  <c r="K10" i="32"/>
  <c r="I47" i="32"/>
  <c r="I68" i="32"/>
  <c r="I33" i="32"/>
  <c r="CY455" i="16"/>
  <c r="N68" i="20" s="1"/>
  <c r="M26" i="32"/>
  <c r="J17" i="32"/>
  <c r="L44" i="32"/>
  <c r="M56" i="32"/>
  <c r="L5" i="32"/>
  <c r="K37" i="32"/>
  <c r="DI452" i="16"/>
  <c r="I21" i="32"/>
  <c r="H70" i="32"/>
  <c r="AG61" i="16"/>
  <c r="BA61" i="16" s="1"/>
  <c r="J3" i="32"/>
  <c r="I48" i="32"/>
  <c r="DD37" i="16"/>
  <c r="BO323" i="16"/>
  <c r="CK323" i="16"/>
  <c r="BV323" i="16"/>
  <c r="CW324" i="16" s="1"/>
  <c r="BR105" i="16"/>
  <c r="CS106" i="16" s="1"/>
  <c r="CJ105" i="16"/>
  <c r="BN105" i="16"/>
  <c r="CY214" i="16"/>
  <c r="BX214" i="16"/>
  <c r="BX302" i="16"/>
  <c r="CY303" i="16" s="1"/>
  <c r="BP302" i="16"/>
  <c r="CL302" i="16"/>
  <c r="I50" i="32"/>
  <c r="K63" i="32"/>
  <c r="H52" i="32"/>
  <c r="L12" i="32"/>
  <c r="M9" i="32"/>
  <c r="I49" i="32"/>
  <c r="K43" i="32"/>
  <c r="I66" i="32"/>
  <c r="I32" i="32"/>
  <c r="AI38" i="16"/>
  <c r="BC38" i="16" s="1"/>
  <c r="BX435" i="16"/>
  <c r="CY436" i="16" s="1"/>
  <c r="BP435" i="16"/>
  <c r="CL435" i="16"/>
  <c r="CU258" i="16"/>
  <c r="BT258" i="16"/>
  <c r="DJ60" i="16"/>
  <c r="DI174" i="16"/>
  <c r="J45" i="32"/>
  <c r="L7" i="32"/>
  <c r="H34" i="32"/>
  <c r="I64" i="17"/>
  <c r="I64" i="32"/>
  <c r="AA38" i="16"/>
  <c r="AU38" i="16" s="1"/>
  <c r="K30" i="32"/>
  <c r="M8" i="32"/>
  <c r="M25" i="32"/>
  <c r="G23" i="32"/>
  <c r="I67" i="32"/>
  <c r="I59" i="32"/>
  <c r="AH61" i="16"/>
  <c r="BB61" i="16" s="1"/>
  <c r="L31" i="32"/>
  <c r="I58" i="32"/>
  <c r="K4" i="32"/>
  <c r="H22" i="32"/>
  <c r="DG60" i="16"/>
  <c r="DF60" i="16"/>
  <c r="CL390" i="16"/>
  <c r="BX390" i="16"/>
  <c r="CY391" i="16" s="1"/>
  <c r="BP390" i="16"/>
  <c r="CL324" i="16"/>
  <c r="BP324" i="16"/>
  <c r="BX324" i="16"/>
  <c r="CY325" i="16" s="1"/>
  <c r="H34" i="31"/>
  <c r="M38" i="31"/>
  <c r="I49" i="31"/>
  <c r="I47" i="31"/>
  <c r="L21" i="31"/>
  <c r="BW257" i="16"/>
  <c r="CX257" i="16"/>
  <c r="BU367" i="16"/>
  <c r="CV367" i="16"/>
  <c r="BW411" i="16"/>
  <c r="CX411" i="16"/>
  <c r="CW126" i="16"/>
  <c r="BV126" i="16"/>
  <c r="BV169" i="16"/>
  <c r="CW170" i="16" s="1"/>
  <c r="CK169" i="16"/>
  <c r="BO169" i="16"/>
  <c r="I64" i="31"/>
  <c r="M37" i="31"/>
  <c r="AN38" i="16"/>
  <c r="BH38" i="16" s="1"/>
  <c r="AH38" i="16"/>
  <c r="BB38" i="16" s="1"/>
  <c r="AL38" i="16"/>
  <c r="BF38" i="16" s="1"/>
  <c r="CP39" i="16" s="1"/>
  <c r="AB38" i="16"/>
  <c r="AV38" i="16" s="1"/>
  <c r="AF38" i="16"/>
  <c r="AZ38" i="16" s="1"/>
  <c r="CH39" i="16" s="1"/>
  <c r="M43" i="31"/>
  <c r="CG38" i="16"/>
  <c r="M66" i="18"/>
  <c r="M63" i="31"/>
  <c r="I67" i="31"/>
  <c r="I59" i="31"/>
  <c r="DH242" i="16"/>
  <c r="AM61" i="16"/>
  <c r="BG61" i="16" s="1"/>
  <c r="CQ62" i="16" s="1"/>
  <c r="AK61" i="16"/>
  <c r="BE61" i="16" s="1"/>
  <c r="CO62" i="16" s="1"/>
  <c r="I32" i="31"/>
  <c r="CU105" i="16"/>
  <c r="BT105" i="16"/>
  <c r="BV257" i="16"/>
  <c r="CW258" i="16" s="1"/>
  <c r="CK257" i="16"/>
  <c r="BO257" i="16"/>
  <c r="BT389" i="16"/>
  <c r="CU389" i="16"/>
  <c r="BQ368" i="16"/>
  <c r="CR368" i="16"/>
  <c r="I68" i="31"/>
  <c r="I33" i="31"/>
  <c r="DF37" i="16"/>
  <c r="DB37" i="16"/>
  <c r="Y38" i="16"/>
  <c r="AS38" i="16" s="1"/>
  <c r="AM38" i="16"/>
  <c r="BG38" i="16" s="1"/>
  <c r="AE38" i="16"/>
  <c r="AY38" i="16" s="1"/>
  <c r="CG39" i="16" s="1"/>
  <c r="AG38" i="16"/>
  <c r="BA38" i="16" s="1"/>
  <c r="AO38" i="16"/>
  <c r="BI38" i="16" s="1"/>
  <c r="BO38" i="16"/>
  <c r="CK39" i="16" s="1"/>
  <c r="DC36" i="16"/>
  <c r="L51" i="31"/>
  <c r="AJ61" i="16"/>
  <c r="BD61" i="16" s="1"/>
  <c r="AB61" i="16"/>
  <c r="AV61" i="16" s="1"/>
  <c r="AE61" i="16"/>
  <c r="AY61" i="16" s="1"/>
  <c r="I66" i="31"/>
  <c r="M17" i="31"/>
  <c r="H22" i="31"/>
  <c r="BM345" i="16"/>
  <c r="CI345" i="16"/>
  <c r="BS345" i="16"/>
  <c r="CT346" i="16" s="1"/>
  <c r="BU324" i="16"/>
  <c r="CV324" i="16"/>
  <c r="BN389" i="16"/>
  <c r="BR389" i="16"/>
  <c r="CS390" i="16" s="1"/>
  <c r="CJ389" i="16"/>
  <c r="BT412" i="16"/>
  <c r="CU412" i="16"/>
  <c r="BX412" i="16"/>
  <c r="CY413" i="16" s="1"/>
  <c r="CL412" i="16"/>
  <c r="BP412" i="16"/>
  <c r="BP280" i="16"/>
  <c r="CL280" i="16"/>
  <c r="BX280" i="16"/>
  <c r="CY281" i="16" s="1"/>
  <c r="CV83" i="16"/>
  <c r="BU83" i="16"/>
  <c r="BO346" i="16"/>
  <c r="CK346" i="16"/>
  <c r="H52" i="31"/>
  <c r="M61" i="31"/>
  <c r="DK453" i="16"/>
  <c r="I48" i="31"/>
  <c r="BW192" i="16"/>
  <c r="CX192" i="16"/>
  <c r="BR301" i="16"/>
  <c r="CS302" i="16" s="1"/>
  <c r="CJ301" i="16"/>
  <c r="BN301" i="16"/>
  <c r="CL216" i="16"/>
  <c r="BP216" i="16"/>
  <c r="CU433" i="16"/>
  <c r="BT433" i="16"/>
  <c r="BW345" i="16"/>
  <c r="CX345" i="16"/>
  <c r="AL61" i="16"/>
  <c r="BF61" i="16" s="1"/>
  <c r="CP62" i="16" s="1"/>
  <c r="AO61" i="16"/>
  <c r="BI61" i="16" s="1"/>
  <c r="AI61" i="16"/>
  <c r="BC61" i="16" s="1"/>
  <c r="CK454" i="16"/>
  <c r="M32" i="20" s="1"/>
  <c r="M45" i="31"/>
  <c r="BW301" i="16"/>
  <c r="CX301" i="16"/>
  <c r="BN213" i="16"/>
  <c r="CJ213" i="16"/>
  <c r="BR213" i="16"/>
  <c r="CS214" i="16" s="1"/>
  <c r="BU170" i="16"/>
  <c r="CV170" i="16"/>
  <c r="CR413" i="16"/>
  <c r="BQ413" i="16"/>
  <c r="CU301" i="16"/>
  <c r="BT301" i="16"/>
  <c r="I50" i="31"/>
  <c r="DH174" i="16"/>
  <c r="M55" i="31"/>
  <c r="AK38" i="16"/>
  <c r="BE38" i="16" s="1"/>
  <c r="CO39" i="16" s="1"/>
  <c r="AS37" i="16"/>
  <c r="CB38" i="16" s="1"/>
  <c r="AJ38" i="16"/>
  <c r="BD38" i="16" s="1"/>
  <c r="M56" i="31"/>
  <c r="G23" i="31"/>
  <c r="BT38" i="16"/>
  <c r="CU39" i="16" s="1"/>
  <c r="F41" i="29"/>
  <c r="DB243" i="16"/>
  <c r="H70" i="31"/>
  <c r="AD61" i="16"/>
  <c r="AX61" i="16" s="1"/>
  <c r="Z61" i="16"/>
  <c r="AT61" i="16" s="1"/>
  <c r="CC62" i="16" s="1"/>
  <c r="AA61" i="16"/>
  <c r="AU61" i="16" s="1"/>
  <c r="CD62" i="16" s="1"/>
  <c r="AN61" i="16"/>
  <c r="BH61" i="16" s="1"/>
  <c r="I58" i="31"/>
  <c r="M30" i="31"/>
  <c r="DH13" i="16"/>
  <c r="BO191" i="16"/>
  <c r="BV191" i="16"/>
  <c r="CW192" i="16" s="1"/>
  <c r="CK191" i="16"/>
  <c r="BU345" i="16"/>
  <c r="CV345" i="16"/>
  <c r="CX148" i="16"/>
  <c r="BW148" i="16"/>
  <c r="CV434" i="16"/>
  <c r="BU434" i="16"/>
  <c r="BW235" i="16"/>
  <c r="CX235" i="16"/>
  <c r="BW390" i="16"/>
  <c r="CX390" i="16"/>
  <c r="CU235" i="16"/>
  <c r="BT235" i="16"/>
  <c r="BT368" i="16"/>
  <c r="CU368" i="16"/>
  <c r="BT169" i="16"/>
  <c r="CU169" i="16"/>
  <c r="CK280" i="16"/>
  <c r="BO280" i="16"/>
  <c r="BV280" i="16"/>
  <c r="CW281" i="16" s="1"/>
  <c r="CL170" i="16"/>
  <c r="BP170" i="16"/>
  <c r="BX170" i="16"/>
  <c r="CY171" i="16" s="1"/>
  <c r="CV257" i="16"/>
  <c r="BU257" i="16"/>
  <c r="CS82" i="16"/>
  <c r="BR82" i="16"/>
  <c r="J68" i="13"/>
  <c r="I53" i="18"/>
  <c r="I53" i="21"/>
  <c r="CG198" i="16"/>
  <c r="G40" i="26"/>
  <c r="G33" i="28"/>
  <c r="CU346" i="16"/>
  <c r="BT346" i="16"/>
  <c r="CO131" i="16"/>
  <c r="K16" i="27"/>
  <c r="M51" i="17"/>
  <c r="M29" i="21"/>
  <c r="M29" i="23"/>
  <c r="G28" i="25"/>
  <c r="G26" i="27"/>
  <c r="G26" i="29"/>
  <c r="CI434" i="16"/>
  <c r="BS434" i="16"/>
  <c r="CT435" i="16" s="1"/>
  <c r="BM434" i="16"/>
  <c r="I16" i="28"/>
  <c r="I16" i="29"/>
  <c r="H37" i="25"/>
  <c r="H55" i="18"/>
  <c r="H53" i="13"/>
  <c r="H56" i="21" s="1"/>
  <c r="H55" i="21"/>
  <c r="CD176" i="16"/>
  <c r="CP176" i="16"/>
  <c r="L10" i="27"/>
  <c r="L11" i="25"/>
  <c r="M11" i="21"/>
  <c r="M45" i="17"/>
  <c r="M11" i="23"/>
  <c r="M59" i="18"/>
  <c r="M58" i="25"/>
  <c r="M28" i="23"/>
  <c r="M50" i="17"/>
  <c r="M28" i="21"/>
  <c r="G40" i="25"/>
  <c r="G33" i="29"/>
  <c r="G33" i="27"/>
  <c r="I61" i="26"/>
  <c r="I61" i="28" s="1"/>
  <c r="I62" i="23"/>
  <c r="CR170" i="16"/>
  <c r="BQ170" i="16"/>
  <c r="K27" i="17"/>
  <c r="CV191" i="16"/>
  <c r="BU191" i="16"/>
  <c r="O9" i="26"/>
  <c r="P37" i="10"/>
  <c r="P25" i="10"/>
  <c r="CL369" i="16"/>
  <c r="BX369" i="16"/>
  <c r="CY370" i="16" s="1"/>
  <c r="BP369" i="16"/>
  <c r="CK301" i="16"/>
  <c r="BV301" i="16"/>
  <c r="CW302" i="16" s="1"/>
  <c r="BO301" i="16"/>
  <c r="CQ15" i="16"/>
  <c r="CQ455" i="16" s="1"/>
  <c r="N59" i="20" s="1"/>
  <c r="BG454" i="16"/>
  <c r="M41" i="20" s="1"/>
  <c r="BW15" i="16"/>
  <c r="BU15" i="16"/>
  <c r="BF454" i="16"/>
  <c r="M40" i="20" s="1"/>
  <c r="CP15" i="16"/>
  <c r="CP455" i="16" s="1"/>
  <c r="N58" i="20" s="1"/>
  <c r="CH221" i="16"/>
  <c r="CC221" i="16"/>
  <c r="K46" i="21"/>
  <c r="K46" i="23"/>
  <c r="M59" i="17"/>
  <c r="J65" i="13"/>
  <c r="I50" i="18"/>
  <c r="I50" i="21"/>
  <c r="H34" i="17"/>
  <c r="H6" i="17"/>
  <c r="CU149" i="16"/>
  <c r="BT149" i="16"/>
  <c r="M20" i="18"/>
  <c r="N45" i="13"/>
  <c r="N30" i="13"/>
  <c r="M21" i="13"/>
  <c r="N17" i="13"/>
  <c r="CK15" i="16"/>
  <c r="BV15" i="16"/>
  <c r="BO454" i="16"/>
  <c r="M19" i="20" s="1"/>
  <c r="K7" i="23"/>
  <c r="K7" i="21"/>
  <c r="K13" i="17"/>
  <c r="H33" i="25"/>
  <c r="H25" i="18"/>
  <c r="H23" i="13"/>
  <c r="H25" i="21"/>
  <c r="CO198" i="16"/>
  <c r="DJ197" i="16"/>
  <c r="DK197" i="16"/>
  <c r="CI82" i="16"/>
  <c r="BS82" i="16"/>
  <c r="CT83" i="16" s="1"/>
  <c r="BM82" i="16"/>
  <c r="H38" i="17"/>
  <c r="BN346" i="16"/>
  <c r="BR346" i="16"/>
  <c r="CS347" i="16" s="1"/>
  <c r="CJ346" i="16"/>
  <c r="CB153" i="16"/>
  <c r="DC152" i="16"/>
  <c r="J26" i="17"/>
  <c r="J21" i="17"/>
  <c r="K15" i="29"/>
  <c r="L41" i="21"/>
  <c r="L41" i="23"/>
  <c r="L15" i="17"/>
  <c r="L15" i="28" s="1"/>
  <c r="L21" i="21"/>
  <c r="L21" i="23"/>
  <c r="CI212" i="16"/>
  <c r="BM212" i="16"/>
  <c r="BS212" i="16"/>
  <c r="CT213" i="16" s="1"/>
  <c r="I67" i="18"/>
  <c r="I69" i="13"/>
  <c r="I67" i="21"/>
  <c r="P55" i="10"/>
  <c r="O10" i="26"/>
  <c r="CI280" i="16"/>
  <c r="BM280" i="16"/>
  <c r="BS280" i="16"/>
  <c r="CT281" i="16" s="1"/>
  <c r="CR258" i="16"/>
  <c r="BQ258" i="16"/>
  <c r="I54" i="17"/>
  <c r="CJ15" i="16"/>
  <c r="BR15" i="16"/>
  <c r="BN454" i="16"/>
  <c r="M18" i="20" s="1"/>
  <c r="M18" i="33" s="1"/>
  <c r="J67" i="10"/>
  <c r="I52" i="23"/>
  <c r="CU325" i="16"/>
  <c r="BT325" i="16"/>
  <c r="BV412" i="16"/>
  <c r="CW413" i="16" s="1"/>
  <c r="BO412" i="16"/>
  <c r="CK412" i="16"/>
  <c r="M64" i="18"/>
  <c r="CF15" i="16"/>
  <c r="CF455" i="16" s="1"/>
  <c r="N26" i="20" s="1"/>
  <c r="AX454" i="16"/>
  <c r="M13" i="20" s="1"/>
  <c r="M13" i="33" s="1"/>
  <c r="CB61" i="16"/>
  <c r="DC60" i="16"/>
  <c r="J16" i="17"/>
  <c r="J13" i="28"/>
  <c r="J13" i="29"/>
  <c r="I69" i="10"/>
  <c r="I69" i="33" s="1"/>
  <c r="I67" i="23"/>
  <c r="CV147" i="16"/>
  <c r="BU147" i="16"/>
  <c r="BX127" i="16"/>
  <c r="CY128" i="16" s="1"/>
  <c r="CL127" i="16"/>
  <c r="BP127" i="16"/>
  <c r="I69" i="18"/>
  <c r="I69" i="21"/>
  <c r="J39" i="27"/>
  <c r="J64" i="10"/>
  <c r="J64" i="33" s="1"/>
  <c r="I52" i="10"/>
  <c r="I52" i="33" s="1"/>
  <c r="I49" i="23"/>
  <c r="BU389" i="16"/>
  <c r="CV389" i="16"/>
  <c r="I34" i="10"/>
  <c r="I34" i="33" s="1"/>
  <c r="I35" i="23"/>
  <c r="CL39" i="16"/>
  <c r="M33" i="18"/>
  <c r="CK105" i="16"/>
  <c r="BV105" i="16"/>
  <c r="CW106" i="16" s="1"/>
  <c r="BO105" i="16"/>
  <c r="AK198" i="16"/>
  <c r="BE198" i="16" s="1"/>
  <c r="CH198" i="16"/>
  <c r="CD198" i="16"/>
  <c r="CR82" i="16"/>
  <c r="BQ82" i="16"/>
  <c r="BV148" i="16"/>
  <c r="CW149" i="16" s="1"/>
  <c r="CK148" i="16"/>
  <c r="BO148" i="16"/>
  <c r="H36" i="28"/>
  <c r="H36" i="29"/>
  <c r="BR191" i="16"/>
  <c r="CS192" i="16" s="1"/>
  <c r="CJ191" i="16"/>
  <c r="BN191" i="16"/>
  <c r="G25" i="27"/>
  <c r="G25" i="29"/>
  <c r="BU280" i="16"/>
  <c r="CV280" i="16"/>
  <c r="K33" i="17"/>
  <c r="CK83" i="16"/>
  <c r="BV83" i="16"/>
  <c r="CW84" i="16" s="1"/>
  <c r="BO83" i="16"/>
  <c r="K66" i="23"/>
  <c r="K66" i="21"/>
  <c r="DI242" i="16"/>
  <c r="CX15" i="16"/>
  <c r="BW454" i="16"/>
  <c r="M49" i="20" s="1"/>
  <c r="CR15" i="16"/>
  <c r="CJ454" i="16"/>
  <c r="M31" i="20" s="1"/>
  <c r="M31" i="33" s="1"/>
  <c r="H35" i="13"/>
  <c r="H53" i="25"/>
  <c r="H37" i="18"/>
  <c r="H37" i="21"/>
  <c r="BU301" i="16"/>
  <c r="CV301" i="16"/>
  <c r="CX170" i="16"/>
  <c r="BW170" i="16"/>
  <c r="AG176" i="16"/>
  <c r="BA176" i="16" s="1"/>
  <c r="AF176" i="16"/>
  <c r="AZ176" i="16" s="1"/>
  <c r="AH176" i="16"/>
  <c r="BB176" i="16" s="1"/>
  <c r="AS175" i="16"/>
  <c r="AJ176" i="16"/>
  <c r="BD176" i="16" s="1"/>
  <c r="AB176" i="16"/>
  <c r="AV176" i="16" s="1"/>
  <c r="Z176" i="16"/>
  <c r="AT176" i="16" s="1"/>
  <c r="AO176" i="16"/>
  <c r="BI176" i="16" s="1"/>
  <c r="AN176" i="16"/>
  <c r="BH176" i="16" s="1"/>
  <c r="AI176" i="16"/>
  <c r="BC176" i="16" s="1"/>
  <c r="AL176" i="16"/>
  <c r="BF176" i="16" s="1"/>
  <c r="AK176" i="16"/>
  <c r="BE176" i="16" s="1"/>
  <c r="Y176" i="16"/>
  <c r="AA176" i="16"/>
  <c r="AU176" i="16" s="1"/>
  <c r="AD176" i="16"/>
  <c r="AX176" i="16" s="1"/>
  <c r="AE176" i="16"/>
  <c r="AY176" i="16" s="1"/>
  <c r="AM176" i="16"/>
  <c r="BG176" i="16" s="1"/>
  <c r="AC176" i="16"/>
  <c r="AW176" i="16" s="1"/>
  <c r="CE177" i="16" s="1"/>
  <c r="CQ176" i="16"/>
  <c r="CF176" i="16"/>
  <c r="DB175" i="16"/>
  <c r="CC176" i="16"/>
  <c r="I11" i="17"/>
  <c r="I8" i="28"/>
  <c r="I8" i="29"/>
  <c r="CI13" i="16"/>
  <c r="CI453" i="16" s="1"/>
  <c r="L30" i="20" s="1"/>
  <c r="L30" i="33" s="1"/>
  <c r="BM452" i="16"/>
  <c r="K17" i="20" s="1"/>
  <c r="K17" i="33" s="1"/>
  <c r="BS13" i="16"/>
  <c r="BM13" i="16"/>
  <c r="CU83" i="16"/>
  <c r="BT83" i="16"/>
  <c r="L4" i="20"/>
  <c r="L4" i="33" s="1"/>
  <c r="DB453" i="16"/>
  <c r="L47" i="21"/>
  <c r="L47" i="23"/>
  <c r="CJ259" i="16"/>
  <c r="BR259" i="16"/>
  <c r="CS260" i="16" s="1"/>
  <c r="BN259" i="16"/>
  <c r="M46" i="18"/>
  <c r="M51" i="13"/>
  <c r="N61" i="13"/>
  <c r="J68" i="10"/>
  <c r="I53" i="23"/>
  <c r="CU454" i="16"/>
  <c r="M64" i="20" s="1"/>
  <c r="K32" i="27"/>
  <c r="K39" i="25"/>
  <c r="CR60" i="16"/>
  <c r="BQ60" i="16"/>
  <c r="L8" i="23"/>
  <c r="L30" i="17"/>
  <c r="L8" i="21"/>
  <c r="G34" i="25"/>
  <c r="G26" i="18"/>
  <c r="G76" i="18" s="1"/>
  <c r="G78" i="18" s="1"/>
  <c r="G6" i="25"/>
  <c r="H14" i="13"/>
  <c r="H15" i="13"/>
  <c r="H11" i="28"/>
  <c r="H11" i="29"/>
  <c r="CJ279" i="16"/>
  <c r="BN279" i="16"/>
  <c r="BR279" i="16"/>
  <c r="CS280" i="16" s="1"/>
  <c r="DI219" i="16"/>
  <c r="BM258" i="16"/>
  <c r="CI258" i="16"/>
  <c r="BS258" i="16"/>
  <c r="CT259" i="16" s="1"/>
  <c r="BV213" i="16"/>
  <c r="CW214" i="16" s="1"/>
  <c r="CK213" i="16"/>
  <c r="BO213" i="16"/>
  <c r="G38" i="29"/>
  <c r="H59" i="29"/>
  <c r="H59" i="27"/>
  <c r="DH452" i="16"/>
  <c r="J48" i="28"/>
  <c r="J48" i="29"/>
  <c r="L64" i="23"/>
  <c r="L64" i="21"/>
  <c r="J65" i="10"/>
  <c r="I50" i="23"/>
  <c r="CR236" i="16"/>
  <c r="BQ236" i="16"/>
  <c r="N11" i="26"/>
  <c r="G28" i="26"/>
  <c r="G28" i="28" s="1"/>
  <c r="G26" i="28"/>
  <c r="K23" i="17"/>
  <c r="H24" i="27"/>
  <c r="H24" i="29"/>
  <c r="DE243" i="16"/>
  <c r="Y15" i="16"/>
  <c r="AF15" i="16"/>
  <c r="AZ15" i="16" s="1"/>
  <c r="AI15" i="16"/>
  <c r="BC15" i="16" s="1"/>
  <c r="AM15" i="16"/>
  <c r="BG15" i="16" s="1"/>
  <c r="AN15" i="16"/>
  <c r="BH15" i="16" s="1"/>
  <c r="BH455" i="16" s="1"/>
  <c r="Z15" i="16"/>
  <c r="AT15" i="16" s="1"/>
  <c r="AC15" i="16"/>
  <c r="AW15" i="16" s="1"/>
  <c r="AJ15" i="16"/>
  <c r="BD15" i="16" s="1"/>
  <c r="AB15" i="16"/>
  <c r="AV15" i="16" s="1"/>
  <c r="AO15" i="16"/>
  <c r="BI15" i="16" s="1"/>
  <c r="BI455" i="16" s="1"/>
  <c r="AS14" i="16"/>
  <c r="AL15" i="16"/>
  <c r="BF15" i="16" s="1"/>
  <c r="AH15" i="16"/>
  <c r="BB15" i="16" s="1"/>
  <c r="BB455" i="16" s="1"/>
  <c r="AA15" i="16"/>
  <c r="AU15" i="16" s="1"/>
  <c r="AE15" i="16"/>
  <c r="AY15" i="16" s="1"/>
  <c r="AD15" i="16"/>
  <c r="AX15" i="16" s="1"/>
  <c r="AK15" i="16"/>
  <c r="BE15" i="16" s="1"/>
  <c r="AG15" i="16"/>
  <c r="BA15" i="16" s="1"/>
  <c r="BA455" i="16" s="1"/>
  <c r="CN15" i="16"/>
  <c r="CN455" i="16" s="1"/>
  <c r="N56" i="20" s="1"/>
  <c r="BQ15" i="16"/>
  <c r="BD454" i="16"/>
  <c r="M38" i="20" s="1"/>
  <c r="M38" i="32" s="1"/>
  <c r="CE15" i="16"/>
  <c r="CE455" i="16" s="1"/>
  <c r="N25" i="20" s="1"/>
  <c r="N25" i="33" s="1"/>
  <c r="AW454" i="16"/>
  <c r="M12" i="20" s="1"/>
  <c r="M12" i="33" s="1"/>
  <c r="DC13" i="16"/>
  <c r="CB14" i="16"/>
  <c r="CB454" i="16" s="1"/>
  <c r="M7" i="20" s="1"/>
  <c r="M7" i="33" s="1"/>
  <c r="AS453" i="16"/>
  <c r="AU454" i="16"/>
  <c r="M5" i="20" s="1"/>
  <c r="M5" i="33" s="1"/>
  <c r="BN15" i="16"/>
  <c r="CD15" i="16"/>
  <c r="CD455" i="16" s="1"/>
  <c r="N9" i="20" s="1"/>
  <c r="K30" i="28"/>
  <c r="K30" i="29"/>
  <c r="L34" i="21"/>
  <c r="L34" i="23"/>
  <c r="CO221" i="16"/>
  <c r="DK220" i="16"/>
  <c r="DJ220" i="16"/>
  <c r="CI170" i="16"/>
  <c r="BS170" i="16"/>
  <c r="CT171" i="16" s="1"/>
  <c r="BM170" i="16"/>
  <c r="CW15" i="16"/>
  <c r="BV454" i="16"/>
  <c r="M48" i="20" s="1"/>
  <c r="K9" i="28"/>
  <c r="K9" i="29"/>
  <c r="CU280" i="16"/>
  <c r="BT280" i="16"/>
  <c r="H61" i="27"/>
  <c r="H61" i="29"/>
  <c r="L20" i="17"/>
  <c r="DI13" i="16"/>
  <c r="H52" i="27"/>
  <c r="H52" i="29"/>
  <c r="H32" i="28"/>
  <c r="H39" i="17"/>
  <c r="H32" i="29"/>
  <c r="CL347" i="16"/>
  <c r="BX347" i="16"/>
  <c r="CY348" i="16" s="1"/>
  <c r="BP347" i="16"/>
  <c r="CK389" i="16"/>
  <c r="BO389" i="16"/>
  <c r="BV389" i="16"/>
  <c r="CW390" i="16" s="1"/>
  <c r="J47" i="10"/>
  <c r="J47" i="33" s="1"/>
  <c r="J58" i="10"/>
  <c r="J58" i="33" s="1"/>
  <c r="I43" i="23"/>
  <c r="J66" i="10"/>
  <c r="I51" i="23"/>
  <c r="L32" i="25"/>
  <c r="L24" i="18"/>
  <c r="J35" i="20"/>
  <c r="J53" i="17"/>
  <c r="L14" i="20"/>
  <c r="DD453" i="16"/>
  <c r="J6" i="21"/>
  <c r="J6" i="23"/>
  <c r="J8" i="17"/>
  <c r="J66" i="13"/>
  <c r="I51" i="18"/>
  <c r="I51" i="21"/>
  <c r="CI106" i="16"/>
  <c r="BS106" i="16"/>
  <c r="CT107" i="16" s="1"/>
  <c r="BM106" i="16"/>
  <c r="I28" i="17"/>
  <c r="L20" i="20"/>
  <c r="L22" i="20" s="1"/>
  <c r="BX454" i="16"/>
  <c r="M50" i="20" s="1"/>
  <c r="J25" i="17"/>
  <c r="CJ147" i="16"/>
  <c r="BR147" i="16"/>
  <c r="CS148" i="16" s="1"/>
  <c r="BN147" i="16"/>
  <c r="M59" i="23"/>
  <c r="M58" i="17"/>
  <c r="M59" i="21"/>
  <c r="CS15" i="16"/>
  <c r="CS455" i="16" s="1"/>
  <c r="N62" i="20" s="1"/>
  <c r="N62" i="33" s="1"/>
  <c r="BR454" i="16"/>
  <c r="M44" i="20" s="1"/>
  <c r="M44" i="33" s="1"/>
  <c r="CX106" i="16"/>
  <c r="BW106" i="16"/>
  <c r="CR214" i="16"/>
  <c r="BQ214" i="16"/>
  <c r="CO176" i="16"/>
  <c r="DE175" i="16"/>
  <c r="CN176" i="16"/>
  <c r="CJ129" i="16"/>
  <c r="BN129" i="16"/>
  <c r="CT13" i="16"/>
  <c r="CT453" i="16" s="1"/>
  <c r="L63" i="20" s="1"/>
  <c r="L63" i="33" s="1"/>
  <c r="BS452" i="16"/>
  <c r="K45" i="20" s="1"/>
  <c r="K45" i="33" s="1"/>
  <c r="L46" i="21"/>
  <c r="L46" i="23"/>
  <c r="BS235" i="16"/>
  <c r="CT236" i="16" s="1"/>
  <c r="CI235" i="16"/>
  <c r="BM235" i="16"/>
  <c r="M48" i="25"/>
  <c r="DC106" i="16"/>
  <c r="CB107" i="16"/>
  <c r="CL106" i="16"/>
  <c r="BX106" i="16"/>
  <c r="CY107" i="16" s="1"/>
  <c r="BP106" i="16"/>
  <c r="G66" i="26"/>
  <c r="J67" i="13"/>
  <c r="I52" i="18"/>
  <c r="I52" i="21"/>
  <c r="DC242" i="16"/>
  <c r="CB243" i="16"/>
  <c r="DF243" i="16"/>
  <c r="H63" i="25"/>
  <c r="H73" i="18"/>
  <c r="CM15" i="16"/>
  <c r="CM455" i="16" s="1"/>
  <c r="N55" i="20" s="1"/>
  <c r="N55" i="33" s="1"/>
  <c r="BC454" i="16"/>
  <c r="DF14" i="16"/>
  <c r="DG14" i="16"/>
  <c r="BT15" i="16"/>
  <c r="DE14" i="16"/>
  <c r="CO15" i="16"/>
  <c r="CO455" i="16" s="1"/>
  <c r="N57" i="20" s="1"/>
  <c r="BE454" i="16"/>
  <c r="CV15" i="16"/>
  <c r="BU454" i="16"/>
  <c r="M47" i="20" s="1"/>
  <c r="CJ235" i="16"/>
  <c r="BR235" i="16"/>
  <c r="CS236" i="16" s="1"/>
  <c r="BN235" i="16"/>
  <c r="AM221" i="16"/>
  <c r="BG221" i="16" s="1"/>
  <c r="AL221" i="16"/>
  <c r="BF221" i="16" s="1"/>
  <c r="AS220" i="16"/>
  <c r="AC221" i="16"/>
  <c r="AW221" i="16" s="1"/>
  <c r="AA221" i="16"/>
  <c r="AU221" i="16" s="1"/>
  <c r="AF221" i="16"/>
  <c r="AZ221" i="16" s="1"/>
  <c r="H37" i="26"/>
  <c r="H37" i="28" s="1"/>
  <c r="H53" i="10"/>
  <c r="H53" i="33" s="1"/>
  <c r="H55" i="23"/>
  <c r="CX127" i="16"/>
  <c r="BW127" i="16"/>
  <c r="CL15" i="16"/>
  <c r="CL455" i="16" s="1"/>
  <c r="N33" i="20" s="1"/>
  <c r="BX15" i="16"/>
  <c r="CY16" i="16" s="1"/>
  <c r="BP454" i="16"/>
  <c r="K44" i="28"/>
  <c r="K44" i="29"/>
  <c r="DH196" i="16"/>
  <c r="K14" i="28"/>
  <c r="K14" i="29"/>
  <c r="H25" i="26"/>
  <c r="H25" i="28" s="1"/>
  <c r="H23" i="28"/>
  <c r="H33" i="26"/>
  <c r="H23" i="10"/>
  <c r="H25" i="23"/>
  <c r="CP198" i="16"/>
  <c r="CV454" i="16"/>
  <c r="M65" i="20" s="1"/>
  <c r="H65" i="17"/>
  <c r="CX214" i="16"/>
  <c r="BW214" i="16"/>
  <c r="CR280" i="16"/>
  <c r="BQ280" i="16"/>
  <c r="CR148" i="16"/>
  <c r="BQ148" i="16"/>
  <c r="M61" i="17"/>
  <c r="L10" i="20"/>
  <c r="L10" i="33" s="1"/>
  <c r="L44" i="17"/>
  <c r="L10" i="23"/>
  <c r="L10" i="21"/>
  <c r="J33" i="17"/>
  <c r="K36" i="27"/>
  <c r="DD175" i="16"/>
  <c r="CG176" i="16"/>
  <c r="CB175" i="16"/>
  <c r="DC174" i="16"/>
  <c r="M40" i="18"/>
  <c r="N55" i="13"/>
  <c r="M10" i="25"/>
  <c r="N38" i="13"/>
  <c r="N37" i="13"/>
  <c r="K34" i="20"/>
  <c r="K33" i="21"/>
  <c r="K33" i="23"/>
  <c r="M65" i="21"/>
  <c r="M65" i="23"/>
  <c r="K11" i="27"/>
  <c r="CV127" i="16"/>
  <c r="BU127" i="16"/>
  <c r="CR105" i="16"/>
  <c r="BQ105" i="16"/>
  <c r="L58" i="29"/>
  <c r="L58" i="27"/>
  <c r="CJ411" i="16"/>
  <c r="BN411" i="16"/>
  <c r="BR411" i="16"/>
  <c r="CS412" i="16" s="1"/>
  <c r="CU214" i="16"/>
  <c r="BT214" i="16"/>
  <c r="AS107" i="16"/>
  <c r="O44" i="26"/>
  <c r="CI147" i="16"/>
  <c r="BS147" i="16"/>
  <c r="CT148" i="16" s="1"/>
  <c r="BM147" i="16"/>
  <c r="I70" i="18"/>
  <c r="I70" i="21"/>
  <c r="I61" i="25"/>
  <c r="I62" i="18"/>
  <c r="I62" i="21"/>
  <c r="I23" i="20"/>
  <c r="I24" i="23"/>
  <c r="I24" i="21"/>
  <c r="I32" i="17"/>
  <c r="AV454" i="16"/>
  <c r="DJ14" i="16"/>
  <c r="DK14" i="16"/>
  <c r="CH15" i="16"/>
  <c r="CH455" i="16" s="1"/>
  <c r="N28" i="20" s="1"/>
  <c r="BP15" i="16"/>
  <c r="AZ454" i="16"/>
  <c r="M15" i="20" s="1"/>
  <c r="AY454" i="16"/>
  <c r="BO15" i="16"/>
  <c r="DD14" i="16"/>
  <c r="CG15" i="16"/>
  <c r="CG455" i="16" s="1"/>
  <c r="N27" i="20" s="1"/>
  <c r="M60" i="17"/>
  <c r="CN221" i="16"/>
  <c r="CI411" i="16"/>
  <c r="BS411" i="16"/>
  <c r="CT412" i="16" s="1"/>
  <c r="BM411" i="16"/>
  <c r="L51" i="28"/>
  <c r="L51" i="29"/>
  <c r="CR434" i="16"/>
  <c r="BQ434" i="16"/>
  <c r="CU15" i="16"/>
  <c r="BT454" i="16"/>
  <c r="M46" i="20" s="1"/>
  <c r="CR346" i="16"/>
  <c r="BQ346" i="16"/>
  <c r="M58" i="21"/>
  <c r="M57" i="17"/>
  <c r="M57" i="28" s="1"/>
  <c r="M58" i="23"/>
  <c r="CR190" i="16"/>
  <c r="CR454" i="16" s="1"/>
  <c r="M61" i="20" s="1"/>
  <c r="M61" i="33" s="1"/>
  <c r="BQ190" i="16"/>
  <c r="BQ454" i="16" s="1"/>
  <c r="M43" i="20" s="1"/>
  <c r="M43" i="33" s="1"/>
  <c r="H64" i="17"/>
  <c r="I71" i="18"/>
  <c r="I71" i="21"/>
  <c r="CU60" i="16"/>
  <c r="BT60" i="16"/>
  <c r="I36" i="18"/>
  <c r="I36" i="21"/>
  <c r="CK435" i="16"/>
  <c r="BO435" i="16"/>
  <c r="CM198" i="16"/>
  <c r="CN198" i="16"/>
  <c r="CQ198" i="16"/>
  <c r="G34" i="26"/>
  <c r="G34" i="28" s="1"/>
  <c r="H15" i="10"/>
  <c r="H15" i="33" s="1"/>
  <c r="G6" i="26"/>
  <c r="G6" i="28" s="1"/>
  <c r="H14" i="10"/>
  <c r="H14" i="33" s="1"/>
  <c r="BN323" i="16"/>
  <c r="CJ323" i="16"/>
  <c r="BR323" i="16"/>
  <c r="CS324" i="16" s="1"/>
  <c r="L57" i="27"/>
  <c r="L57" i="29"/>
  <c r="CU126" i="16"/>
  <c r="BT126" i="16"/>
  <c r="CB84" i="16"/>
  <c r="DC83" i="16"/>
  <c r="BR171" i="16"/>
  <c r="CS172" i="16" s="1"/>
  <c r="CJ171" i="16"/>
  <c r="BN171" i="16"/>
  <c r="F66" i="27"/>
  <c r="F66" i="29"/>
  <c r="CX369" i="16"/>
  <c r="BW369" i="16"/>
  <c r="G64" i="27"/>
  <c r="G64" i="29"/>
  <c r="J48" i="21"/>
  <c r="J48" i="23"/>
  <c r="J51" i="20"/>
  <c r="J51" i="33" s="1"/>
  <c r="L24" i="17"/>
  <c r="K3" i="20"/>
  <c r="K3" i="33" s="1"/>
  <c r="DC452" i="16"/>
  <c r="L16" i="21"/>
  <c r="L14" i="17"/>
  <c r="L16" i="23"/>
  <c r="G21" i="27"/>
  <c r="G21" i="29"/>
  <c r="BQ324" i="16"/>
  <c r="CR324" i="16"/>
  <c r="DK175" i="16"/>
  <c r="DJ175" i="16"/>
  <c r="CM176" i="16"/>
  <c r="DG175" i="16"/>
  <c r="DF175" i="16"/>
  <c r="CH176" i="16"/>
  <c r="M15" i="25"/>
  <c r="N43" i="13"/>
  <c r="N56" i="13"/>
  <c r="M41" i="18"/>
  <c r="M57" i="25"/>
  <c r="M58" i="18"/>
  <c r="G41" i="17"/>
  <c r="G39" i="28"/>
  <c r="G39" i="29"/>
  <c r="BX148" i="16"/>
  <c r="CY149" i="16" s="1"/>
  <c r="CL148" i="16"/>
  <c r="BP148" i="16"/>
  <c r="CR302" i="16"/>
  <c r="BQ302" i="16"/>
  <c r="G65" i="28"/>
  <c r="G66" i="17"/>
  <c r="G66" i="29" s="1"/>
  <c r="CV213" i="16"/>
  <c r="BU213" i="16"/>
  <c r="CI192" i="16"/>
  <c r="BS192" i="16"/>
  <c r="CT193" i="16" s="1"/>
  <c r="BM192" i="16"/>
  <c r="J20" i="21"/>
  <c r="J20" i="23"/>
  <c r="J21" i="20"/>
  <c r="J21" i="33" s="1"/>
  <c r="L45" i="28"/>
  <c r="L45" i="29"/>
  <c r="L46" i="28"/>
  <c r="L46" i="29"/>
  <c r="CV412" i="16"/>
  <c r="BU412" i="16"/>
  <c r="L15" i="27"/>
  <c r="L16" i="25"/>
  <c r="F28" i="27"/>
  <c r="F28" i="29"/>
  <c r="J10" i="28"/>
  <c r="J10" i="29"/>
  <c r="L50" i="28"/>
  <c r="L50" i="29"/>
  <c r="CX280" i="16"/>
  <c r="BW280" i="16"/>
  <c r="L52" i="20"/>
  <c r="CX82" i="16"/>
  <c r="BW82" i="16"/>
  <c r="CU191" i="16"/>
  <c r="BT191" i="16"/>
  <c r="CR390" i="16"/>
  <c r="BQ390" i="16"/>
  <c r="L15" i="21"/>
  <c r="L9" i="17"/>
  <c r="L15" i="23"/>
  <c r="M12" i="21"/>
  <c r="M46" i="17"/>
  <c r="M12" i="23"/>
  <c r="DH265" i="16"/>
  <c r="K40" i="23"/>
  <c r="K10" i="17"/>
  <c r="K40" i="21"/>
  <c r="DI196" i="16"/>
  <c r="CX324" i="16"/>
  <c r="BW324" i="16"/>
  <c r="BS389" i="16"/>
  <c r="CT390" i="16" s="1"/>
  <c r="BM389" i="16"/>
  <c r="CI389" i="16"/>
  <c r="K19" i="17"/>
  <c r="O28" i="18"/>
  <c r="N44" i="27"/>
  <c r="CJ367" i="16"/>
  <c r="BR367" i="16"/>
  <c r="CS368" i="16" s="1"/>
  <c r="BN367" i="16"/>
  <c r="I60" i="26"/>
  <c r="I60" i="28" s="1"/>
  <c r="I61" i="23"/>
  <c r="O8" i="26"/>
  <c r="P12" i="10"/>
  <c r="P7" i="10"/>
  <c r="P3" i="10"/>
  <c r="H55" i="17"/>
  <c r="CJ434" i="16"/>
  <c r="BN434" i="16"/>
  <c r="BR434" i="16"/>
  <c r="CS435" i="16" s="1"/>
  <c r="L54" i="18"/>
  <c r="L36" i="25"/>
  <c r="CC15" i="16"/>
  <c r="CC455" i="16" s="1"/>
  <c r="N8" i="20" s="1"/>
  <c r="N8" i="32" s="1"/>
  <c r="AT454" i="16"/>
  <c r="DB14" i="16"/>
  <c r="J47" i="28"/>
  <c r="J47" i="29"/>
  <c r="CB220" i="16"/>
  <c r="DC219" i="16"/>
  <c r="DF220" i="16"/>
  <c r="CM221" i="16"/>
  <c r="CG221" i="16"/>
  <c r="DD220" i="16"/>
  <c r="CD221" i="16"/>
  <c r="H35" i="10"/>
  <c r="H35" i="33" s="1"/>
  <c r="H53" i="26"/>
  <c r="H53" i="28" s="1"/>
  <c r="H37" i="23"/>
  <c r="CI300" i="16"/>
  <c r="BM300" i="16"/>
  <c r="BS300" i="16"/>
  <c r="CT301" i="16" s="1"/>
  <c r="K37" i="17"/>
  <c r="CK129" i="16"/>
  <c r="BO129" i="16"/>
  <c r="BM323" i="16"/>
  <c r="CI323" i="16"/>
  <c r="BS323" i="16"/>
  <c r="CT324" i="16" s="1"/>
  <c r="L39" i="20"/>
  <c r="DE453" i="16"/>
  <c r="K47" i="17"/>
  <c r="K13" i="23"/>
  <c r="K13" i="21"/>
  <c r="O46" i="25"/>
  <c r="CR126" i="16"/>
  <c r="BQ126" i="16"/>
  <c r="BV368" i="16"/>
  <c r="CW369" i="16" s="1"/>
  <c r="BO368" i="16"/>
  <c r="CK368" i="16"/>
  <c r="G27" i="27"/>
  <c r="G27" i="29"/>
  <c r="BW434" i="16"/>
  <c r="CX434" i="16"/>
  <c r="I60" i="25"/>
  <c r="I61" i="18"/>
  <c r="I61" i="21"/>
  <c r="CI368" i="16"/>
  <c r="BM368" i="16"/>
  <c r="N50" i="27"/>
  <c r="I59" i="26"/>
  <c r="I59" i="28" s="1"/>
  <c r="I60" i="23"/>
  <c r="CL194" i="16"/>
  <c r="BP194" i="16"/>
  <c r="G55" i="29"/>
  <c r="M48" i="18"/>
  <c r="N63" i="13"/>
  <c r="L37" i="20"/>
  <c r="L37" i="33" s="1"/>
  <c r="DG453" i="16"/>
  <c r="DF453" i="16"/>
  <c r="M52" i="17"/>
  <c r="I35" i="18"/>
  <c r="I34" i="13"/>
  <c r="I35" i="21"/>
  <c r="DB197" i="16" l="1"/>
  <c r="AJ221" i="16"/>
  <c r="BD221" i="16" s="1"/>
  <c r="AB221" i="16"/>
  <c r="AV221" i="16" s="1"/>
  <c r="DJ221" i="16" s="1"/>
  <c r="O13" i="25"/>
  <c r="AI198" i="16"/>
  <c r="BC198" i="16" s="1"/>
  <c r="BS368" i="16"/>
  <c r="CT369" i="16" s="1"/>
  <c r="AE221" i="16"/>
  <c r="AY221" i="16" s="1"/>
  <c r="Z221" i="16"/>
  <c r="AT221" i="16" s="1"/>
  <c r="DC221" i="16" s="1"/>
  <c r="AK221" i="16"/>
  <c r="BE221" i="16" s="1"/>
  <c r="AN221" i="16"/>
  <c r="BH221" i="16" s="1"/>
  <c r="DJ243" i="16"/>
  <c r="I60" i="18"/>
  <c r="AF198" i="16"/>
  <c r="AZ198" i="16" s="1"/>
  <c r="DB220" i="16"/>
  <c r="CC198" i="16"/>
  <c r="BX194" i="16"/>
  <c r="CY195" i="16" s="1"/>
  <c r="AD221" i="16"/>
  <c r="AX221" i="16" s="1"/>
  <c r="AG221" i="16"/>
  <c r="BA221" i="16" s="1"/>
  <c r="AM198" i="16"/>
  <c r="BG198" i="16" s="1"/>
  <c r="AH221" i="16"/>
  <c r="BB221" i="16" s="1"/>
  <c r="AO221" i="16"/>
  <c r="BI221" i="16" s="1"/>
  <c r="Y221" i="16"/>
  <c r="AS221" i="16" s="1"/>
  <c r="CP221" i="16"/>
  <c r="DD243" i="16"/>
  <c r="DH243" i="16" s="1"/>
  <c r="DE197" i="16"/>
  <c r="DC243" i="16"/>
  <c r="Z198" i="16"/>
  <c r="AT198" i="16" s="1"/>
  <c r="CC199" i="16" s="1"/>
  <c r="AB198" i="16"/>
  <c r="AV198" i="16" s="1"/>
  <c r="DK198" i="16" s="1"/>
  <c r="DD197" i="16"/>
  <c r="O10" i="13"/>
  <c r="O47" i="25" s="1"/>
  <c r="DG243" i="16"/>
  <c r="CB197" i="16"/>
  <c r="AH198" i="16"/>
  <c r="BB198" i="16" s="1"/>
  <c r="AL198" i="16"/>
  <c r="BF198" i="16" s="1"/>
  <c r="AE198" i="16"/>
  <c r="AY198" i="16" s="1"/>
  <c r="AA198" i="16"/>
  <c r="AU198" i="16" s="1"/>
  <c r="CD199" i="16" s="1"/>
  <c r="O7" i="31"/>
  <c r="BN61" i="16"/>
  <c r="CJ62" i="16" s="1"/>
  <c r="M14" i="27"/>
  <c r="DJ107" i="16"/>
  <c r="O44" i="25"/>
  <c r="O44" i="27" s="1"/>
  <c r="Y198" i="16"/>
  <c r="AG198" i="16"/>
  <c r="BA198" i="16" s="1"/>
  <c r="AO198" i="16"/>
  <c r="BI198" i="16" s="1"/>
  <c r="AJ198" i="16"/>
  <c r="BD198" i="16" s="1"/>
  <c r="AC198" i="16"/>
  <c r="AW198" i="16" s="1"/>
  <c r="CE199" i="16" s="1"/>
  <c r="AD198" i="16"/>
  <c r="AX198" i="16" s="1"/>
  <c r="AN198" i="16"/>
  <c r="BH198" i="16" s="1"/>
  <c r="DF198" i="16" s="1"/>
  <c r="BS62" i="16"/>
  <c r="CT63" i="16" s="1"/>
  <c r="BP62" i="16"/>
  <c r="CL63" i="16" s="1"/>
  <c r="H25" i="25"/>
  <c r="H25" i="29" s="1"/>
  <c r="BX39" i="16"/>
  <c r="CY40" i="16" s="1"/>
  <c r="O26" i="13"/>
  <c r="O51" i="25" s="1"/>
  <c r="BV346" i="16"/>
  <c r="CW347" i="16" s="1"/>
  <c r="BV62" i="16"/>
  <c r="CW63" i="16" s="1"/>
  <c r="BR129" i="16"/>
  <c r="CS130" i="16" s="1"/>
  <c r="CI62" i="16"/>
  <c r="O50" i="25"/>
  <c r="O50" i="27" s="1"/>
  <c r="DC37" i="16"/>
  <c r="G66" i="27"/>
  <c r="BW39" i="16"/>
  <c r="CX40" i="16" s="1"/>
  <c r="I46" i="32"/>
  <c r="DK130" i="16"/>
  <c r="DF107" i="16"/>
  <c r="DI106" i="16"/>
  <c r="G65" i="29"/>
  <c r="G65" i="27"/>
  <c r="BR39" i="16"/>
  <c r="CS40" i="16" s="1"/>
  <c r="DD84" i="16"/>
  <c r="J58" i="13"/>
  <c r="J58" i="31" s="1"/>
  <c r="DC129" i="16"/>
  <c r="BP85" i="16"/>
  <c r="CL86" i="16" s="1"/>
  <c r="DI83" i="16"/>
  <c r="BN85" i="16"/>
  <c r="CJ86" i="16" s="1"/>
  <c r="DH129" i="16"/>
  <c r="DJ130" i="16"/>
  <c r="DF130" i="16"/>
  <c r="G55" i="28"/>
  <c r="BO62" i="16"/>
  <c r="BV63" i="16" s="1"/>
  <c r="CW64" i="16" s="1"/>
  <c r="DI60" i="16"/>
  <c r="DF153" i="16"/>
  <c r="P26" i="13"/>
  <c r="P51" i="25" s="1"/>
  <c r="O14" i="25"/>
  <c r="AG108" i="16"/>
  <c r="BA108" i="16" s="1"/>
  <c r="DG107" i="16"/>
  <c r="DB107" i="16"/>
  <c r="H23" i="27"/>
  <c r="AK131" i="16"/>
  <c r="BE131" i="16" s="1"/>
  <c r="CO132" i="16" s="1"/>
  <c r="DE84" i="16"/>
  <c r="BP39" i="16"/>
  <c r="CD85" i="16"/>
  <c r="BN39" i="16"/>
  <c r="BR40" i="16" s="1"/>
  <c r="CS41" i="16" s="1"/>
  <c r="BS39" i="16"/>
  <c r="CT40" i="16" s="1"/>
  <c r="DH106" i="16"/>
  <c r="DK153" i="16"/>
  <c r="N14" i="25"/>
  <c r="AO108" i="16"/>
  <c r="BI108" i="16" s="1"/>
  <c r="DE130" i="16"/>
  <c r="DI130" i="16" s="1"/>
  <c r="DI129" i="16"/>
  <c r="DF84" i="16"/>
  <c r="DI152" i="16"/>
  <c r="AB131" i="16"/>
  <c r="AV131" i="16" s="1"/>
  <c r="DK84" i="16"/>
  <c r="AF131" i="16"/>
  <c r="AZ131" i="16" s="1"/>
  <c r="CH132" i="16" s="1"/>
  <c r="DE107" i="16"/>
  <c r="BX62" i="16"/>
  <c r="CY63" i="16" s="1"/>
  <c r="AD108" i="16"/>
  <c r="AX108" i="16" s="1"/>
  <c r="CF109" i="16" s="1"/>
  <c r="DG130" i="16"/>
  <c r="DB84" i="16"/>
  <c r="AN131" i="16"/>
  <c r="BH131" i="16" s="1"/>
  <c r="CY84" i="16"/>
  <c r="BX84" i="16"/>
  <c r="AN85" i="16"/>
  <c r="BH85" i="16" s="1"/>
  <c r="AK108" i="16"/>
  <c r="BE108" i="16" s="1"/>
  <c r="CO109" i="16" s="1"/>
  <c r="DD107" i="16"/>
  <c r="Z131" i="16"/>
  <c r="AT131" i="16" s="1"/>
  <c r="DK107" i="16"/>
  <c r="CM154" i="16"/>
  <c r="CQ39" i="16"/>
  <c r="AL131" i="16"/>
  <c r="BF131" i="16" s="1"/>
  <c r="CP132" i="16" s="1"/>
  <c r="AH85" i="16"/>
  <c r="BB85" i="16" s="1"/>
  <c r="P4" i="13"/>
  <c r="P13" i="25" s="1"/>
  <c r="BO236" i="16"/>
  <c r="CK236" i="16"/>
  <c r="BV236" i="16"/>
  <c r="CW237" i="16" s="1"/>
  <c r="AE108" i="16"/>
  <c r="AY108" i="16" s="1"/>
  <c r="CG109" i="16" s="1"/>
  <c r="AA108" i="16"/>
  <c r="AU108" i="16" s="1"/>
  <c r="CD109" i="16" s="1"/>
  <c r="DB130" i="16"/>
  <c r="AG131" i="16"/>
  <c r="BA131" i="16" s="1"/>
  <c r="AC131" i="16"/>
  <c r="AW131" i="16" s="1"/>
  <c r="CE132" i="16" s="1"/>
  <c r="AC85" i="16"/>
  <c r="AW85" i="16" s="1"/>
  <c r="CE86" i="16" s="1"/>
  <c r="P3" i="13"/>
  <c r="P6" i="18" s="1"/>
  <c r="CI39" i="16"/>
  <c r="K62" i="17"/>
  <c r="AH108" i="16"/>
  <c r="BB108" i="16" s="1"/>
  <c r="Y108" i="16"/>
  <c r="AS108" i="16" s="1"/>
  <c r="AF108" i="16"/>
  <c r="AZ108" i="16" s="1"/>
  <c r="CH109" i="16" s="1"/>
  <c r="AB108" i="16"/>
  <c r="AV108" i="16" s="1"/>
  <c r="DJ84" i="16"/>
  <c r="CN131" i="16"/>
  <c r="AS130" i="16"/>
  <c r="CB131" i="16" s="1"/>
  <c r="AH131" i="16"/>
  <c r="BB131" i="16" s="1"/>
  <c r="AO131" i="16"/>
  <c r="BI131" i="16" s="1"/>
  <c r="AA131" i="16"/>
  <c r="AU131" i="16" s="1"/>
  <c r="CD132" i="16" s="1"/>
  <c r="AA85" i="16"/>
  <c r="AU85" i="16" s="1"/>
  <c r="AF85" i="16"/>
  <c r="AZ85" i="16" s="1"/>
  <c r="CH86" i="16" s="1"/>
  <c r="DI37" i="16"/>
  <c r="P13" i="13"/>
  <c r="P14" i="25" s="1"/>
  <c r="P7" i="13"/>
  <c r="P10" i="18" s="1"/>
  <c r="AN108" i="16"/>
  <c r="BH108" i="16" s="1"/>
  <c r="Z108" i="16"/>
  <c r="AT108" i="16" s="1"/>
  <c r="Y131" i="16"/>
  <c r="AS131" i="16" s="1"/>
  <c r="AM131" i="16"/>
  <c r="BG131" i="16" s="1"/>
  <c r="CQ132" i="16" s="1"/>
  <c r="DD130" i="16"/>
  <c r="DH83" i="16"/>
  <c r="O8" i="25"/>
  <c r="O8" i="27" s="1"/>
  <c r="O6" i="18"/>
  <c r="AM108" i="16"/>
  <c r="BG108" i="16" s="1"/>
  <c r="AL108" i="16"/>
  <c r="BF108" i="16" s="1"/>
  <c r="CP109" i="16" s="1"/>
  <c r="AC108" i="16"/>
  <c r="AW108" i="16" s="1"/>
  <c r="CE109" i="16" s="1"/>
  <c r="AJ108" i="16"/>
  <c r="BD108" i="16" s="1"/>
  <c r="CN109" i="16" s="1"/>
  <c r="AI108" i="16"/>
  <c r="BC108" i="16" s="1"/>
  <c r="CM109" i="16" s="1"/>
  <c r="CD39" i="16"/>
  <c r="AJ131" i="16"/>
  <c r="BD131" i="16" s="1"/>
  <c r="CN132" i="16" s="1"/>
  <c r="AD131" i="16"/>
  <c r="AX131" i="16" s="1"/>
  <c r="CF132" i="16" s="1"/>
  <c r="AI131" i="16"/>
  <c r="BC131" i="16" s="1"/>
  <c r="AE131" i="16"/>
  <c r="AY131" i="16" s="1"/>
  <c r="CG132" i="16" s="1"/>
  <c r="AS84" i="16"/>
  <c r="DC84" i="16" s="1"/>
  <c r="P12" i="13"/>
  <c r="P15" i="18" s="1"/>
  <c r="P25" i="13"/>
  <c r="P50" i="25" s="1"/>
  <c r="J64" i="13"/>
  <c r="J64" i="32" s="1"/>
  <c r="O15" i="18"/>
  <c r="P18" i="13"/>
  <c r="Q31" i="13" s="1"/>
  <c r="I43" i="18"/>
  <c r="I59" i="25"/>
  <c r="I59" i="27" s="1"/>
  <c r="O12" i="31"/>
  <c r="I46" i="31"/>
  <c r="I40" i="32"/>
  <c r="I40" i="31"/>
  <c r="P5" i="13"/>
  <c r="P30" i="25" s="1"/>
  <c r="DH152" i="16"/>
  <c r="BP237" i="16"/>
  <c r="BX237" i="16"/>
  <c r="CY238" i="16" s="1"/>
  <c r="CL237" i="16"/>
  <c r="AE85" i="16"/>
  <c r="AY85" i="16" s="1"/>
  <c r="CG86" i="16" s="1"/>
  <c r="AI85" i="16"/>
  <c r="BC85" i="16" s="1"/>
  <c r="CM86" i="16" s="1"/>
  <c r="AE62" i="16"/>
  <c r="AY62" i="16" s="1"/>
  <c r="CG63" i="16" s="1"/>
  <c r="DG153" i="16"/>
  <c r="DB153" i="16"/>
  <c r="BR62" i="16"/>
  <c r="CS63" i="16" s="1"/>
  <c r="I49" i="21"/>
  <c r="J47" i="13"/>
  <c r="J47" i="31" s="1"/>
  <c r="AG85" i="16"/>
  <c r="BA85" i="16" s="1"/>
  <c r="Z85" i="16"/>
  <c r="AT85" i="16" s="1"/>
  <c r="CC86" i="16" s="1"/>
  <c r="AO85" i="16"/>
  <c r="BI85" i="16" s="1"/>
  <c r="DG84" i="16"/>
  <c r="I52" i="13"/>
  <c r="I55" i="21" s="1"/>
  <c r="AM85" i="16"/>
  <c r="BG85" i="16" s="1"/>
  <c r="AJ85" i="16"/>
  <c r="BD85" i="16" s="1"/>
  <c r="AS61" i="16"/>
  <c r="DC61" i="16" s="1"/>
  <c r="AD85" i="16"/>
  <c r="AX85" i="16" s="1"/>
  <c r="CF86" i="16" s="1"/>
  <c r="AB85" i="16"/>
  <c r="AV85" i="16" s="1"/>
  <c r="Y85" i="16"/>
  <c r="AL85" i="16"/>
  <c r="BF85" i="16" s="1"/>
  <c r="CP86" i="16" s="1"/>
  <c r="AK85" i="16"/>
  <c r="BE85" i="16" s="1"/>
  <c r="CO86" i="16" s="1"/>
  <c r="I60" i="21"/>
  <c r="BW62" i="16"/>
  <c r="CX63" i="16" s="1"/>
  <c r="AB154" i="16"/>
  <c r="AV154" i="16" s="1"/>
  <c r="I57" i="31"/>
  <c r="L15" i="29"/>
  <c r="O30" i="25"/>
  <c r="DF38" i="16"/>
  <c r="DH37" i="16"/>
  <c r="BV39" i="16"/>
  <c r="CW40" i="16" s="1"/>
  <c r="BM39" i="16"/>
  <c r="O44" i="13"/>
  <c r="O62" i="13"/>
  <c r="DG38" i="16"/>
  <c r="DJ153" i="16"/>
  <c r="DE153" i="16"/>
  <c r="CM39" i="16"/>
  <c r="I36" i="29"/>
  <c r="M58" i="28"/>
  <c r="H64" i="26"/>
  <c r="H64" i="28" s="1"/>
  <c r="AK39" i="16"/>
  <c r="BE39" i="16" s="1"/>
  <c r="CO40" i="16" s="1"/>
  <c r="CG62" i="16"/>
  <c r="AF154" i="16"/>
  <c r="AZ154" i="16" s="1"/>
  <c r="CH155" i="16" s="1"/>
  <c r="Z154" i="16"/>
  <c r="AT154" i="16" s="1"/>
  <c r="CC155" i="16" s="1"/>
  <c r="DB61" i="16"/>
  <c r="DH60" i="16"/>
  <c r="CW434" i="16"/>
  <c r="BV434" i="16"/>
  <c r="AD154" i="16"/>
  <c r="AX154" i="16" s="1"/>
  <c r="CF155" i="16" s="1"/>
  <c r="CW455" i="16"/>
  <c r="N66" i="20" s="1"/>
  <c r="AJ39" i="16"/>
  <c r="BD39" i="16" s="1"/>
  <c r="CN40" i="16" s="1"/>
  <c r="AO154" i="16"/>
  <c r="BI154" i="16" s="1"/>
  <c r="M43" i="32"/>
  <c r="N44" i="31"/>
  <c r="CI128" i="16"/>
  <c r="BS128" i="16"/>
  <c r="CT129" i="16" s="1"/>
  <c r="BM128" i="16"/>
  <c r="P57" i="26"/>
  <c r="CV237" i="16"/>
  <c r="BU237" i="16"/>
  <c r="N45" i="26"/>
  <c r="N45" i="27" s="1"/>
  <c r="N8" i="33"/>
  <c r="N8" i="31"/>
  <c r="N10" i="10"/>
  <c r="N11" i="18"/>
  <c r="CV61" i="16"/>
  <c r="BU61" i="16"/>
  <c r="L47" i="27"/>
  <c r="O63" i="10"/>
  <c r="O45" i="10"/>
  <c r="N21" i="10"/>
  <c r="O30" i="10"/>
  <c r="M47" i="26"/>
  <c r="M47" i="27" s="1"/>
  <c r="M10" i="31"/>
  <c r="M13" i="18"/>
  <c r="N18" i="31"/>
  <c r="N21" i="18"/>
  <c r="O31" i="10"/>
  <c r="CY456" i="16"/>
  <c r="O68" i="20" s="1"/>
  <c r="J69" i="23"/>
  <c r="J66" i="33"/>
  <c r="J68" i="23"/>
  <c r="J65" i="33"/>
  <c r="J71" i="23"/>
  <c r="J68" i="33"/>
  <c r="DD61" i="16"/>
  <c r="AM154" i="16"/>
  <c r="BG154" i="16" s="1"/>
  <c r="CQ155" i="16" s="1"/>
  <c r="AJ154" i="16"/>
  <c r="BD154" i="16" s="1"/>
  <c r="CN155" i="16" s="1"/>
  <c r="AH154" i="16"/>
  <c r="BB154" i="16" s="1"/>
  <c r="Y154" i="16"/>
  <c r="BQ39" i="16"/>
  <c r="CR40" i="16" s="1"/>
  <c r="N8" i="18"/>
  <c r="O18" i="10"/>
  <c r="N5" i="31"/>
  <c r="O9" i="10"/>
  <c r="N30" i="26"/>
  <c r="N30" i="27" s="1"/>
  <c r="O43" i="10"/>
  <c r="AN62" i="16"/>
  <c r="BH62" i="16" s="1"/>
  <c r="CN39" i="16"/>
  <c r="DD153" i="16"/>
  <c r="H34" i="26"/>
  <c r="H34" i="28" s="1"/>
  <c r="H23" i="33"/>
  <c r="DB38" i="16"/>
  <c r="N51" i="10"/>
  <c r="N36" i="26" s="1"/>
  <c r="CF62" i="16"/>
  <c r="J70" i="23"/>
  <c r="J67" i="33"/>
  <c r="BU39" i="16"/>
  <c r="CV40" i="16" s="1"/>
  <c r="P50" i="26"/>
  <c r="AI154" i="16"/>
  <c r="BC154" i="16" s="1"/>
  <c r="CM155" i="16" s="1"/>
  <c r="AE154" i="16"/>
  <c r="AY154" i="16" s="1"/>
  <c r="CG155" i="16" s="1"/>
  <c r="AG154" i="16"/>
  <c r="BA154" i="16" s="1"/>
  <c r="DF61" i="16"/>
  <c r="M16" i="26"/>
  <c r="M13" i="27"/>
  <c r="N4" i="31"/>
  <c r="O5" i="10"/>
  <c r="O13" i="10"/>
  <c r="O8" i="10"/>
  <c r="O4" i="10"/>
  <c r="N13" i="26"/>
  <c r="N7" i="18"/>
  <c r="N31" i="31"/>
  <c r="N34" i="18"/>
  <c r="O56" i="10"/>
  <c r="N15" i="26"/>
  <c r="BP259" i="16"/>
  <c r="CL259" i="16"/>
  <c r="BX259" i="16"/>
  <c r="CY260" i="16" s="1"/>
  <c r="N58" i="26"/>
  <c r="N56" i="33"/>
  <c r="AL154" i="16"/>
  <c r="BF154" i="16" s="1"/>
  <c r="CP155" i="16" s="1"/>
  <c r="AK154" i="16"/>
  <c r="BE154" i="16" s="1"/>
  <c r="CO155" i="16" s="1"/>
  <c r="AN154" i="16"/>
  <c r="BH154" i="16" s="1"/>
  <c r="AC154" i="16"/>
  <c r="AW154" i="16" s="1"/>
  <c r="CE155" i="16" s="1"/>
  <c r="AA154" i="16"/>
  <c r="AU154" i="16" s="1"/>
  <c r="CD155" i="16" s="1"/>
  <c r="O44" i="10"/>
  <c r="O17" i="10"/>
  <c r="N13" i="31"/>
  <c r="N16" i="18"/>
  <c r="N14" i="26"/>
  <c r="O38" i="10"/>
  <c r="O26" i="10"/>
  <c r="L48" i="26"/>
  <c r="L48" i="27" s="1"/>
  <c r="M32" i="26"/>
  <c r="M39" i="26" s="1"/>
  <c r="N51" i="26"/>
  <c r="N51" i="27" s="1"/>
  <c r="N26" i="33"/>
  <c r="N29" i="18"/>
  <c r="N26" i="31"/>
  <c r="CV105" i="16"/>
  <c r="BU105" i="16"/>
  <c r="M38" i="33"/>
  <c r="N46" i="26"/>
  <c r="N46" i="27" s="1"/>
  <c r="N9" i="33"/>
  <c r="N9" i="31"/>
  <c r="N12" i="18"/>
  <c r="M61" i="32"/>
  <c r="J21" i="32"/>
  <c r="N55" i="32"/>
  <c r="L63" i="32"/>
  <c r="H14" i="32"/>
  <c r="L30" i="32"/>
  <c r="M31" i="32"/>
  <c r="I69" i="32"/>
  <c r="BT259" i="16"/>
  <c r="CU259" i="16"/>
  <c r="CL303" i="16"/>
  <c r="BP303" i="16"/>
  <c r="BX303" i="16"/>
  <c r="CY304" i="16" s="1"/>
  <c r="BR106" i="16"/>
  <c r="CS107" i="16" s="1"/>
  <c r="BN106" i="16"/>
  <c r="CJ106" i="16"/>
  <c r="I34" i="32"/>
  <c r="AC62" i="16"/>
  <c r="AW62" i="16" s="1"/>
  <c r="CE63" i="16" s="1"/>
  <c r="AG62" i="16"/>
  <c r="BA62" i="16" s="1"/>
  <c r="DE38" i="16"/>
  <c r="K3" i="32"/>
  <c r="M44" i="32"/>
  <c r="M5" i="32"/>
  <c r="M12" i="32"/>
  <c r="AN39" i="16"/>
  <c r="BH39" i="16" s="1"/>
  <c r="CN62" i="16"/>
  <c r="H23" i="32"/>
  <c r="DG61" i="16"/>
  <c r="DJ61" i="16"/>
  <c r="CL325" i="16"/>
  <c r="BP325" i="16"/>
  <c r="BX325" i="16"/>
  <c r="CY326" i="16" s="1"/>
  <c r="CL391" i="16"/>
  <c r="BP391" i="16"/>
  <c r="BX391" i="16"/>
  <c r="CY392" i="16" s="1"/>
  <c r="CK324" i="16"/>
  <c r="BO324" i="16"/>
  <c r="BV324" i="16"/>
  <c r="CW325" i="16" s="1"/>
  <c r="L37" i="32"/>
  <c r="J67" i="32"/>
  <c r="N62" i="32"/>
  <c r="N25" i="32"/>
  <c r="L4" i="32"/>
  <c r="M13" i="32"/>
  <c r="M18" i="32"/>
  <c r="J65" i="32"/>
  <c r="J68" i="32"/>
  <c r="DK38" i="16"/>
  <c r="CY215" i="16"/>
  <c r="BX215" i="16"/>
  <c r="Y62" i="16"/>
  <c r="AS62" i="16" s="1"/>
  <c r="N56" i="32"/>
  <c r="J51" i="32"/>
  <c r="CU455" i="16"/>
  <c r="N64" i="20" s="1"/>
  <c r="L10" i="32"/>
  <c r="K45" i="32"/>
  <c r="J66" i="32"/>
  <c r="DH453" i="16"/>
  <c r="N9" i="32"/>
  <c r="M7" i="32"/>
  <c r="H15" i="32"/>
  <c r="K17" i="32"/>
  <c r="AF39" i="16"/>
  <c r="AZ39" i="16" s="1"/>
  <c r="CH40" i="16" s="1"/>
  <c r="H35" i="32"/>
  <c r="N26" i="32"/>
  <c r="H26" i="21"/>
  <c r="H53" i="32"/>
  <c r="BP436" i="16"/>
  <c r="CL436" i="16"/>
  <c r="BX436" i="16"/>
  <c r="CY437" i="16" s="1"/>
  <c r="N37" i="31"/>
  <c r="DH175" i="16"/>
  <c r="J66" i="31"/>
  <c r="N61" i="31"/>
  <c r="BW302" i="16"/>
  <c r="CX302" i="16"/>
  <c r="BW346" i="16"/>
  <c r="CX346" i="16"/>
  <c r="CL217" i="16"/>
  <c r="BP217" i="16"/>
  <c r="CU390" i="16"/>
  <c r="BT390" i="16"/>
  <c r="DH220" i="16"/>
  <c r="AF62" i="16"/>
  <c r="AZ62" i="16" s="1"/>
  <c r="BT39" i="16"/>
  <c r="CU40" i="16" s="1"/>
  <c r="N38" i="31"/>
  <c r="J67" i="31"/>
  <c r="DI220" i="16"/>
  <c r="BM62" i="16"/>
  <c r="BS63" i="16" s="1"/>
  <c r="CT64" i="16" s="1"/>
  <c r="M51" i="31"/>
  <c r="DD38" i="16"/>
  <c r="AM39" i="16"/>
  <c r="BG39" i="16" s="1"/>
  <c r="CQ40" i="16" s="1"/>
  <c r="AH39" i="16"/>
  <c r="BB39" i="16" s="1"/>
  <c r="AI39" i="16"/>
  <c r="BC39" i="16" s="1"/>
  <c r="CM40" i="16" s="1"/>
  <c r="Y39" i="16"/>
  <c r="H35" i="31"/>
  <c r="CX455" i="16"/>
  <c r="N67" i="20" s="1"/>
  <c r="M21" i="31"/>
  <c r="CM62" i="16"/>
  <c r="H53" i="31"/>
  <c r="CS83" i="16"/>
  <c r="BR83" i="16"/>
  <c r="CK281" i="16"/>
  <c r="BO281" i="16"/>
  <c r="BV281" i="16"/>
  <c r="CW282" i="16" s="1"/>
  <c r="CV435" i="16"/>
  <c r="BU435" i="16"/>
  <c r="BV192" i="16"/>
  <c r="CW193" i="16" s="1"/>
  <c r="BO192" i="16"/>
  <c r="CK192" i="16"/>
  <c r="DK61" i="16"/>
  <c r="CV84" i="16"/>
  <c r="BU84" i="16"/>
  <c r="BN390" i="16"/>
  <c r="CJ390" i="16"/>
  <c r="BR390" i="16"/>
  <c r="CS391" i="16" s="1"/>
  <c r="AJ62" i="16"/>
  <c r="BD62" i="16" s="1"/>
  <c r="AI62" i="16"/>
  <c r="BC62" i="16" s="1"/>
  <c r="CM63" i="16" s="1"/>
  <c r="Z62" i="16"/>
  <c r="AT62" i="16" s="1"/>
  <c r="CC63" i="16" s="1"/>
  <c r="AB62" i="16"/>
  <c r="AV62" i="16" s="1"/>
  <c r="H15" i="31"/>
  <c r="BO39" i="16"/>
  <c r="AA39" i="16"/>
  <c r="AU39" i="16" s="1"/>
  <c r="CD40" i="16" s="1"/>
  <c r="Z39" i="16"/>
  <c r="AT39" i="16" s="1"/>
  <c r="CC40" i="16" s="1"/>
  <c r="AD39" i="16"/>
  <c r="AX39" i="16" s="1"/>
  <c r="CF40" i="16" s="1"/>
  <c r="AB39" i="16"/>
  <c r="AV39" i="16" s="1"/>
  <c r="AC39" i="16"/>
  <c r="AW39" i="16" s="1"/>
  <c r="CE40" i="16" s="1"/>
  <c r="N30" i="31"/>
  <c r="DE61" i="16"/>
  <c r="DH197" i="16"/>
  <c r="J68" i="31"/>
  <c r="CL171" i="16"/>
  <c r="BX171" i="16"/>
  <c r="CY172" i="16" s="1"/>
  <c r="BP171" i="16"/>
  <c r="BT369" i="16"/>
  <c r="CU369" i="16"/>
  <c r="BW391" i="16"/>
  <c r="CX391" i="16"/>
  <c r="BU346" i="16"/>
  <c r="CV346" i="16"/>
  <c r="CU302" i="16"/>
  <c r="BT302" i="16"/>
  <c r="BN214" i="16"/>
  <c r="BR214" i="16"/>
  <c r="CS215" i="16" s="1"/>
  <c r="CJ214" i="16"/>
  <c r="BN302" i="16"/>
  <c r="CJ302" i="16"/>
  <c r="BR302" i="16"/>
  <c r="CS303" i="16" s="1"/>
  <c r="CX193" i="16"/>
  <c r="BW193" i="16"/>
  <c r="BP413" i="16"/>
  <c r="CL413" i="16"/>
  <c r="BX413" i="16"/>
  <c r="CY414" i="16" s="1"/>
  <c r="CU413" i="16"/>
  <c r="BT413" i="16"/>
  <c r="CW127" i="16"/>
  <c r="BV127" i="16"/>
  <c r="N43" i="31"/>
  <c r="N17" i="31"/>
  <c r="J65" i="31"/>
  <c r="CU170" i="16"/>
  <c r="BT170" i="16"/>
  <c r="CX236" i="16"/>
  <c r="BW236" i="16"/>
  <c r="CR414" i="16"/>
  <c r="BQ414" i="16"/>
  <c r="BV347" i="16"/>
  <c r="CW348" i="16" s="1"/>
  <c r="BO347" i="16"/>
  <c r="CK347" i="16"/>
  <c r="CI346" i="16"/>
  <c r="BM346" i="16"/>
  <c r="BS346" i="16"/>
  <c r="CT347" i="16" s="1"/>
  <c r="CU106" i="16"/>
  <c r="BT106" i="16"/>
  <c r="AH62" i="16"/>
  <c r="BB62" i="16" s="1"/>
  <c r="AA62" i="16"/>
  <c r="AU62" i="16" s="1"/>
  <c r="BT434" i="16"/>
  <c r="CU434" i="16"/>
  <c r="BP281" i="16"/>
  <c r="CL281" i="16"/>
  <c r="BX281" i="16"/>
  <c r="CY282" i="16" s="1"/>
  <c r="BV258" i="16"/>
  <c r="CW259" i="16" s="1"/>
  <c r="CK258" i="16"/>
  <c r="BO258" i="16"/>
  <c r="BW412" i="16"/>
  <c r="CX412" i="16"/>
  <c r="CX258" i="16"/>
  <c r="BW258" i="16"/>
  <c r="I34" i="31"/>
  <c r="N66" i="18"/>
  <c r="N63" i="31"/>
  <c r="AD62" i="16"/>
  <c r="AX62" i="16" s="1"/>
  <c r="CF63" i="16" s="1"/>
  <c r="AM62" i="16"/>
  <c r="BG62" i="16" s="1"/>
  <c r="AO62" i="16"/>
  <c r="BI62" i="16" s="1"/>
  <c r="AL62" i="16"/>
  <c r="BF62" i="16" s="1"/>
  <c r="CP63" i="16" s="1"/>
  <c r="AK62" i="16"/>
  <c r="BE62" i="16" s="1"/>
  <c r="CO63" i="16" s="1"/>
  <c r="N56" i="31"/>
  <c r="DH14" i="16"/>
  <c r="DJ38" i="16"/>
  <c r="N55" i="31"/>
  <c r="DD221" i="16"/>
  <c r="DE221" i="16"/>
  <c r="H14" i="31"/>
  <c r="AG39" i="16"/>
  <c r="BA39" i="16" s="1"/>
  <c r="AO39" i="16"/>
  <c r="BI39" i="16" s="1"/>
  <c r="AE39" i="16"/>
  <c r="AY39" i="16" s="1"/>
  <c r="AL39" i="16"/>
  <c r="BF39" i="16" s="1"/>
  <c r="I69" i="31"/>
  <c r="H23" i="31"/>
  <c r="N45" i="31"/>
  <c r="BU258" i="16"/>
  <c r="CV258" i="16"/>
  <c r="BT236" i="16"/>
  <c r="CU236" i="16"/>
  <c r="CX149" i="16"/>
  <c r="BW149" i="16"/>
  <c r="BU171" i="16"/>
  <c r="CV171" i="16"/>
  <c r="BU325" i="16"/>
  <c r="CV325" i="16"/>
  <c r="CR369" i="16"/>
  <c r="BQ369" i="16"/>
  <c r="BO170" i="16"/>
  <c r="BV170" i="16"/>
  <c r="CW171" i="16" s="1"/>
  <c r="CK170" i="16"/>
  <c r="BU368" i="16"/>
  <c r="CV368" i="16"/>
  <c r="M46" i="23"/>
  <c r="M46" i="21"/>
  <c r="CX435" i="16"/>
  <c r="BW435" i="16"/>
  <c r="K47" i="28"/>
  <c r="K48" i="17"/>
  <c r="K47" i="29"/>
  <c r="P8" i="26"/>
  <c r="Q7" i="10"/>
  <c r="Q12" i="10"/>
  <c r="Q3" i="10"/>
  <c r="BQ391" i="16"/>
  <c r="CR391" i="16"/>
  <c r="BQ303" i="16"/>
  <c r="CR303" i="16"/>
  <c r="N58" i="25"/>
  <c r="N59" i="18"/>
  <c r="CR325" i="16"/>
  <c r="BQ325" i="16"/>
  <c r="CX370" i="16"/>
  <c r="BW370" i="16"/>
  <c r="I15" i="10"/>
  <c r="I15" i="33" s="1"/>
  <c r="H19" i="26"/>
  <c r="I27" i="10"/>
  <c r="I27" i="33" s="1"/>
  <c r="I19" i="10"/>
  <c r="I19" i="33" s="1"/>
  <c r="I14" i="10"/>
  <c r="I14" i="33" s="1"/>
  <c r="H6" i="26"/>
  <c r="H6" i="28" s="1"/>
  <c r="H17" i="23"/>
  <c r="M52" i="20"/>
  <c r="BO455" i="16"/>
  <c r="N19" i="20" s="1"/>
  <c r="BV16" i="16"/>
  <c r="CK16" i="16"/>
  <c r="I61" i="29"/>
  <c r="I61" i="27"/>
  <c r="CR106" i="16"/>
  <c r="BQ106" i="16"/>
  <c r="N15" i="25"/>
  <c r="O43" i="13"/>
  <c r="O56" i="13"/>
  <c r="N41" i="18"/>
  <c r="J40" i="17"/>
  <c r="DC220" i="16"/>
  <c r="CB221" i="16"/>
  <c r="H63" i="29"/>
  <c r="H63" i="27"/>
  <c r="H64" i="25"/>
  <c r="K48" i="23"/>
  <c r="K48" i="21"/>
  <c r="CJ130" i="16"/>
  <c r="BN130" i="16"/>
  <c r="BR148" i="16"/>
  <c r="CS149" i="16" s="1"/>
  <c r="CJ148" i="16"/>
  <c r="BN148" i="16"/>
  <c r="J8" i="28"/>
  <c r="J11" i="17"/>
  <c r="J8" i="29"/>
  <c r="L32" i="27"/>
  <c r="L39" i="25"/>
  <c r="BT281" i="16"/>
  <c r="CU281" i="16"/>
  <c r="CD16" i="16"/>
  <c r="CD456" i="16" s="1"/>
  <c r="O9" i="20" s="1"/>
  <c r="AU455" i="16"/>
  <c r="N5" i="20" s="1"/>
  <c r="N5" i="33" s="1"/>
  <c r="BN16" i="16"/>
  <c r="AT455" i="16"/>
  <c r="CC16" i="16"/>
  <c r="CC456" i="16" s="1"/>
  <c r="O8" i="20" s="1"/>
  <c r="DB15" i="16"/>
  <c r="BV214" i="16"/>
  <c r="CW215" i="16" s="1"/>
  <c r="CK214" i="16"/>
  <c r="BO214" i="16"/>
  <c r="CJ280" i="16"/>
  <c r="BR280" i="16"/>
  <c r="CS281" i="16" s="1"/>
  <c r="BN280" i="16"/>
  <c r="I20" i="13"/>
  <c r="H20" i="25"/>
  <c r="I28" i="13"/>
  <c r="H18" i="18"/>
  <c r="H18" i="21"/>
  <c r="G34" i="29"/>
  <c r="G34" i="27"/>
  <c r="CD177" i="16"/>
  <c r="DJ176" i="16"/>
  <c r="DK176" i="16"/>
  <c r="CJ192" i="16"/>
  <c r="BR192" i="16"/>
  <c r="CS193" i="16" s="1"/>
  <c r="BN192" i="16"/>
  <c r="CQ199" i="16"/>
  <c r="CO199" i="16"/>
  <c r="N29" i="23"/>
  <c r="N29" i="21"/>
  <c r="N51" i="17"/>
  <c r="CI213" i="16"/>
  <c r="BS213" i="16"/>
  <c r="CT214" i="16" s="1"/>
  <c r="BM213" i="16"/>
  <c r="BN347" i="16"/>
  <c r="CJ347" i="16"/>
  <c r="BR347" i="16"/>
  <c r="CS348" i="16" s="1"/>
  <c r="CI83" i="16"/>
  <c r="BS83" i="16"/>
  <c r="CT84" i="16" s="1"/>
  <c r="BM83" i="16"/>
  <c r="O30" i="13"/>
  <c r="N20" i="18"/>
  <c r="O45" i="13"/>
  <c r="N21" i="13"/>
  <c r="O17" i="13"/>
  <c r="M24" i="17"/>
  <c r="Q55" i="10"/>
  <c r="P10" i="26"/>
  <c r="CR171" i="16"/>
  <c r="BQ171" i="16"/>
  <c r="BM435" i="16"/>
  <c r="BS435" i="16"/>
  <c r="CT436" i="16" s="1"/>
  <c r="CI435" i="16"/>
  <c r="G41" i="26"/>
  <c r="G41" i="28" s="1"/>
  <c r="G40" i="28"/>
  <c r="P44" i="26"/>
  <c r="CI390" i="16"/>
  <c r="BS390" i="16"/>
  <c r="CT391" i="16" s="1"/>
  <c r="BM390" i="16"/>
  <c r="M46" i="28"/>
  <c r="M46" i="29"/>
  <c r="CX281" i="16"/>
  <c r="BW281" i="16"/>
  <c r="BR324" i="16"/>
  <c r="CS325" i="16" s="1"/>
  <c r="CJ324" i="16"/>
  <c r="BN324" i="16"/>
  <c r="BO436" i="16"/>
  <c r="CK436" i="16"/>
  <c r="M14" i="20"/>
  <c r="DD454" i="16"/>
  <c r="DJ454" i="16"/>
  <c r="I34" i="17"/>
  <c r="I6" i="17"/>
  <c r="CR149" i="16"/>
  <c r="BQ149" i="16"/>
  <c r="H38" i="26"/>
  <c r="H38" i="28" s="1"/>
  <c r="I39" i="10"/>
  <c r="I39" i="33" s="1"/>
  <c r="I41" i="10"/>
  <c r="I41" i="33" s="1"/>
  <c r="DB221" i="16"/>
  <c r="DI14" i="16"/>
  <c r="DI175" i="16"/>
  <c r="J54" i="17"/>
  <c r="J55" i="17" s="1"/>
  <c r="L27" i="17"/>
  <c r="M10" i="21"/>
  <c r="M10" i="23"/>
  <c r="M10" i="20"/>
  <c r="M10" i="33" s="1"/>
  <c r="M44" i="17"/>
  <c r="AV455" i="16"/>
  <c r="DJ455" i="16" s="1"/>
  <c r="DJ15" i="16"/>
  <c r="AA16" i="16"/>
  <c r="AU16" i="16" s="1"/>
  <c r="AD16" i="16"/>
  <c r="AX16" i="16" s="1"/>
  <c r="AK16" i="16"/>
  <c r="BE16" i="16" s="1"/>
  <c r="AG16" i="16"/>
  <c r="BA16" i="16" s="1"/>
  <c r="BA456" i="16" s="1"/>
  <c r="AS15" i="16"/>
  <c r="AE16" i="16"/>
  <c r="AY16" i="16" s="1"/>
  <c r="AL16" i="16"/>
  <c r="BF16" i="16" s="1"/>
  <c r="AH16" i="16"/>
  <c r="BB16" i="16" s="1"/>
  <c r="BB456" i="16" s="1"/>
  <c r="Z16" i="16"/>
  <c r="AT16" i="16" s="1"/>
  <c r="AJ16" i="16"/>
  <c r="BD16" i="16" s="1"/>
  <c r="AB16" i="16"/>
  <c r="AV16" i="16" s="1"/>
  <c r="AO16" i="16"/>
  <c r="BI16" i="16" s="1"/>
  <c r="BI456" i="16" s="1"/>
  <c r="Y16" i="16"/>
  <c r="AF16" i="16"/>
  <c r="AZ16" i="16" s="1"/>
  <c r="AM16" i="16"/>
  <c r="BG16" i="16" s="1"/>
  <c r="AN16" i="16"/>
  <c r="BH16" i="16" s="1"/>
  <c r="BH456" i="16" s="1"/>
  <c r="AC16" i="16"/>
  <c r="AW16" i="16" s="1"/>
  <c r="AI16" i="16"/>
  <c r="BC16" i="16" s="1"/>
  <c r="CI259" i="16"/>
  <c r="BS259" i="16"/>
  <c r="CT260" i="16" s="1"/>
  <c r="BM259" i="16"/>
  <c r="N64" i="18"/>
  <c r="CU84" i="16"/>
  <c r="BT84" i="16"/>
  <c r="CQ177" i="16"/>
  <c r="CV390" i="16"/>
  <c r="BU390" i="16"/>
  <c r="CV148" i="16"/>
  <c r="BU148" i="16"/>
  <c r="M21" i="23"/>
  <c r="M21" i="21"/>
  <c r="I65" i="17"/>
  <c r="H40" i="25"/>
  <c r="H33" i="29"/>
  <c r="H33" i="27"/>
  <c r="CU150" i="16"/>
  <c r="BT150" i="16"/>
  <c r="M50" i="28"/>
  <c r="M50" i="29"/>
  <c r="L40" i="21"/>
  <c r="L40" i="23"/>
  <c r="L10" i="17"/>
  <c r="BS369" i="16"/>
  <c r="CT370" i="16" s="1"/>
  <c r="CI369" i="16"/>
  <c r="BM369" i="16"/>
  <c r="I60" i="29"/>
  <c r="I60" i="27"/>
  <c r="CR127" i="16"/>
  <c r="BQ127" i="16"/>
  <c r="L23" i="17"/>
  <c r="DK454" i="16"/>
  <c r="CI301" i="16"/>
  <c r="BM301" i="16"/>
  <c r="BS301" i="16"/>
  <c r="CT302" i="16" s="1"/>
  <c r="N11" i="23"/>
  <c r="N45" i="17"/>
  <c r="N11" i="21"/>
  <c r="O11" i="26"/>
  <c r="CU192" i="16"/>
  <c r="BT192" i="16"/>
  <c r="CI193" i="16"/>
  <c r="BS193" i="16"/>
  <c r="CT194" i="16" s="1"/>
  <c r="BM193" i="16"/>
  <c r="BX149" i="16"/>
  <c r="CY150" i="16" s="1"/>
  <c r="CL149" i="16"/>
  <c r="BP149" i="16"/>
  <c r="M57" i="29"/>
  <c r="M57" i="27"/>
  <c r="M15" i="27"/>
  <c r="M16" i="25"/>
  <c r="K6" i="23"/>
  <c r="K8" i="17"/>
  <c r="K6" i="21"/>
  <c r="J36" i="17"/>
  <c r="J54" i="21"/>
  <c r="J53" i="20"/>
  <c r="J54" i="23"/>
  <c r="H25" i="27"/>
  <c r="H20" i="26"/>
  <c r="I20" i="10"/>
  <c r="I20" i="33" s="1"/>
  <c r="I28" i="10"/>
  <c r="H18" i="23"/>
  <c r="CU61" i="16"/>
  <c r="BT61" i="16"/>
  <c r="K63" i="17"/>
  <c r="K64" i="17" s="1"/>
  <c r="CR347" i="16"/>
  <c r="BQ347" i="16"/>
  <c r="BQ435" i="16"/>
  <c r="CR435" i="16"/>
  <c r="O9" i="27"/>
  <c r="BS412" i="16"/>
  <c r="CT413" i="16" s="1"/>
  <c r="CI412" i="16"/>
  <c r="BM412" i="16"/>
  <c r="N52" i="17"/>
  <c r="M20" i="17"/>
  <c r="DK15" i="16"/>
  <c r="I32" i="28"/>
  <c r="I32" i="29"/>
  <c r="I39" i="17"/>
  <c r="K53" i="17"/>
  <c r="K35" i="20"/>
  <c r="M10" i="27"/>
  <c r="M11" i="25"/>
  <c r="L13" i="23"/>
  <c r="L13" i="21"/>
  <c r="L47" i="17"/>
  <c r="H40" i="26"/>
  <c r="H33" i="28"/>
  <c r="CX128" i="16"/>
  <c r="BW128" i="16"/>
  <c r="DF221" i="16"/>
  <c r="DG221" i="16"/>
  <c r="CV455" i="16"/>
  <c r="N65" i="20" s="1"/>
  <c r="CU16" i="16"/>
  <c r="BT455" i="16"/>
  <c r="N46" i="20" s="1"/>
  <c r="N58" i="21"/>
  <c r="N57" i="17"/>
  <c r="N57" i="28" s="1"/>
  <c r="N58" i="23"/>
  <c r="K65" i="10"/>
  <c r="J50" i="23"/>
  <c r="CL348" i="16"/>
  <c r="BX348" i="16"/>
  <c r="CY349" i="16" s="1"/>
  <c r="BP348" i="16"/>
  <c r="H41" i="17"/>
  <c r="H39" i="28"/>
  <c r="H39" i="29"/>
  <c r="CI171" i="16"/>
  <c r="BS171" i="16"/>
  <c r="CT172" i="16" s="1"/>
  <c r="BM171" i="16"/>
  <c r="BR16" i="16"/>
  <c r="CJ16" i="16"/>
  <c r="BN455" i="16"/>
  <c r="N18" i="20" s="1"/>
  <c r="N18" i="33" s="1"/>
  <c r="CR16" i="16"/>
  <c r="CF16" i="16"/>
  <c r="CF456" i="16" s="1"/>
  <c r="O26" i="20" s="1"/>
  <c r="AX455" i="16"/>
  <c r="N13" i="20" s="1"/>
  <c r="N13" i="33" s="1"/>
  <c r="BF455" i="16"/>
  <c r="N40" i="20" s="1"/>
  <c r="CP16" i="16"/>
  <c r="CP456" i="16" s="1"/>
  <c r="O58" i="20" s="1"/>
  <c r="BU16" i="16"/>
  <c r="BD455" i="16"/>
  <c r="N38" i="20" s="1"/>
  <c r="N38" i="32" s="1"/>
  <c r="CN16" i="16"/>
  <c r="CN456" i="16" s="1"/>
  <c r="O56" i="20" s="1"/>
  <c r="BQ16" i="16"/>
  <c r="BW16" i="16"/>
  <c r="CQ16" i="16"/>
  <c r="CQ456" i="16" s="1"/>
  <c r="O59" i="20" s="1"/>
  <c r="BG455" i="16"/>
  <c r="N41" i="20" s="1"/>
  <c r="DI243" i="16"/>
  <c r="G6" i="27"/>
  <c r="G6" i="29"/>
  <c r="L30" i="28"/>
  <c r="L30" i="29"/>
  <c r="K39" i="27"/>
  <c r="M36" i="25"/>
  <c r="M54" i="18"/>
  <c r="L33" i="21"/>
  <c r="L33" i="23"/>
  <c r="L34" i="20"/>
  <c r="I11" i="28"/>
  <c r="I11" i="29"/>
  <c r="CG177" i="16"/>
  <c r="DD176" i="16"/>
  <c r="CO177" i="16"/>
  <c r="DE176" i="16"/>
  <c r="DC175" i="16"/>
  <c r="CB176" i="16"/>
  <c r="CX171" i="16"/>
  <c r="BW171" i="16"/>
  <c r="BV84" i="16"/>
  <c r="CW85" i="16" s="1"/>
  <c r="CK84" i="16"/>
  <c r="BO84" i="16"/>
  <c r="K40" i="17"/>
  <c r="BU281" i="16"/>
  <c r="CV281" i="16"/>
  <c r="CK149" i="16"/>
  <c r="BV149" i="16"/>
  <c r="CW150" i="16" s="1"/>
  <c r="BO149" i="16"/>
  <c r="CP199" i="16"/>
  <c r="CG199" i="16"/>
  <c r="CL128" i="16"/>
  <c r="BX128" i="16"/>
  <c r="CY129" i="16" s="1"/>
  <c r="BP128" i="16"/>
  <c r="BV413" i="16"/>
  <c r="CW414" i="16" s="1"/>
  <c r="CK413" i="16"/>
  <c r="BO413" i="16"/>
  <c r="BR455" i="16"/>
  <c r="N44" i="20" s="1"/>
  <c r="N44" i="33" s="1"/>
  <c r="CS16" i="16"/>
  <c r="CS456" i="16" s="1"/>
  <c r="O62" i="20" s="1"/>
  <c r="O62" i="33" s="1"/>
  <c r="K13" i="28"/>
  <c r="K16" i="17"/>
  <c r="K13" i="29"/>
  <c r="CW16" i="16"/>
  <c r="BV455" i="16"/>
  <c r="N48" i="20" s="1"/>
  <c r="N33" i="18"/>
  <c r="H26" i="23"/>
  <c r="BU455" i="16"/>
  <c r="N47" i="20" s="1"/>
  <c r="CV16" i="16"/>
  <c r="CK302" i="16"/>
  <c r="BV302" i="16"/>
  <c r="CW303" i="16" s="1"/>
  <c r="BO302" i="16"/>
  <c r="G40" i="27"/>
  <c r="G40" i="29"/>
  <c r="G41" i="25"/>
  <c r="CL195" i="16"/>
  <c r="BP195" i="16"/>
  <c r="BV369" i="16"/>
  <c r="CW370" i="16" s="1"/>
  <c r="BO369" i="16"/>
  <c r="CK369" i="16"/>
  <c r="CK130" i="16"/>
  <c r="BO130" i="16"/>
  <c r="L36" i="27"/>
  <c r="BR435" i="16"/>
  <c r="CS436" i="16" s="1"/>
  <c r="BN435" i="16"/>
  <c r="CJ435" i="16"/>
  <c r="K26" i="17"/>
  <c r="K21" i="17"/>
  <c r="L9" i="28"/>
  <c r="L9" i="29"/>
  <c r="CX83" i="16"/>
  <c r="BW83" i="16"/>
  <c r="BU413" i="16"/>
  <c r="CV413" i="16"/>
  <c r="CU127" i="16"/>
  <c r="BT127" i="16"/>
  <c r="CB108" i="16"/>
  <c r="DC107" i="16"/>
  <c r="CJ412" i="16"/>
  <c r="BN412" i="16"/>
  <c r="BR412" i="16"/>
  <c r="CS413" i="16" s="1"/>
  <c r="CV128" i="16"/>
  <c r="BU128" i="16"/>
  <c r="N59" i="17"/>
  <c r="N65" i="21"/>
  <c r="N65" i="23"/>
  <c r="P46" i="25"/>
  <c r="BS107" i="16"/>
  <c r="CT108" i="16" s="1"/>
  <c r="CI107" i="16"/>
  <c r="BM107" i="16"/>
  <c r="BO390" i="16"/>
  <c r="CK390" i="16"/>
  <c r="BV390" i="16"/>
  <c r="CW391" i="16" s="1"/>
  <c r="L3" i="20"/>
  <c r="L3" i="33" s="1"/>
  <c r="DC453" i="16"/>
  <c r="N50" i="17"/>
  <c r="N28" i="21"/>
  <c r="N28" i="23"/>
  <c r="AZ455" i="16"/>
  <c r="N15" i="20" s="1"/>
  <c r="CH16" i="16"/>
  <c r="CH456" i="16" s="1"/>
  <c r="O28" i="20" s="1"/>
  <c r="BP16" i="16"/>
  <c r="CR61" i="16"/>
  <c r="BQ61" i="16"/>
  <c r="BR260" i="16"/>
  <c r="CS261" i="16" s="1"/>
  <c r="CJ260" i="16"/>
  <c r="BN260" i="16"/>
  <c r="BS453" i="16"/>
  <c r="L45" i="20" s="1"/>
  <c r="L45" i="33" s="1"/>
  <c r="CT14" i="16"/>
  <c r="CT454" i="16" s="1"/>
  <c r="M63" i="20" s="1"/>
  <c r="M63" i="33" s="1"/>
  <c r="CM177" i="16"/>
  <c r="DG176" i="16"/>
  <c r="DF176" i="16"/>
  <c r="CH177" i="16"/>
  <c r="CV302" i="16"/>
  <c r="BU302" i="16"/>
  <c r="H54" i="25"/>
  <c r="H38" i="18"/>
  <c r="H38" i="21"/>
  <c r="CH199" i="16"/>
  <c r="DC197" i="16"/>
  <c r="CB198" i="16"/>
  <c r="CM199" i="16"/>
  <c r="J69" i="10"/>
  <c r="J69" i="33" s="1"/>
  <c r="J67" i="23"/>
  <c r="I62" i="26"/>
  <c r="I62" i="28" s="1"/>
  <c r="I70" i="10"/>
  <c r="I70" i="33" s="1"/>
  <c r="I72" i="23"/>
  <c r="L33" i="17"/>
  <c r="BT326" i="16"/>
  <c r="CU326" i="16"/>
  <c r="M64" i="23"/>
  <c r="M64" i="21"/>
  <c r="N60" i="17"/>
  <c r="CV192" i="16"/>
  <c r="BU192" i="16"/>
  <c r="M58" i="27"/>
  <c r="M58" i="29"/>
  <c r="M51" i="28"/>
  <c r="M51" i="29"/>
  <c r="DC153" i="16"/>
  <c r="CB154" i="16"/>
  <c r="J71" i="18"/>
  <c r="J71" i="21"/>
  <c r="DI453" i="16"/>
  <c r="BS324" i="16"/>
  <c r="CT325" i="16" s="1"/>
  <c r="BM324" i="16"/>
  <c r="CI324" i="16"/>
  <c r="DB454" i="16"/>
  <c r="M4" i="20"/>
  <c r="M4" i="33" s="1"/>
  <c r="CV214" i="16"/>
  <c r="BU214" i="16"/>
  <c r="O61" i="13"/>
  <c r="N46" i="18"/>
  <c r="N51" i="13"/>
  <c r="CR191" i="16"/>
  <c r="CR455" i="16" s="1"/>
  <c r="N61" i="20" s="1"/>
  <c r="N61" i="33" s="1"/>
  <c r="BQ191" i="16"/>
  <c r="BQ455" i="16" s="1"/>
  <c r="N43" i="20" s="1"/>
  <c r="N43" i="33" s="1"/>
  <c r="CU215" i="16"/>
  <c r="BT215" i="16"/>
  <c r="L44" i="28"/>
  <c r="L44" i="29"/>
  <c r="BQ281" i="16"/>
  <c r="CR281" i="16"/>
  <c r="DG454" i="16"/>
  <c r="DF454" i="16"/>
  <c r="M37" i="20"/>
  <c r="M37" i="33" s="1"/>
  <c r="L66" i="23"/>
  <c r="L66" i="21"/>
  <c r="CX107" i="16"/>
  <c r="BW107" i="16"/>
  <c r="J61" i="21"/>
  <c r="L19" i="17"/>
  <c r="J60" i="26"/>
  <c r="J60" i="28" s="1"/>
  <c r="J61" i="23"/>
  <c r="P45" i="25"/>
  <c r="N46" i="17"/>
  <c r="N12" i="23"/>
  <c r="N12" i="21"/>
  <c r="M15" i="17"/>
  <c r="M15" i="28" s="1"/>
  <c r="M41" i="21"/>
  <c r="M41" i="23"/>
  <c r="CO16" i="16"/>
  <c r="CO456" i="16" s="1"/>
  <c r="O57" i="20" s="1"/>
  <c r="DE15" i="16"/>
  <c r="BT16" i="16"/>
  <c r="BE455" i="16"/>
  <c r="K25" i="17"/>
  <c r="I27" i="13"/>
  <c r="I15" i="13"/>
  <c r="H19" i="25"/>
  <c r="I19" i="13"/>
  <c r="H17" i="18"/>
  <c r="I14" i="13"/>
  <c r="H6" i="25"/>
  <c r="H17" i="21"/>
  <c r="K20" i="23"/>
  <c r="K20" i="21"/>
  <c r="K21" i="20"/>
  <c r="K21" i="33" s="1"/>
  <c r="CB39" i="16"/>
  <c r="DC38" i="16"/>
  <c r="AM177" i="16"/>
  <c r="BG177" i="16" s="1"/>
  <c r="AE177" i="16"/>
  <c r="AY177" i="16" s="1"/>
  <c r="AO177" i="16"/>
  <c r="BI177" i="16" s="1"/>
  <c r="AG177" i="16"/>
  <c r="BA177" i="16" s="1"/>
  <c r="AF177" i="16"/>
  <c r="AZ177" i="16" s="1"/>
  <c r="AC177" i="16"/>
  <c r="AW177" i="16" s="1"/>
  <c r="AI177" i="16"/>
  <c r="BC177" i="16" s="1"/>
  <c r="AL177" i="16"/>
  <c r="BF177" i="16" s="1"/>
  <c r="AH177" i="16"/>
  <c r="BB177" i="16" s="1"/>
  <c r="AB177" i="16"/>
  <c r="AV177" i="16" s="1"/>
  <c r="AK177" i="16"/>
  <c r="BE177" i="16" s="1"/>
  <c r="Y177" i="16"/>
  <c r="AS177" i="16" s="1"/>
  <c r="Z177" i="16"/>
  <c r="AT177" i="16" s="1"/>
  <c r="AA177" i="16"/>
  <c r="AU177" i="16" s="1"/>
  <c r="AD177" i="16"/>
  <c r="AX177" i="16" s="1"/>
  <c r="AS176" i="16"/>
  <c r="AN177" i="16"/>
  <c r="BH177" i="16" s="1"/>
  <c r="AJ177" i="16"/>
  <c r="BD177" i="16" s="1"/>
  <c r="CN177" i="16"/>
  <c r="M34" i="21"/>
  <c r="M34" i="23"/>
  <c r="CR83" i="16"/>
  <c r="BQ83" i="16"/>
  <c r="AS198" i="16"/>
  <c r="AE199" i="16"/>
  <c r="AY199" i="16" s="1"/>
  <c r="CK106" i="16"/>
  <c r="BV106" i="16"/>
  <c r="CW107" i="16" s="1"/>
  <c r="BO106" i="16"/>
  <c r="N48" i="25"/>
  <c r="BS281" i="16"/>
  <c r="CT282" i="16" s="1"/>
  <c r="BM281" i="16"/>
  <c r="CI281" i="16"/>
  <c r="I70" i="13"/>
  <c r="I62" i="25"/>
  <c r="I72" i="18"/>
  <c r="I72" i="21"/>
  <c r="DI197" i="16"/>
  <c r="M24" i="18"/>
  <c r="M32" i="25"/>
  <c r="J68" i="18"/>
  <c r="J68" i="21"/>
  <c r="N61" i="17"/>
  <c r="M45" i="28"/>
  <c r="M45" i="29"/>
  <c r="H37" i="27"/>
  <c r="H37" i="29"/>
  <c r="G28" i="29"/>
  <c r="G28" i="27"/>
  <c r="I53" i="25"/>
  <c r="I37" i="18"/>
  <c r="I37" i="21"/>
  <c r="Q8" i="13"/>
  <c r="H54" i="26"/>
  <c r="H38" i="23"/>
  <c r="Q37" i="10"/>
  <c r="Q25" i="10"/>
  <c r="P9" i="26"/>
  <c r="CJ368" i="16"/>
  <c r="BR368" i="16"/>
  <c r="CS369" i="16" s="1"/>
  <c r="BN368" i="16"/>
  <c r="BW325" i="16"/>
  <c r="CX325" i="16"/>
  <c r="K10" i="28"/>
  <c r="K10" i="29"/>
  <c r="L37" i="17"/>
  <c r="L16" i="27"/>
  <c r="J32" i="17"/>
  <c r="J24" i="23"/>
  <c r="J24" i="21"/>
  <c r="J23" i="20"/>
  <c r="G66" i="28"/>
  <c r="H66" i="17"/>
  <c r="L14" i="28"/>
  <c r="L14" i="29"/>
  <c r="CJ172" i="16"/>
  <c r="BR172" i="16"/>
  <c r="CS173" i="16" s="1"/>
  <c r="BN172" i="16"/>
  <c r="BP455" i="16"/>
  <c r="BX16" i="16"/>
  <c r="CY17" i="16" s="1"/>
  <c r="CL16" i="16"/>
  <c r="CL456" i="16" s="1"/>
  <c r="O33" i="20" s="1"/>
  <c r="BS148" i="16"/>
  <c r="CT149" i="16" s="1"/>
  <c r="CI148" i="16"/>
  <c r="BM148" i="16"/>
  <c r="CC109" i="16"/>
  <c r="N10" i="25"/>
  <c r="O55" i="13"/>
  <c r="N40" i="18"/>
  <c r="O37" i="13"/>
  <c r="O38" i="13"/>
  <c r="N58" i="18"/>
  <c r="N57" i="25"/>
  <c r="CX215" i="16"/>
  <c r="BW215" i="16"/>
  <c r="M20" i="20"/>
  <c r="BX455" i="16"/>
  <c r="N50" i="20" s="1"/>
  <c r="CJ236" i="16"/>
  <c r="BR236" i="16"/>
  <c r="CS237" i="16" s="1"/>
  <c r="BN236" i="16"/>
  <c r="M39" i="20"/>
  <c r="DE454" i="16"/>
  <c r="J70" i="18"/>
  <c r="J70" i="21"/>
  <c r="BX107" i="16"/>
  <c r="CY108" i="16" s="1"/>
  <c r="CL107" i="16"/>
  <c r="BP107" i="16"/>
  <c r="CI236" i="16"/>
  <c r="BS236" i="16"/>
  <c r="CT237" i="16" s="1"/>
  <c r="BM236" i="16"/>
  <c r="CR215" i="16"/>
  <c r="BQ215" i="16"/>
  <c r="M47" i="23"/>
  <c r="M47" i="21"/>
  <c r="J69" i="18"/>
  <c r="J69" i="21"/>
  <c r="M8" i="21"/>
  <c r="M8" i="23"/>
  <c r="M30" i="17"/>
  <c r="M15" i="23"/>
  <c r="M15" i="21"/>
  <c r="M9" i="17"/>
  <c r="N59" i="23"/>
  <c r="N59" i="21"/>
  <c r="N58" i="17"/>
  <c r="AY455" i="16"/>
  <c r="CG16" i="16"/>
  <c r="CG456" i="16" s="1"/>
  <c r="O27" i="20" s="1"/>
  <c r="BO16" i="16"/>
  <c r="DD15" i="16"/>
  <c r="CB15" i="16"/>
  <c r="CB455" i="16" s="1"/>
  <c r="N7" i="20" s="1"/>
  <c r="N7" i="33" s="1"/>
  <c r="DC14" i="16"/>
  <c r="AS454" i="16"/>
  <c r="AW455" i="16"/>
  <c r="N12" i="20" s="1"/>
  <c r="N12" i="33" s="1"/>
  <c r="CE16" i="16"/>
  <c r="CE456" i="16" s="1"/>
  <c r="O25" i="20" s="1"/>
  <c r="O25" i="33" s="1"/>
  <c r="DF15" i="16"/>
  <c r="CM16" i="16"/>
  <c r="CM456" i="16" s="1"/>
  <c r="O55" i="20" s="1"/>
  <c r="O55" i="33" s="1"/>
  <c r="DG15" i="16"/>
  <c r="BC455" i="16"/>
  <c r="CR237" i="16"/>
  <c r="BQ237" i="16"/>
  <c r="L69" i="20"/>
  <c r="L13" i="17"/>
  <c r="L7" i="21"/>
  <c r="L7" i="23"/>
  <c r="BM453" i="16"/>
  <c r="L17" i="20" s="1"/>
  <c r="L17" i="33" s="1"/>
  <c r="BS14" i="16"/>
  <c r="CI14" i="16"/>
  <c r="CI454" i="16" s="1"/>
  <c r="M30" i="20" s="1"/>
  <c r="M30" i="33" s="1"/>
  <c r="BM14" i="16"/>
  <c r="CF177" i="16"/>
  <c r="CP177" i="16"/>
  <c r="DB176" i="16"/>
  <c r="CC177" i="16"/>
  <c r="H53" i="27"/>
  <c r="H53" i="29"/>
  <c r="I55" i="17"/>
  <c r="CN199" i="16"/>
  <c r="CF199" i="16"/>
  <c r="I53" i="26"/>
  <c r="I53" i="28" s="1"/>
  <c r="I37" i="23"/>
  <c r="I37" i="26"/>
  <c r="I37" i="28" s="1"/>
  <c r="I53" i="10"/>
  <c r="I53" i="33" s="1"/>
  <c r="I55" i="23"/>
  <c r="J16" i="28"/>
  <c r="J16" i="29"/>
  <c r="M16" i="23"/>
  <c r="M14" i="17"/>
  <c r="M16" i="21"/>
  <c r="CJ455" i="16"/>
  <c r="N31" i="20" s="1"/>
  <c r="N31" i="33" s="1"/>
  <c r="CR259" i="16"/>
  <c r="BQ259" i="16"/>
  <c r="J64" i="17"/>
  <c r="J28" i="17"/>
  <c r="H56" i="23"/>
  <c r="H34" i="25"/>
  <c r="H26" i="18"/>
  <c r="CK455" i="16"/>
  <c r="N32" i="20" s="1"/>
  <c r="N48" i="18"/>
  <c r="O63" i="13"/>
  <c r="K51" i="20"/>
  <c r="K51" i="33" s="1"/>
  <c r="BW455" i="16"/>
  <c r="N49" i="20" s="1"/>
  <c r="CX16" i="16"/>
  <c r="BP370" i="16"/>
  <c r="BX370" i="16"/>
  <c r="CY371" i="16" s="1"/>
  <c r="CL370" i="16"/>
  <c r="L11" i="27"/>
  <c r="H38" i="25"/>
  <c r="H56" i="18"/>
  <c r="I41" i="13"/>
  <c r="I39" i="13"/>
  <c r="CU347" i="16"/>
  <c r="BT347" i="16"/>
  <c r="DJ198" i="16" l="1"/>
  <c r="BR130" i="16"/>
  <c r="CS131" i="16" s="1"/>
  <c r="AF199" i="16"/>
  <c r="AZ199" i="16" s="1"/>
  <c r="DD199" i="16" s="1"/>
  <c r="BX195" i="16"/>
  <c r="CY196" i="16" s="1"/>
  <c r="DK221" i="16"/>
  <c r="AI199" i="16"/>
  <c r="BC199" i="16" s="1"/>
  <c r="DE198" i="16"/>
  <c r="DI198" i="16" s="1"/>
  <c r="Y199" i="16"/>
  <c r="AS199" i="16" s="1"/>
  <c r="AM199" i="16"/>
  <c r="BG199" i="16" s="1"/>
  <c r="DB198" i="16"/>
  <c r="AH199" i="16"/>
  <c r="BB199" i="16" s="1"/>
  <c r="AN199" i="16"/>
  <c r="BH199" i="16" s="1"/>
  <c r="DG199" i="16" s="1"/>
  <c r="AG199" i="16"/>
  <c r="BA199" i="16" s="1"/>
  <c r="AJ199" i="16"/>
  <c r="BD199" i="16" s="1"/>
  <c r="AA199" i="16"/>
  <c r="AU199" i="16" s="1"/>
  <c r="Z199" i="16"/>
  <c r="AT199" i="16" s="1"/>
  <c r="DB199" i="16" s="1"/>
  <c r="DG198" i="16"/>
  <c r="DD198" i="16"/>
  <c r="BN62" i="16"/>
  <c r="BN63" i="16" s="1"/>
  <c r="CJ64" i="16" s="1"/>
  <c r="DH84" i="16"/>
  <c r="AL199" i="16"/>
  <c r="BF199" i="16" s="1"/>
  <c r="AK199" i="16"/>
  <c r="BE199" i="16" s="1"/>
  <c r="AO199" i="16"/>
  <c r="BI199" i="16" s="1"/>
  <c r="AC199" i="16"/>
  <c r="AW199" i="16" s="1"/>
  <c r="AD199" i="16"/>
  <c r="AX199" i="16" s="1"/>
  <c r="AB199" i="16"/>
  <c r="AV199" i="16" s="1"/>
  <c r="BX40" i="16"/>
  <c r="CY41" i="16" s="1"/>
  <c r="CJ40" i="16"/>
  <c r="DI107" i="16"/>
  <c r="DI84" i="16"/>
  <c r="CK63" i="16"/>
  <c r="CL40" i="16"/>
  <c r="J60" i="25"/>
  <c r="J60" i="29" s="1"/>
  <c r="BX63" i="16"/>
  <c r="CY64" i="16" s="1"/>
  <c r="BV40" i="16"/>
  <c r="CW41" i="16" s="1"/>
  <c r="J58" i="32"/>
  <c r="J61" i="18"/>
  <c r="P25" i="31"/>
  <c r="BN86" i="16"/>
  <c r="CJ87" i="16" s="1"/>
  <c r="DK85" i="16"/>
  <c r="DJ131" i="16"/>
  <c r="DC130" i="16"/>
  <c r="DI153" i="16"/>
  <c r="I52" i="31"/>
  <c r="J67" i="21"/>
  <c r="I53" i="13"/>
  <c r="I53" i="32" s="1"/>
  <c r="CD86" i="16"/>
  <c r="BS40" i="16"/>
  <c r="CT41" i="16" s="1"/>
  <c r="CB62" i="16"/>
  <c r="P44" i="25"/>
  <c r="P44" i="27" s="1"/>
  <c r="P7" i="31"/>
  <c r="N14" i="27"/>
  <c r="DJ85" i="16"/>
  <c r="DB108" i="16"/>
  <c r="DK108" i="16"/>
  <c r="DH107" i="16"/>
  <c r="I55" i="18"/>
  <c r="P10" i="13"/>
  <c r="P47" i="25" s="1"/>
  <c r="CB85" i="16"/>
  <c r="DF108" i="16"/>
  <c r="J67" i="18"/>
  <c r="DD108" i="16"/>
  <c r="Z132" i="16"/>
  <c r="AT132" i="16" s="1"/>
  <c r="CC133" i="16" s="1"/>
  <c r="AN86" i="16"/>
  <c r="BH86" i="16" s="1"/>
  <c r="AJ86" i="16"/>
  <c r="BD86" i="16" s="1"/>
  <c r="CN87" i="16" s="1"/>
  <c r="DB85" i="16"/>
  <c r="AG109" i="16"/>
  <c r="BA109" i="16" s="1"/>
  <c r="DB131" i="16"/>
  <c r="DD131" i="16"/>
  <c r="DE108" i="16"/>
  <c r="DK131" i="16"/>
  <c r="DJ108" i="16"/>
  <c r="CY85" i="16"/>
  <c r="BX85" i="16"/>
  <c r="AE132" i="16"/>
  <c r="AY132" i="16" s="1"/>
  <c r="CG133" i="16" s="1"/>
  <c r="CC132" i="16"/>
  <c r="AB109" i="16"/>
  <c r="AV109" i="16" s="1"/>
  <c r="Q7" i="13"/>
  <c r="Q7" i="31" s="1"/>
  <c r="AL132" i="16"/>
  <c r="BF132" i="16" s="1"/>
  <c r="CP133" i="16" s="1"/>
  <c r="AA132" i="16"/>
  <c r="AU132" i="16" s="1"/>
  <c r="CD133" i="16" s="1"/>
  <c r="AC109" i="16"/>
  <c r="AW109" i="16" s="1"/>
  <c r="CE110" i="16" s="1"/>
  <c r="AF132" i="16"/>
  <c r="AZ132" i="16" s="1"/>
  <c r="CH133" i="16" s="1"/>
  <c r="Q26" i="13"/>
  <c r="Q51" i="25" s="1"/>
  <c r="Z109" i="16"/>
  <c r="AT109" i="16" s="1"/>
  <c r="CC110" i="16" s="1"/>
  <c r="Q13" i="13"/>
  <c r="Q14" i="25" s="1"/>
  <c r="BW63" i="16"/>
  <c r="CX64" i="16" s="1"/>
  <c r="DF131" i="16"/>
  <c r="DH130" i="16"/>
  <c r="Q4" i="13"/>
  <c r="R8" i="13" s="1"/>
  <c r="Q3" i="13"/>
  <c r="P3" i="31"/>
  <c r="Q12" i="13"/>
  <c r="Q12" i="31" s="1"/>
  <c r="Q5" i="13"/>
  <c r="Q30" i="25" s="1"/>
  <c r="P8" i="25"/>
  <c r="P8" i="27" s="1"/>
  <c r="J47" i="32"/>
  <c r="BP86" i="16"/>
  <c r="CL87" i="16" s="1"/>
  <c r="CM132" i="16"/>
  <c r="AM132" i="16"/>
  <c r="BG132" i="16" s="1"/>
  <c r="CQ133" i="16" s="1"/>
  <c r="AC132" i="16"/>
  <c r="AW132" i="16" s="1"/>
  <c r="CE133" i="16" s="1"/>
  <c r="CQ109" i="16"/>
  <c r="DE85" i="16"/>
  <c r="AB86" i="16"/>
  <c r="AV86" i="16" s="1"/>
  <c r="DG108" i="16"/>
  <c r="DG85" i="16"/>
  <c r="AD109" i="16"/>
  <c r="AX109" i="16" s="1"/>
  <c r="CF110" i="16" s="1"/>
  <c r="AM109" i="16"/>
  <c r="BG109" i="16" s="1"/>
  <c r="CQ110" i="16" s="1"/>
  <c r="AI109" i="16"/>
  <c r="BC109" i="16" s="1"/>
  <c r="AK109" i="16"/>
  <c r="BE109" i="16" s="1"/>
  <c r="CO110" i="16" s="1"/>
  <c r="DG131" i="16"/>
  <c r="AB132" i="16"/>
  <c r="AV132" i="16" s="1"/>
  <c r="AD132" i="16"/>
  <c r="AX132" i="16" s="1"/>
  <c r="AN132" i="16"/>
  <c r="BH132" i="16" s="1"/>
  <c r="AO132" i="16"/>
  <c r="BI132" i="16" s="1"/>
  <c r="DE131" i="16"/>
  <c r="I37" i="25"/>
  <c r="I37" i="29" s="1"/>
  <c r="CW456" i="16"/>
  <c r="O66" i="20" s="1"/>
  <c r="AG86" i="16"/>
  <c r="BA86" i="16" s="1"/>
  <c r="P28" i="18"/>
  <c r="Q25" i="13"/>
  <c r="Q28" i="18" s="1"/>
  <c r="AJ109" i="16"/>
  <c r="BD109" i="16" s="1"/>
  <c r="CN110" i="16" s="1"/>
  <c r="AF109" i="16"/>
  <c r="AZ109" i="16" s="1"/>
  <c r="CH110" i="16" s="1"/>
  <c r="Y109" i="16"/>
  <c r="AS109" i="16" s="1"/>
  <c r="AO109" i="16"/>
  <c r="BI109" i="16" s="1"/>
  <c r="P12" i="31"/>
  <c r="I52" i="32"/>
  <c r="DE154" i="16"/>
  <c r="DK154" i="16"/>
  <c r="AH86" i="16"/>
  <c r="BB86" i="16" s="1"/>
  <c r="DF85" i="16"/>
  <c r="AK132" i="16"/>
  <c r="BE132" i="16" s="1"/>
  <c r="Y132" i="16"/>
  <c r="AS132" i="16" s="1"/>
  <c r="N58" i="28"/>
  <c r="AI132" i="16"/>
  <c r="BC132" i="16" s="1"/>
  <c r="AG132" i="16"/>
  <c r="BA132" i="16" s="1"/>
  <c r="AJ132" i="16"/>
  <c r="BD132" i="16" s="1"/>
  <c r="CN133" i="16" s="1"/>
  <c r="AH132" i="16"/>
  <c r="BB132" i="16" s="1"/>
  <c r="AM86" i="16"/>
  <c r="BG86" i="16" s="1"/>
  <c r="CQ87" i="16" s="1"/>
  <c r="CI63" i="16"/>
  <c r="P9" i="25"/>
  <c r="P9" i="27" s="1"/>
  <c r="AL109" i="16"/>
  <c r="BF109" i="16" s="1"/>
  <c r="CP110" i="16" s="1"/>
  <c r="AA109" i="16"/>
  <c r="AU109" i="16" s="1"/>
  <c r="CD110" i="16" s="1"/>
  <c r="AN109" i="16"/>
  <c r="BH109" i="16" s="1"/>
  <c r="AE109" i="16"/>
  <c r="AY109" i="16" s="1"/>
  <c r="CG110" i="16" s="1"/>
  <c r="AH109" i="16"/>
  <c r="BB109" i="16" s="1"/>
  <c r="DB154" i="16"/>
  <c r="DD85" i="16"/>
  <c r="DH85" i="16" s="1"/>
  <c r="BO237" i="16"/>
  <c r="BV237" i="16"/>
  <c r="CW238" i="16" s="1"/>
  <c r="CK237" i="16"/>
  <c r="Q9" i="13"/>
  <c r="Q18" i="13"/>
  <c r="R31" i="13" s="1"/>
  <c r="I59" i="29"/>
  <c r="J50" i="21"/>
  <c r="J69" i="13"/>
  <c r="J72" i="18" s="1"/>
  <c r="J64" i="31"/>
  <c r="CI40" i="16"/>
  <c r="AA86" i="16"/>
  <c r="AU86" i="16" s="1"/>
  <c r="CD87" i="16" s="1"/>
  <c r="AF86" i="16"/>
  <c r="AZ86" i="16" s="1"/>
  <c r="BP87" i="16" s="1"/>
  <c r="BM40" i="16"/>
  <c r="DH153" i="16"/>
  <c r="K65" i="13"/>
  <c r="K65" i="32" s="1"/>
  <c r="CN86" i="16"/>
  <c r="Y86" i="16"/>
  <c r="AE86" i="16"/>
  <c r="AY86" i="16" s="1"/>
  <c r="CG87" i="16" s="1"/>
  <c r="AI86" i="16"/>
  <c r="BC86" i="16" s="1"/>
  <c r="AL86" i="16"/>
  <c r="BF86" i="16" s="1"/>
  <c r="CP87" i="16" s="1"/>
  <c r="BO63" i="16"/>
  <c r="BV64" i="16" s="1"/>
  <c r="CW65" i="16" s="1"/>
  <c r="Y63" i="16"/>
  <c r="AS63" i="16" s="1"/>
  <c r="BX238" i="16"/>
  <c r="CY239" i="16" s="1"/>
  <c r="BP238" i="16"/>
  <c r="CL238" i="16"/>
  <c r="J50" i="18"/>
  <c r="AS85" i="16"/>
  <c r="DC85" i="16" s="1"/>
  <c r="AC86" i="16"/>
  <c r="AW86" i="16" s="1"/>
  <c r="CE87" i="16" s="1"/>
  <c r="DI61" i="16"/>
  <c r="Z155" i="16"/>
  <c r="AT155" i="16" s="1"/>
  <c r="CQ86" i="16"/>
  <c r="Z86" i="16"/>
  <c r="AT86" i="16" s="1"/>
  <c r="CC87" i="16" s="1"/>
  <c r="AK86" i="16"/>
  <c r="BE86" i="16" s="1"/>
  <c r="CO87" i="16" s="1"/>
  <c r="AO86" i="16"/>
  <c r="BI86" i="16" s="1"/>
  <c r="AD86" i="16"/>
  <c r="AX86" i="16" s="1"/>
  <c r="DF154" i="16"/>
  <c r="DK39" i="16"/>
  <c r="DH38" i="16"/>
  <c r="AG155" i="16"/>
  <c r="BA155" i="16" s="1"/>
  <c r="O51" i="10"/>
  <c r="O36" i="26" s="1"/>
  <c r="BN40" i="16"/>
  <c r="CJ41" i="16" s="1"/>
  <c r="P44" i="10"/>
  <c r="Q62" i="10" s="1"/>
  <c r="BO40" i="16"/>
  <c r="BV41" i="16" s="1"/>
  <c r="CW42" i="16" s="1"/>
  <c r="DI38" i="16"/>
  <c r="P44" i="13"/>
  <c r="P62" i="13"/>
  <c r="AK155" i="16"/>
  <c r="BE155" i="16" s="1"/>
  <c r="AA40" i="16"/>
  <c r="AU40" i="16" s="1"/>
  <c r="CD41" i="16" s="1"/>
  <c r="CY457" i="16"/>
  <c r="P68" i="20" s="1"/>
  <c r="AS154" i="16"/>
  <c r="CB155" i="16" s="1"/>
  <c r="AA155" i="16"/>
  <c r="AU155" i="16" s="1"/>
  <c r="BW40" i="16"/>
  <c r="CX41" i="16" s="1"/>
  <c r="M69" i="20"/>
  <c r="M70" i="20" s="1"/>
  <c r="DJ154" i="16"/>
  <c r="BP40" i="16"/>
  <c r="CL41" i="16" s="1"/>
  <c r="CI129" i="16"/>
  <c r="BM129" i="16"/>
  <c r="BS129" i="16"/>
  <c r="CT130" i="16" s="1"/>
  <c r="CK40" i="16"/>
  <c r="BU40" i="16"/>
  <c r="CV41" i="16" s="1"/>
  <c r="DJ62" i="16"/>
  <c r="DH61" i="16"/>
  <c r="N61" i="32"/>
  <c r="O47" i="18"/>
  <c r="CW435" i="16"/>
  <c r="BV435" i="16"/>
  <c r="O62" i="31"/>
  <c r="O65" i="18"/>
  <c r="O15" i="26"/>
  <c r="P43" i="10"/>
  <c r="P56" i="10"/>
  <c r="P30" i="10"/>
  <c r="P45" i="10"/>
  <c r="O21" i="10"/>
  <c r="CL260" i="16"/>
  <c r="BX260" i="16"/>
  <c r="CY261" i="16" s="1"/>
  <c r="BP260" i="16"/>
  <c r="O46" i="26"/>
  <c r="O46" i="27" s="1"/>
  <c r="O9" i="33"/>
  <c r="O12" i="18"/>
  <c r="O9" i="31"/>
  <c r="O34" i="18"/>
  <c r="O31" i="31"/>
  <c r="N47" i="26"/>
  <c r="N47" i="27" s="1"/>
  <c r="N10" i="31"/>
  <c r="N13" i="18"/>
  <c r="AI155" i="16"/>
  <c r="BC155" i="16" s="1"/>
  <c r="AM155" i="16"/>
  <c r="BG155" i="16" s="1"/>
  <c r="AO155" i="16"/>
  <c r="BI155" i="16" s="1"/>
  <c r="AG40" i="16"/>
  <c r="BA40" i="16" s="1"/>
  <c r="DG154" i="16"/>
  <c r="AE40" i="16"/>
  <c r="AY40" i="16" s="1"/>
  <c r="CG41" i="16" s="1"/>
  <c r="CV106" i="16"/>
  <c r="BU106" i="16"/>
  <c r="N16" i="26"/>
  <c r="N13" i="27"/>
  <c r="P9" i="10"/>
  <c r="O30" i="26"/>
  <c r="O30" i="27" s="1"/>
  <c r="O5" i="31"/>
  <c r="P18" i="10"/>
  <c r="O8" i="18"/>
  <c r="Y155" i="16"/>
  <c r="AS155" i="16" s="1"/>
  <c r="AN155" i="16"/>
  <c r="BH155" i="16" s="1"/>
  <c r="AF155" i="16"/>
  <c r="AZ155" i="16" s="1"/>
  <c r="AH155" i="16"/>
  <c r="BB155" i="16" s="1"/>
  <c r="I35" i="10"/>
  <c r="I35" i="33" s="1"/>
  <c r="DG39" i="16"/>
  <c r="CD63" i="16"/>
  <c r="DD154" i="16"/>
  <c r="BQ40" i="16"/>
  <c r="CR41" i="16" s="1"/>
  <c r="AB63" i="16"/>
  <c r="AV63" i="16" s="1"/>
  <c r="CG40" i="16"/>
  <c r="P62" i="10"/>
  <c r="O44" i="31"/>
  <c r="O58" i="26"/>
  <c r="O56" i="33"/>
  <c r="O4" i="31"/>
  <c r="O7" i="18"/>
  <c r="P8" i="10"/>
  <c r="P5" i="10"/>
  <c r="P13" i="10"/>
  <c r="P4" i="10"/>
  <c r="O13" i="26"/>
  <c r="P61" i="10"/>
  <c r="O18" i="31"/>
  <c r="O21" i="18"/>
  <c r="P31" i="10"/>
  <c r="N32" i="26"/>
  <c r="N39" i="26" s="1"/>
  <c r="O13" i="31"/>
  <c r="P38" i="10"/>
  <c r="P26" i="10"/>
  <c r="O16" i="18"/>
  <c r="O14" i="26"/>
  <c r="O14" i="27" s="1"/>
  <c r="P17" i="10"/>
  <c r="CV238" i="16"/>
  <c r="BU238" i="16"/>
  <c r="AD155" i="16"/>
  <c r="AX155" i="16" s="1"/>
  <c r="AC155" i="16"/>
  <c r="AW155" i="16" s="1"/>
  <c r="I31" i="23"/>
  <c r="I28" i="33"/>
  <c r="Q57" i="26"/>
  <c r="CV62" i="16"/>
  <c r="BU62" i="16"/>
  <c r="AJ155" i="16"/>
  <c r="BD155" i="16" s="1"/>
  <c r="AB155" i="16"/>
  <c r="AV155" i="16" s="1"/>
  <c r="AL155" i="16"/>
  <c r="BF155" i="16" s="1"/>
  <c r="AE155" i="16"/>
  <c r="AY155" i="16" s="1"/>
  <c r="Q50" i="26"/>
  <c r="CP40" i="16"/>
  <c r="CQ63" i="16"/>
  <c r="DB62" i="16"/>
  <c r="DK455" i="16"/>
  <c r="K68" i="23"/>
  <c r="K65" i="33"/>
  <c r="AO63" i="16"/>
  <c r="BI63" i="16" s="1"/>
  <c r="DJ39" i="16"/>
  <c r="O51" i="26"/>
  <c r="O51" i="27" s="1"/>
  <c r="O26" i="33"/>
  <c r="O29" i="18"/>
  <c r="O26" i="31"/>
  <c r="N38" i="33"/>
  <c r="O45" i="26"/>
  <c r="O45" i="27" s="1"/>
  <c r="O8" i="33"/>
  <c r="O8" i="31"/>
  <c r="O11" i="18"/>
  <c r="O10" i="10"/>
  <c r="P63" i="10"/>
  <c r="M48" i="26"/>
  <c r="M48" i="27" s="1"/>
  <c r="I39" i="32"/>
  <c r="O25" i="32"/>
  <c r="N7" i="32"/>
  <c r="I27" i="32"/>
  <c r="M37" i="32"/>
  <c r="L45" i="32"/>
  <c r="N18" i="32"/>
  <c r="M10" i="32"/>
  <c r="DH454" i="16"/>
  <c r="I20" i="32"/>
  <c r="O8" i="32"/>
  <c r="O9" i="32"/>
  <c r="DH221" i="16"/>
  <c r="CL437" i="16"/>
  <c r="BX437" i="16"/>
  <c r="CY438" i="16" s="1"/>
  <c r="BP437" i="16"/>
  <c r="BP326" i="16"/>
  <c r="CL326" i="16"/>
  <c r="BX326" i="16"/>
  <c r="CY327" i="16" s="1"/>
  <c r="I41" i="32"/>
  <c r="K51" i="32"/>
  <c r="AS39" i="16"/>
  <c r="CB40" i="16" s="1"/>
  <c r="L17" i="32"/>
  <c r="N12" i="32"/>
  <c r="I70" i="32"/>
  <c r="H76" i="21"/>
  <c r="H78" i="21" s="1"/>
  <c r="I19" i="32"/>
  <c r="L3" i="32"/>
  <c r="O62" i="32"/>
  <c r="N13" i="32"/>
  <c r="DB39" i="16"/>
  <c r="DG62" i="16"/>
  <c r="DD62" i="16"/>
  <c r="BP392" i="16"/>
  <c r="BX392" i="16"/>
  <c r="CY393" i="16" s="1"/>
  <c r="CL392" i="16"/>
  <c r="CU260" i="16"/>
  <c r="BT260" i="16"/>
  <c r="DB177" i="16"/>
  <c r="K21" i="32"/>
  <c r="M4" i="32"/>
  <c r="N44" i="32"/>
  <c r="O26" i="32"/>
  <c r="I35" i="13"/>
  <c r="I38" i="21" s="1"/>
  <c r="I28" i="32"/>
  <c r="O56" i="32"/>
  <c r="DK62" i="16"/>
  <c r="CY216" i="16"/>
  <c r="BX216" i="16"/>
  <c r="CK325" i="16"/>
  <c r="BO325" i="16"/>
  <c r="BV325" i="16"/>
  <c r="CW326" i="16" s="1"/>
  <c r="BP304" i="16"/>
  <c r="BX304" i="16"/>
  <c r="CY305" i="16" s="1"/>
  <c r="CL304" i="16"/>
  <c r="N43" i="32"/>
  <c r="CX456" i="16"/>
  <c r="O67" i="20" s="1"/>
  <c r="N31" i="32"/>
  <c r="M30" i="32"/>
  <c r="O55" i="32"/>
  <c r="I14" i="32"/>
  <c r="I15" i="32"/>
  <c r="BM63" i="16"/>
  <c r="CI64" i="16" s="1"/>
  <c r="M63" i="32"/>
  <c r="AE63" i="16"/>
  <c r="AY63" i="16" s="1"/>
  <c r="N5" i="32"/>
  <c r="DI221" i="16"/>
  <c r="BN107" i="16"/>
  <c r="CJ107" i="16"/>
  <c r="BR107" i="16"/>
  <c r="CS108" i="16" s="1"/>
  <c r="O66" i="18"/>
  <c r="O63" i="31"/>
  <c r="O17" i="31"/>
  <c r="BV171" i="16"/>
  <c r="CW172" i="16" s="1"/>
  <c r="CK171" i="16"/>
  <c r="BO171" i="16"/>
  <c r="CU107" i="16"/>
  <c r="BT107" i="16"/>
  <c r="BQ415" i="16"/>
  <c r="CR415" i="16"/>
  <c r="CW128" i="16"/>
  <c r="BV128" i="16"/>
  <c r="I39" i="31"/>
  <c r="AK40" i="16"/>
  <c r="BE40" i="16" s="1"/>
  <c r="CO41" i="16" s="1"/>
  <c r="AO40" i="16"/>
  <c r="BI40" i="16" s="1"/>
  <c r="DF39" i="16"/>
  <c r="DI454" i="16"/>
  <c r="DI176" i="16"/>
  <c r="DE39" i="16"/>
  <c r="M15" i="29"/>
  <c r="AF63" i="16"/>
  <c r="AZ63" i="16" s="1"/>
  <c r="CH64" i="16" s="1"/>
  <c r="AG63" i="16"/>
  <c r="BA63" i="16" s="1"/>
  <c r="AK63" i="16"/>
  <c r="BE63" i="16" s="1"/>
  <c r="CO64" i="16" s="1"/>
  <c r="AN63" i="16"/>
  <c r="BH63" i="16" s="1"/>
  <c r="Z63" i="16"/>
  <c r="AT63" i="16" s="1"/>
  <c r="CC64" i="16" s="1"/>
  <c r="N21" i="31"/>
  <c r="O43" i="31"/>
  <c r="DF62" i="16"/>
  <c r="CV369" i="16"/>
  <c r="BU369" i="16"/>
  <c r="BP414" i="16"/>
  <c r="BX414" i="16"/>
  <c r="CY415" i="16" s="1"/>
  <c r="CL414" i="16"/>
  <c r="BN215" i="16"/>
  <c r="CJ215" i="16"/>
  <c r="BR215" i="16"/>
  <c r="CS216" i="16" s="1"/>
  <c r="BO282" i="16"/>
  <c r="CK282" i="16"/>
  <c r="BV282" i="16"/>
  <c r="CW283" i="16" s="1"/>
  <c r="BT391" i="16"/>
  <c r="CU391" i="16"/>
  <c r="CL218" i="16"/>
  <c r="BP218" i="16"/>
  <c r="CX347" i="16"/>
  <c r="BW347" i="16"/>
  <c r="I41" i="31"/>
  <c r="Y40" i="16"/>
  <c r="AS40" i="16" s="1"/>
  <c r="AH40" i="16"/>
  <c r="BB40" i="16" s="1"/>
  <c r="AL40" i="16"/>
  <c r="BF40" i="16" s="1"/>
  <c r="AN40" i="16"/>
  <c r="BH40" i="16" s="1"/>
  <c r="AB40" i="16"/>
  <c r="AV40" i="16" s="1"/>
  <c r="O55" i="31"/>
  <c r="BP63" i="16"/>
  <c r="CL64" i="16" s="1"/>
  <c r="I14" i="31"/>
  <c r="I15" i="31"/>
  <c r="CN63" i="16"/>
  <c r="BT40" i="16"/>
  <c r="CU41" i="16" s="1"/>
  <c r="CU456" i="16"/>
  <c r="O64" i="20" s="1"/>
  <c r="AM63" i="16"/>
  <c r="BG63" i="16" s="1"/>
  <c r="AH63" i="16"/>
  <c r="BB63" i="16" s="1"/>
  <c r="AL63" i="16"/>
  <c r="BF63" i="16" s="1"/>
  <c r="CP64" i="16" s="1"/>
  <c r="AA63" i="16"/>
  <c r="AU63" i="16" s="1"/>
  <c r="CD64" i="16" s="1"/>
  <c r="DE62" i="16"/>
  <c r="O45" i="31"/>
  <c r="I20" i="31"/>
  <c r="CV172" i="16"/>
  <c r="BU172" i="16"/>
  <c r="CU237" i="16"/>
  <c r="BT237" i="16"/>
  <c r="CX259" i="16"/>
  <c r="BW259" i="16"/>
  <c r="BO259" i="16"/>
  <c r="BV259" i="16"/>
  <c r="CW260" i="16" s="1"/>
  <c r="CK259" i="16"/>
  <c r="BO348" i="16"/>
  <c r="CK348" i="16"/>
  <c r="BV348" i="16"/>
  <c r="CW349" i="16" s="1"/>
  <c r="BW237" i="16"/>
  <c r="CX237" i="16"/>
  <c r="CX194" i="16"/>
  <c r="BW194" i="16"/>
  <c r="CJ303" i="16"/>
  <c r="BN303" i="16"/>
  <c r="BR303" i="16"/>
  <c r="CS304" i="16" s="1"/>
  <c r="CU303" i="16"/>
  <c r="BT303" i="16"/>
  <c r="BX172" i="16"/>
  <c r="CY173" i="16" s="1"/>
  <c r="CL172" i="16"/>
  <c r="BP172" i="16"/>
  <c r="CV436" i="16"/>
  <c r="BU436" i="16"/>
  <c r="O37" i="31"/>
  <c r="I19" i="31"/>
  <c r="O30" i="31"/>
  <c r="I28" i="31"/>
  <c r="O56" i="31"/>
  <c r="CV326" i="16"/>
  <c r="BU326" i="16"/>
  <c r="BU259" i="16"/>
  <c r="CV259" i="16"/>
  <c r="BT435" i="16"/>
  <c r="CU435" i="16"/>
  <c r="CU171" i="16"/>
  <c r="BT171" i="16"/>
  <c r="CV85" i="16"/>
  <c r="BU85" i="16"/>
  <c r="BO193" i="16"/>
  <c r="CK193" i="16"/>
  <c r="BV193" i="16"/>
  <c r="CW194" i="16" s="1"/>
  <c r="AD40" i="16"/>
  <c r="AX40" i="16" s="1"/>
  <c r="CF41" i="16" s="1"/>
  <c r="AM40" i="16"/>
  <c r="BG40" i="16" s="1"/>
  <c r="CQ41" i="16" s="1"/>
  <c r="AI40" i="16"/>
  <c r="BC40" i="16" s="1"/>
  <c r="I70" i="31"/>
  <c r="O61" i="31"/>
  <c r="DD39" i="16"/>
  <c r="BQ370" i="16"/>
  <c r="CR370" i="16"/>
  <c r="BW413" i="16"/>
  <c r="CX413" i="16"/>
  <c r="BT414" i="16"/>
  <c r="CU414" i="16"/>
  <c r="CV347" i="16"/>
  <c r="BU347" i="16"/>
  <c r="BT370" i="16"/>
  <c r="CU370" i="16"/>
  <c r="AC40" i="16"/>
  <c r="AW40" i="16" s="1"/>
  <c r="CE41" i="16" s="1"/>
  <c r="AF40" i="16"/>
  <c r="AZ40" i="16" s="1"/>
  <c r="CH41" i="16" s="1"/>
  <c r="Z40" i="16"/>
  <c r="AT40" i="16" s="1"/>
  <c r="CC41" i="16" s="1"/>
  <c r="AJ40" i="16"/>
  <c r="BD40" i="16" s="1"/>
  <c r="O38" i="31"/>
  <c r="CH63" i="16"/>
  <c r="I27" i="31"/>
  <c r="N51" i="31"/>
  <c r="DH176" i="16"/>
  <c r="AC63" i="16"/>
  <c r="AW63" i="16" s="1"/>
  <c r="CE64" i="16" s="1"/>
  <c r="AJ63" i="16"/>
  <c r="BD63" i="16" s="1"/>
  <c r="AI63" i="16"/>
  <c r="BC63" i="16" s="1"/>
  <c r="CM64" i="16" s="1"/>
  <c r="AD63" i="16"/>
  <c r="AX63" i="16" s="1"/>
  <c r="CF64" i="16" s="1"/>
  <c r="BW150" i="16"/>
  <c r="CX150" i="16"/>
  <c r="BP282" i="16"/>
  <c r="CL282" i="16"/>
  <c r="BX282" i="16"/>
  <c r="CY283" i="16" s="1"/>
  <c r="CI347" i="16"/>
  <c r="BM347" i="16"/>
  <c r="BS347" i="16"/>
  <c r="CT348" i="16" s="1"/>
  <c r="BW392" i="16"/>
  <c r="CX392" i="16"/>
  <c r="CJ391" i="16"/>
  <c r="BN391" i="16"/>
  <c r="BR391" i="16"/>
  <c r="CS392" i="16" s="1"/>
  <c r="CS84" i="16"/>
  <c r="BR84" i="16"/>
  <c r="CX303" i="16"/>
  <c r="BW303" i="16"/>
  <c r="N64" i="21"/>
  <c r="N64" i="23"/>
  <c r="L21" i="20"/>
  <c r="L21" i="33" s="1"/>
  <c r="L20" i="21"/>
  <c r="L20" i="23"/>
  <c r="N15" i="21"/>
  <c r="N9" i="17"/>
  <c r="N15" i="23"/>
  <c r="J32" i="28"/>
  <c r="J32" i="29"/>
  <c r="J39" i="17"/>
  <c r="I22" i="13"/>
  <c r="J32" i="13"/>
  <c r="J48" i="13"/>
  <c r="I22" i="18"/>
  <c r="I22" i="21"/>
  <c r="CR282" i="16"/>
  <c r="BQ282" i="16"/>
  <c r="CV215" i="16"/>
  <c r="BU215" i="16"/>
  <c r="N20" i="17"/>
  <c r="BO391" i="16"/>
  <c r="CK391" i="16"/>
  <c r="BV391" i="16"/>
  <c r="CW392" i="16" s="1"/>
  <c r="CX84" i="16"/>
  <c r="BW84" i="16"/>
  <c r="CK131" i="16"/>
  <c r="BO131" i="16"/>
  <c r="BV414" i="16"/>
  <c r="CW415" i="16" s="1"/>
  <c r="BO414" i="16"/>
  <c r="CK414" i="16"/>
  <c r="L35" i="20"/>
  <c r="L53" i="17"/>
  <c r="O58" i="17"/>
  <c r="O59" i="21"/>
  <c r="O59" i="23"/>
  <c r="BS172" i="16"/>
  <c r="CT173" i="16" s="1"/>
  <c r="CI172" i="16"/>
  <c r="BM172" i="16"/>
  <c r="CR436" i="16"/>
  <c r="BQ436" i="16"/>
  <c r="H27" i="26"/>
  <c r="H27" i="28" s="1"/>
  <c r="H20" i="28"/>
  <c r="CH17" i="16"/>
  <c r="CH457" i="16" s="1"/>
  <c r="P28" i="20" s="1"/>
  <c r="BP17" i="16"/>
  <c r="AZ456" i="16"/>
  <c r="O15" i="20" s="1"/>
  <c r="BO17" i="16"/>
  <c r="CG17" i="16"/>
  <c r="CG457" i="16" s="1"/>
  <c r="P27" i="20" s="1"/>
  <c r="AY456" i="16"/>
  <c r="DD16" i="16"/>
  <c r="CK437" i="16"/>
  <c r="BO437" i="16"/>
  <c r="CI436" i="16"/>
  <c r="BM436" i="16"/>
  <c r="BS436" i="16"/>
  <c r="CT437" i="16" s="1"/>
  <c r="P30" i="13"/>
  <c r="P45" i="13"/>
  <c r="O21" i="13"/>
  <c r="O20" i="18"/>
  <c r="P17" i="13"/>
  <c r="N30" i="17"/>
  <c r="N8" i="21"/>
  <c r="N8" i="23"/>
  <c r="J11" i="28"/>
  <c r="J11" i="29"/>
  <c r="CW17" i="16"/>
  <c r="BV456" i="16"/>
  <c r="O48" i="20" s="1"/>
  <c r="J28" i="10"/>
  <c r="J20" i="10"/>
  <c r="J20" i="33" s="1"/>
  <c r="I20" i="26"/>
  <c r="I18" i="23"/>
  <c r="K54" i="23"/>
  <c r="K53" i="20"/>
  <c r="K36" i="17"/>
  <c r="K54" i="21"/>
  <c r="O57" i="17"/>
  <c r="O57" i="28" s="1"/>
  <c r="O58" i="23"/>
  <c r="O58" i="21"/>
  <c r="CK17" i="16"/>
  <c r="BV17" i="16"/>
  <c r="BO456" i="16"/>
  <c r="O19" i="20" s="1"/>
  <c r="M23" i="17"/>
  <c r="P56" i="13"/>
  <c r="O15" i="25"/>
  <c r="P43" i="13"/>
  <c r="O41" i="18"/>
  <c r="O58" i="18"/>
  <c r="O57" i="25"/>
  <c r="CX326" i="16"/>
  <c r="BW326" i="16"/>
  <c r="Q10" i="26"/>
  <c r="R55" i="10"/>
  <c r="DJ199" i="16"/>
  <c r="CB177" i="16"/>
  <c r="DC176" i="16"/>
  <c r="H21" i="25"/>
  <c r="H26" i="25"/>
  <c r="H19" i="29"/>
  <c r="H19" i="27"/>
  <c r="N46" i="28"/>
  <c r="N46" i="29"/>
  <c r="M40" i="23"/>
  <c r="M10" i="17"/>
  <c r="M40" i="21"/>
  <c r="J62" i="26"/>
  <c r="J62" i="28" s="1"/>
  <c r="J72" i="23"/>
  <c r="H54" i="27"/>
  <c r="H54" i="29"/>
  <c r="H65" i="25"/>
  <c r="H55" i="25"/>
  <c r="BR413" i="16"/>
  <c r="CS414" i="16" s="1"/>
  <c r="CJ413" i="16"/>
  <c r="BN413" i="16"/>
  <c r="N41" i="23"/>
  <c r="N41" i="21"/>
  <c r="N15" i="17"/>
  <c r="N15" i="28" s="1"/>
  <c r="N46" i="23"/>
  <c r="N46" i="21"/>
  <c r="CL349" i="16"/>
  <c r="BP349" i="16"/>
  <c r="BX349" i="16"/>
  <c r="CY350" i="16" s="1"/>
  <c r="BQ348" i="16"/>
  <c r="CR348" i="16"/>
  <c r="J38" i="17"/>
  <c r="K8" i="28"/>
  <c r="K11" i="17"/>
  <c r="K8" i="29"/>
  <c r="CB63" i="16"/>
  <c r="DC62" i="16"/>
  <c r="I67" i="17"/>
  <c r="I66" i="17"/>
  <c r="BS260" i="16"/>
  <c r="CT261" i="16" s="1"/>
  <c r="CI260" i="16"/>
  <c r="BM260" i="16"/>
  <c r="Y17" i="16"/>
  <c r="AF17" i="16"/>
  <c r="AZ17" i="16" s="1"/>
  <c r="AI17" i="16"/>
  <c r="BC17" i="16" s="1"/>
  <c r="AM17" i="16"/>
  <c r="BG17" i="16" s="1"/>
  <c r="AN17" i="16"/>
  <c r="BH17" i="16" s="1"/>
  <c r="BH457" i="16" s="1"/>
  <c r="Z17" i="16"/>
  <c r="AT17" i="16" s="1"/>
  <c r="AC17" i="16"/>
  <c r="AW17" i="16" s="1"/>
  <c r="AJ17" i="16"/>
  <c r="BD17" i="16" s="1"/>
  <c r="AB17" i="16"/>
  <c r="AV17" i="16" s="1"/>
  <c r="AO17" i="16"/>
  <c r="BI17" i="16" s="1"/>
  <c r="BI457" i="16" s="1"/>
  <c r="AE17" i="16"/>
  <c r="AY17" i="16" s="1"/>
  <c r="AA17" i="16"/>
  <c r="AU17" i="16" s="1"/>
  <c r="AD17" i="16"/>
  <c r="AX17" i="16" s="1"/>
  <c r="AG17" i="16"/>
  <c r="BA17" i="16" s="1"/>
  <c r="BA457" i="16" s="1"/>
  <c r="AS16" i="16"/>
  <c r="AK17" i="16"/>
  <c r="BE17" i="16" s="1"/>
  <c r="AH17" i="16"/>
  <c r="BB17" i="16" s="1"/>
  <c r="BB457" i="16" s="1"/>
  <c r="AL17" i="16"/>
  <c r="BF17" i="16" s="1"/>
  <c r="AU456" i="16"/>
  <c r="O5" i="20" s="1"/>
  <c r="O5" i="33" s="1"/>
  <c r="BN17" i="16"/>
  <c r="CD17" i="16"/>
  <c r="CD457" i="16" s="1"/>
  <c r="P9" i="20" s="1"/>
  <c r="CX282" i="16"/>
  <c r="BW282" i="16"/>
  <c r="CR172" i="16"/>
  <c r="BQ172" i="16"/>
  <c r="BS84" i="16"/>
  <c r="CT85" i="16" s="1"/>
  <c r="CI84" i="16"/>
  <c r="BM84" i="16"/>
  <c r="CK215" i="16"/>
  <c r="BV215" i="16"/>
  <c r="CW216" i="16" s="1"/>
  <c r="BO215" i="16"/>
  <c r="O46" i="17"/>
  <c r="O12" i="21"/>
  <c r="O12" i="23"/>
  <c r="BR131" i="16"/>
  <c r="CS132" i="16" s="1"/>
  <c r="CJ131" i="16"/>
  <c r="BN131" i="16"/>
  <c r="I22" i="10"/>
  <c r="I22" i="33" s="1"/>
  <c r="J32" i="10"/>
  <c r="J32" i="33" s="1"/>
  <c r="J48" i="10"/>
  <c r="J48" i="33" s="1"/>
  <c r="I22" i="23"/>
  <c r="CR304" i="16"/>
  <c r="BQ304" i="16"/>
  <c r="H38" i="29"/>
  <c r="H38" i="27"/>
  <c r="CL371" i="16"/>
  <c r="BX371" i="16"/>
  <c r="CY372" i="16" s="1"/>
  <c r="BP371" i="16"/>
  <c r="H76" i="18"/>
  <c r="H78" i="18" s="1"/>
  <c r="N34" i="23"/>
  <c r="N34" i="21"/>
  <c r="M14" i="28"/>
  <c r="M14" i="29"/>
  <c r="M34" i="20"/>
  <c r="M33" i="23"/>
  <c r="M33" i="21"/>
  <c r="O52" i="17"/>
  <c r="M30" i="28"/>
  <c r="M30" i="29"/>
  <c r="CR216" i="16"/>
  <c r="BQ216" i="16"/>
  <c r="CJ237" i="16"/>
  <c r="BR237" i="16"/>
  <c r="CS238" i="16" s="1"/>
  <c r="BN237" i="16"/>
  <c r="N10" i="27"/>
  <c r="N11" i="25"/>
  <c r="H65" i="26"/>
  <c r="H55" i="26"/>
  <c r="H55" i="28" s="1"/>
  <c r="H54" i="28"/>
  <c r="I62" i="29"/>
  <c r="I62" i="27"/>
  <c r="BV107" i="16"/>
  <c r="CW108" i="16" s="1"/>
  <c r="CK107" i="16"/>
  <c r="BO107" i="16"/>
  <c r="DC198" i="16"/>
  <c r="CB199" i="16"/>
  <c r="DC131" i="16"/>
  <c r="CB132" i="16"/>
  <c r="DE177" i="16"/>
  <c r="DF177" i="16"/>
  <c r="DG177" i="16"/>
  <c r="K23" i="20"/>
  <c r="K32" i="17"/>
  <c r="K24" i="21"/>
  <c r="K24" i="23"/>
  <c r="J19" i="13"/>
  <c r="I19" i="25"/>
  <c r="J27" i="13"/>
  <c r="I17" i="18"/>
  <c r="I17" i="21"/>
  <c r="J20" i="13"/>
  <c r="J28" i="13"/>
  <c r="I20" i="25"/>
  <c r="I18" i="18"/>
  <c r="I18" i="21"/>
  <c r="DI15" i="16"/>
  <c r="L40" i="17"/>
  <c r="I63" i="26"/>
  <c r="I73" i="23"/>
  <c r="CV303" i="16"/>
  <c r="BU303" i="16"/>
  <c r="CL17" i="16"/>
  <c r="CL457" i="16" s="1"/>
  <c r="P33" i="20" s="1"/>
  <c r="BP456" i="16"/>
  <c r="BX17" i="16"/>
  <c r="CY18" i="16" s="1"/>
  <c r="CV129" i="16"/>
  <c r="BU129" i="16"/>
  <c r="CU128" i="16"/>
  <c r="BT128" i="16"/>
  <c r="O48" i="25"/>
  <c r="BX196" i="16"/>
  <c r="CY197" i="16" s="1"/>
  <c r="CL196" i="16"/>
  <c r="BP196" i="16"/>
  <c r="CV456" i="16"/>
  <c r="O65" i="20" s="1"/>
  <c r="O65" i="23"/>
  <c r="O65" i="21"/>
  <c r="BV150" i="16"/>
  <c r="CW151" i="16" s="1"/>
  <c r="CK150" i="16"/>
  <c r="BO150" i="16"/>
  <c r="CV282" i="16"/>
  <c r="BU282" i="16"/>
  <c r="CK85" i="16"/>
  <c r="BV85" i="16"/>
  <c r="CW86" i="16" s="1"/>
  <c r="BO85" i="16"/>
  <c r="CX17" i="16"/>
  <c r="BW456" i="16"/>
  <c r="O49" i="20" s="1"/>
  <c r="CV17" i="16"/>
  <c r="BU456" i="16"/>
  <c r="O47" i="20" s="1"/>
  <c r="N21" i="23"/>
  <c r="N21" i="21"/>
  <c r="CX129" i="16"/>
  <c r="BW129" i="16"/>
  <c r="H41" i="26"/>
  <c r="H41" i="28" s="1"/>
  <c r="H40" i="28"/>
  <c r="M11" i="27"/>
  <c r="P50" i="27"/>
  <c r="CI194" i="16"/>
  <c r="BS194" i="16"/>
  <c r="CT195" i="16" s="1"/>
  <c r="BM194" i="16"/>
  <c r="CU193" i="16"/>
  <c r="BT193" i="16"/>
  <c r="BS302" i="16"/>
  <c r="CT303" i="16" s="1"/>
  <c r="BM302" i="16"/>
  <c r="CI302" i="16"/>
  <c r="L25" i="17"/>
  <c r="CV149" i="16"/>
  <c r="BU149" i="16"/>
  <c r="J49" i="10"/>
  <c r="J49" i="33" s="1"/>
  <c r="I24" i="26"/>
  <c r="I24" i="28" s="1"/>
  <c r="J59" i="10"/>
  <c r="J59" i="33" s="1"/>
  <c r="I44" i="23"/>
  <c r="J41" i="10"/>
  <c r="J41" i="33" s="1"/>
  <c r="M19" i="17"/>
  <c r="O48" i="18"/>
  <c r="P63" i="13"/>
  <c r="BN348" i="16"/>
  <c r="CJ348" i="16"/>
  <c r="BR348" i="16"/>
  <c r="CS349" i="16" s="1"/>
  <c r="N51" i="28"/>
  <c r="N51" i="29"/>
  <c r="CJ193" i="16"/>
  <c r="BR193" i="16"/>
  <c r="CS194" i="16" s="1"/>
  <c r="BN193" i="16"/>
  <c r="CJ281" i="16"/>
  <c r="BN281" i="16"/>
  <c r="BR281" i="16"/>
  <c r="CS282" i="16" s="1"/>
  <c r="N4" i="20"/>
  <c r="N4" i="33" s="1"/>
  <c r="DB455" i="16"/>
  <c r="H64" i="27"/>
  <c r="H64" i="29"/>
  <c r="N15" i="27"/>
  <c r="N16" i="25"/>
  <c r="H76" i="23"/>
  <c r="H78" i="23" s="1"/>
  <c r="I52" i="26"/>
  <c r="I52" i="28" s="1"/>
  <c r="I30" i="23"/>
  <c r="N58" i="29"/>
  <c r="N58" i="27"/>
  <c r="P11" i="26"/>
  <c r="K48" i="28"/>
  <c r="K48" i="29"/>
  <c r="I24" i="25"/>
  <c r="J59" i="13"/>
  <c r="J49" i="13"/>
  <c r="I44" i="18"/>
  <c r="I44" i="21"/>
  <c r="CR260" i="16"/>
  <c r="BQ260" i="16"/>
  <c r="L70" i="20"/>
  <c r="L62" i="17"/>
  <c r="DH15" i="16"/>
  <c r="CI237" i="16"/>
  <c r="BS237" i="16"/>
  <c r="CT238" i="16" s="1"/>
  <c r="BM237" i="16"/>
  <c r="BX456" i="16"/>
  <c r="O50" i="20" s="1"/>
  <c r="N20" i="20"/>
  <c r="BR369" i="16"/>
  <c r="CS370" i="16" s="1"/>
  <c r="BN369" i="16"/>
  <c r="CJ369" i="16"/>
  <c r="DE455" i="16"/>
  <c r="N39" i="20"/>
  <c r="L21" i="17"/>
  <c r="L26" i="17"/>
  <c r="BM325" i="16"/>
  <c r="CI325" i="16"/>
  <c r="BS325" i="16"/>
  <c r="CT326" i="16" s="1"/>
  <c r="L48" i="23"/>
  <c r="L48" i="21"/>
  <c r="L51" i="20"/>
  <c r="L51" i="33" s="1"/>
  <c r="CR62" i="16"/>
  <c r="BQ62" i="16"/>
  <c r="K28" i="17"/>
  <c r="CJ436" i="16"/>
  <c r="BR436" i="16"/>
  <c r="CS437" i="16" s="1"/>
  <c r="BN436" i="16"/>
  <c r="CK370" i="16"/>
  <c r="BV370" i="16"/>
  <c r="CW371" i="16" s="1"/>
  <c r="BO370" i="16"/>
  <c r="G41" i="27"/>
  <c r="G41" i="29"/>
  <c r="N24" i="17"/>
  <c r="CS17" i="16"/>
  <c r="CS457" i="16" s="1"/>
  <c r="P62" i="20" s="1"/>
  <c r="BR456" i="16"/>
  <c r="O44" i="20" s="1"/>
  <c r="O44" i="33" s="1"/>
  <c r="N52" i="20"/>
  <c r="BS413" i="16"/>
  <c r="CT414" i="16" s="1"/>
  <c r="CI413" i="16"/>
  <c r="BM413" i="16"/>
  <c r="M16" i="27"/>
  <c r="L10" i="28"/>
  <c r="L10" i="29"/>
  <c r="BU391" i="16"/>
  <c r="CV391" i="16"/>
  <c r="CM17" i="16"/>
  <c r="CM457" i="16" s="1"/>
  <c r="P55" i="20" s="1"/>
  <c r="P55" i="33" s="1"/>
  <c r="BC456" i="16"/>
  <c r="DF16" i="16"/>
  <c r="DG16" i="16"/>
  <c r="CN17" i="16"/>
  <c r="CN457" i="16" s="1"/>
  <c r="P56" i="20" s="1"/>
  <c r="BQ17" i="16"/>
  <c r="BD456" i="16"/>
  <c r="O38" i="20" s="1"/>
  <c r="O38" i="33" s="1"/>
  <c r="AX456" i="16"/>
  <c r="O13" i="20" s="1"/>
  <c r="O13" i="33" s="1"/>
  <c r="CF17" i="16"/>
  <c r="CF457" i="16" s="1"/>
  <c r="P26" i="20" s="1"/>
  <c r="M47" i="17"/>
  <c r="M13" i="21"/>
  <c r="M13" i="23"/>
  <c r="O33" i="18"/>
  <c r="H27" i="25"/>
  <c r="H20" i="27"/>
  <c r="H20" i="29"/>
  <c r="L39" i="27"/>
  <c r="BR149" i="16"/>
  <c r="CS150" i="16" s="1"/>
  <c r="CJ149" i="16"/>
  <c r="BN149" i="16"/>
  <c r="O58" i="25"/>
  <c r="O59" i="18"/>
  <c r="I19" i="26"/>
  <c r="J19" i="10"/>
  <c r="J19" i="33" s="1"/>
  <c r="J27" i="10"/>
  <c r="J27" i="33" s="1"/>
  <c r="I17" i="23"/>
  <c r="I38" i="26"/>
  <c r="I38" i="28" s="1"/>
  <c r="I56" i="23"/>
  <c r="CI15" i="16"/>
  <c r="CI455" i="16" s="1"/>
  <c r="N30" i="20" s="1"/>
  <c r="N30" i="33" s="1"/>
  <c r="BS15" i="16"/>
  <c r="BM454" i="16"/>
  <c r="M17" i="20" s="1"/>
  <c r="M17" i="33" s="1"/>
  <c r="BM15" i="16"/>
  <c r="CR238" i="16"/>
  <c r="BQ238" i="16"/>
  <c r="DC454" i="16"/>
  <c r="M3" i="20"/>
  <c r="M3" i="33" s="1"/>
  <c r="CX216" i="16"/>
  <c r="BW216" i="16"/>
  <c r="CJ173" i="16"/>
  <c r="BR173" i="16"/>
  <c r="CS174" i="16" s="1"/>
  <c r="BN173" i="16"/>
  <c r="J34" i="17"/>
  <c r="J6" i="17"/>
  <c r="Q45" i="25"/>
  <c r="DC177" i="16"/>
  <c r="H6" i="27"/>
  <c r="H6" i="29"/>
  <c r="CU17" i="16"/>
  <c r="BT456" i="16"/>
  <c r="O46" i="20" s="1"/>
  <c r="CX108" i="16"/>
  <c r="BW108" i="16"/>
  <c r="N54" i="18"/>
  <c r="N36" i="25"/>
  <c r="CJ261" i="16"/>
  <c r="BR261" i="16"/>
  <c r="CS262" i="16" s="1"/>
  <c r="BN261" i="16"/>
  <c r="L6" i="21"/>
  <c r="L6" i="23"/>
  <c r="L8" i="17"/>
  <c r="BX129" i="16"/>
  <c r="CY130" i="16" s="1"/>
  <c r="CL129" i="16"/>
  <c r="BP129" i="16"/>
  <c r="CX172" i="16"/>
  <c r="BW172" i="16"/>
  <c r="O61" i="17"/>
  <c r="N16" i="23"/>
  <c r="N16" i="21"/>
  <c r="N14" i="17"/>
  <c r="K54" i="17"/>
  <c r="BX150" i="16"/>
  <c r="CY151" i="16" s="1"/>
  <c r="CL150" i="16"/>
  <c r="BP150" i="16"/>
  <c r="CE17" i="16"/>
  <c r="CE457" i="16" s="1"/>
  <c r="P25" i="20" s="1"/>
  <c r="P25" i="33" s="1"/>
  <c r="AW456" i="16"/>
  <c r="O12" i="20" s="1"/>
  <c r="O12" i="33" s="1"/>
  <c r="CC17" i="16"/>
  <c r="CC457" i="16" s="1"/>
  <c r="P8" i="20" s="1"/>
  <c r="AT456" i="16"/>
  <c r="DB16" i="16"/>
  <c r="DC15" i="16"/>
  <c r="AS455" i="16"/>
  <c r="CB16" i="16"/>
  <c r="CB456" i="16" s="1"/>
  <c r="O7" i="20" s="1"/>
  <c r="O7" i="33" s="1"/>
  <c r="BR325" i="16"/>
  <c r="CS326" i="16" s="1"/>
  <c r="CJ325" i="16"/>
  <c r="BN325" i="16"/>
  <c r="BS391" i="16"/>
  <c r="CT392" i="16" s="1"/>
  <c r="CI391" i="16"/>
  <c r="BM391" i="16"/>
  <c r="N32" i="25"/>
  <c r="N24" i="18"/>
  <c r="J33" i="13"/>
  <c r="J50" i="13"/>
  <c r="I23" i="18"/>
  <c r="I23" i="21"/>
  <c r="O11" i="21"/>
  <c r="O45" i="17"/>
  <c r="O11" i="23"/>
  <c r="O51" i="13"/>
  <c r="P61" i="13"/>
  <c r="O46" i="18"/>
  <c r="M37" i="17"/>
  <c r="BW371" i="16"/>
  <c r="CX371" i="16"/>
  <c r="Q44" i="26"/>
  <c r="CU348" i="16"/>
  <c r="BT348" i="16"/>
  <c r="J46" i="13"/>
  <c r="J40" i="13"/>
  <c r="I23" i="25"/>
  <c r="J57" i="13"/>
  <c r="I42" i="18"/>
  <c r="I42" i="21"/>
  <c r="H34" i="29"/>
  <c r="H34" i="27"/>
  <c r="CT15" i="16"/>
  <c r="CT455" i="16" s="1"/>
  <c r="N63" i="20" s="1"/>
  <c r="N63" i="33" s="1"/>
  <c r="BS454" i="16"/>
  <c r="M45" i="20" s="1"/>
  <c r="M45" i="33" s="1"/>
  <c r="L16" i="17"/>
  <c r="L13" i="28"/>
  <c r="L13" i="29"/>
  <c r="DF455" i="16"/>
  <c r="DG455" i="16"/>
  <c r="N37" i="20"/>
  <c r="N37" i="33" s="1"/>
  <c r="O50" i="17"/>
  <c r="O28" i="21"/>
  <c r="O28" i="23"/>
  <c r="N10" i="21"/>
  <c r="N10" i="20"/>
  <c r="N10" i="33" s="1"/>
  <c r="N10" i="23"/>
  <c r="N44" i="17"/>
  <c r="N14" i="20"/>
  <c r="DD455" i="16"/>
  <c r="M9" i="28"/>
  <c r="M9" i="29"/>
  <c r="CL108" i="16"/>
  <c r="BX108" i="16"/>
  <c r="CY109" i="16" s="1"/>
  <c r="BP108" i="16"/>
  <c r="N57" i="27"/>
  <c r="N57" i="29"/>
  <c r="O40" i="18"/>
  <c r="P55" i="13"/>
  <c r="O10" i="25"/>
  <c r="P38" i="13"/>
  <c r="P37" i="13"/>
  <c r="BS149" i="16"/>
  <c r="CT150" i="16" s="1"/>
  <c r="CI149" i="16"/>
  <c r="BM149" i="16"/>
  <c r="I53" i="27"/>
  <c r="I53" i="29"/>
  <c r="M32" i="27"/>
  <c r="M39" i="25"/>
  <c r="M22" i="20"/>
  <c r="I63" i="25"/>
  <c r="I73" i="18"/>
  <c r="I73" i="21"/>
  <c r="CI282" i="16"/>
  <c r="BS282" i="16"/>
  <c r="CT283" i="16" s="1"/>
  <c r="BM282" i="16"/>
  <c r="CR84" i="16"/>
  <c r="BQ84" i="16"/>
  <c r="DJ177" i="16"/>
  <c r="DK177" i="16"/>
  <c r="DD177" i="16"/>
  <c r="I52" i="25"/>
  <c r="I30" i="18"/>
  <c r="I30" i="21"/>
  <c r="O59" i="17"/>
  <c r="CU216" i="16"/>
  <c r="BT216" i="16"/>
  <c r="CR192" i="16"/>
  <c r="CR456" i="16" s="1"/>
  <c r="O61" i="20" s="1"/>
  <c r="O61" i="33" s="1"/>
  <c r="BQ192" i="16"/>
  <c r="BQ456" i="16" s="1"/>
  <c r="O43" i="20" s="1"/>
  <c r="O43" i="33" s="1"/>
  <c r="O64" i="18"/>
  <c r="M7" i="21"/>
  <c r="M7" i="23"/>
  <c r="M13" i="17"/>
  <c r="CV193" i="16"/>
  <c r="BU193" i="16"/>
  <c r="CU327" i="16"/>
  <c r="BT327" i="16"/>
  <c r="M66" i="21"/>
  <c r="M66" i="23"/>
  <c r="N50" i="28"/>
  <c r="N50" i="29"/>
  <c r="CI108" i="16"/>
  <c r="BS108" i="16"/>
  <c r="CT109" i="16" s="1"/>
  <c r="BM108" i="16"/>
  <c r="CV414" i="16"/>
  <c r="BU414" i="16"/>
  <c r="BV303" i="16"/>
  <c r="CW304" i="16" s="1"/>
  <c r="CK303" i="16"/>
  <c r="BO303" i="16"/>
  <c r="K16" i="28"/>
  <c r="K16" i="29"/>
  <c r="N47" i="23"/>
  <c r="N47" i="21"/>
  <c r="M36" i="27"/>
  <c r="CR17" i="16"/>
  <c r="O60" i="17"/>
  <c r="O29" i="23"/>
  <c r="O51" i="17"/>
  <c r="O29" i="21"/>
  <c r="CJ456" i="16"/>
  <c r="O31" i="20" s="1"/>
  <c r="O31" i="33" s="1"/>
  <c r="L47" i="28"/>
  <c r="L47" i="29"/>
  <c r="I39" i="28"/>
  <c r="I41" i="17"/>
  <c r="I39" i="29"/>
  <c r="M27" i="17"/>
  <c r="CU62" i="16"/>
  <c r="BT62" i="16"/>
  <c r="J50" i="10"/>
  <c r="J50" i="33" s="1"/>
  <c r="J33" i="10"/>
  <c r="I23" i="23"/>
  <c r="J36" i="28"/>
  <c r="J36" i="29"/>
  <c r="N45" i="28"/>
  <c r="N45" i="29"/>
  <c r="CR128" i="16"/>
  <c r="BQ128" i="16"/>
  <c r="BM370" i="16"/>
  <c r="BS370" i="16"/>
  <c r="CT371" i="16" s="1"/>
  <c r="CI370" i="16"/>
  <c r="CU151" i="16"/>
  <c r="BT151" i="16"/>
  <c r="H40" i="29"/>
  <c r="H40" i="27"/>
  <c r="H41" i="25"/>
  <c r="CU85" i="16"/>
  <c r="BT85" i="16"/>
  <c r="CQ17" i="16"/>
  <c r="CQ457" i="16" s="1"/>
  <c r="P59" i="20" s="1"/>
  <c r="BW17" i="16"/>
  <c r="BG456" i="16"/>
  <c r="O41" i="20" s="1"/>
  <c r="AV456" i="16"/>
  <c r="DJ16" i="16"/>
  <c r="DK16" i="16"/>
  <c r="BU17" i="16"/>
  <c r="CP17" i="16"/>
  <c r="CP457" i="16" s="1"/>
  <c r="P58" i="20" s="1"/>
  <c r="BF456" i="16"/>
  <c r="O40" i="20" s="1"/>
  <c r="BT17" i="16"/>
  <c r="BE456" i="16"/>
  <c r="CO17" i="16"/>
  <c r="CO457" i="16" s="1"/>
  <c r="P57" i="20" s="1"/>
  <c r="DE16" i="16"/>
  <c r="M44" i="28"/>
  <c r="M44" i="29"/>
  <c r="J65" i="17"/>
  <c r="I23" i="26"/>
  <c r="J40" i="10"/>
  <c r="J40" i="33" s="1"/>
  <c r="J57" i="10"/>
  <c r="J46" i="10"/>
  <c r="J46" i="33" s="1"/>
  <c r="J39" i="10"/>
  <c r="J39" i="33" s="1"/>
  <c r="I42" i="23"/>
  <c r="CR150" i="16"/>
  <c r="BQ150" i="16"/>
  <c r="CI214" i="16"/>
  <c r="BS214" i="16"/>
  <c r="CT215" i="16" s="1"/>
  <c r="BM214" i="16"/>
  <c r="I31" i="18"/>
  <c r="I31" i="21"/>
  <c r="CJ17" i="16"/>
  <c r="BR17" i="16"/>
  <c r="BN456" i="16"/>
  <c r="O18" i="20" s="1"/>
  <c r="O18" i="33" s="1"/>
  <c r="CU282" i="16"/>
  <c r="BT282" i="16"/>
  <c r="CR107" i="16"/>
  <c r="BQ107" i="16"/>
  <c r="CB109" i="16"/>
  <c r="DC108" i="16"/>
  <c r="CK456" i="16"/>
  <c r="O32" i="20" s="1"/>
  <c r="H21" i="26"/>
  <c r="H21" i="28" s="1"/>
  <c r="H26" i="26"/>
  <c r="H19" i="28"/>
  <c r="CR326" i="16"/>
  <c r="BQ326" i="16"/>
  <c r="CR392" i="16"/>
  <c r="BQ392" i="16"/>
  <c r="R7" i="10"/>
  <c r="Q8" i="26"/>
  <c r="R3" i="10"/>
  <c r="R12" i="10"/>
  <c r="Q9" i="26"/>
  <c r="R37" i="10"/>
  <c r="R25" i="10"/>
  <c r="L48" i="17"/>
  <c r="BW436" i="16"/>
  <c r="CX436" i="16"/>
  <c r="CJ63" i="16" l="1"/>
  <c r="DK199" i="16"/>
  <c r="DE199" i="16"/>
  <c r="DH198" i="16"/>
  <c r="DF199" i="16"/>
  <c r="DB109" i="16"/>
  <c r="BR63" i="16"/>
  <c r="CS64" i="16" s="1"/>
  <c r="DH131" i="16"/>
  <c r="DC199" i="16"/>
  <c r="R26" i="13"/>
  <c r="R5" i="13"/>
  <c r="S9" i="13" s="1"/>
  <c r="I56" i="21"/>
  <c r="J60" i="27"/>
  <c r="Q13" i="25"/>
  <c r="BO64" i="16"/>
  <c r="BV65" i="16" s="1"/>
  <c r="CW66" i="16" s="1"/>
  <c r="R9" i="13"/>
  <c r="R46" i="25" s="1"/>
  <c r="DI85" i="16"/>
  <c r="CH87" i="16"/>
  <c r="R4" i="13"/>
  <c r="R13" i="25" s="1"/>
  <c r="DI108" i="16"/>
  <c r="J62" i="25"/>
  <c r="J62" i="27" s="1"/>
  <c r="DK132" i="16"/>
  <c r="DJ86" i="16"/>
  <c r="I56" i="18"/>
  <c r="DH39" i="16"/>
  <c r="I53" i="31"/>
  <c r="BS41" i="16"/>
  <c r="CT42" i="16" s="1"/>
  <c r="BR64" i="16"/>
  <c r="CS65" i="16" s="1"/>
  <c r="R18" i="13"/>
  <c r="S31" i="13" s="1"/>
  <c r="J41" i="13"/>
  <c r="K59" i="13" s="1"/>
  <c r="R7" i="13"/>
  <c r="R7" i="31" s="1"/>
  <c r="I38" i="25"/>
  <c r="I38" i="27" s="1"/>
  <c r="J39" i="13"/>
  <c r="K40" i="13" s="1"/>
  <c r="DK86" i="16"/>
  <c r="R3" i="13"/>
  <c r="R3" i="31" s="1"/>
  <c r="Q10" i="18"/>
  <c r="BN64" i="16"/>
  <c r="CJ65" i="16" s="1"/>
  <c r="DJ132" i="16"/>
  <c r="M62" i="17"/>
  <c r="Q6" i="18"/>
  <c r="Q8" i="25"/>
  <c r="Q8" i="27" s="1"/>
  <c r="DE109" i="16"/>
  <c r="CI41" i="16"/>
  <c r="BW64" i="16"/>
  <c r="CX65" i="16" s="1"/>
  <c r="Q3" i="31"/>
  <c r="Q10" i="13"/>
  <c r="Q47" i="25" s="1"/>
  <c r="R12" i="13"/>
  <c r="R9" i="25" s="1"/>
  <c r="Q44" i="25"/>
  <c r="Q44" i="27" s="1"/>
  <c r="AG133" i="16"/>
  <c r="BA133" i="16" s="1"/>
  <c r="DB86" i="16"/>
  <c r="DE132" i="16"/>
  <c r="DI154" i="16"/>
  <c r="DK109" i="16"/>
  <c r="DB132" i="16"/>
  <c r="DG109" i="16"/>
  <c r="DH108" i="16"/>
  <c r="AM110" i="16"/>
  <c r="BG110" i="16" s="1"/>
  <c r="CQ111" i="16" s="1"/>
  <c r="DF109" i="16"/>
  <c r="AH110" i="16"/>
  <c r="BB110" i="16" s="1"/>
  <c r="Z110" i="16"/>
  <c r="AT110" i="16" s="1"/>
  <c r="CC111" i="16" s="1"/>
  <c r="Y87" i="16"/>
  <c r="AS87" i="16" s="1"/>
  <c r="Y133" i="16"/>
  <c r="AS133" i="16" s="1"/>
  <c r="CO133" i="16"/>
  <c r="DG86" i="16"/>
  <c r="DG132" i="16"/>
  <c r="AD110" i="16"/>
  <c r="AX110" i="16" s="1"/>
  <c r="CF111" i="16" s="1"/>
  <c r="CM87" i="16"/>
  <c r="AI133" i="16"/>
  <c r="BC133" i="16" s="1"/>
  <c r="AK133" i="16"/>
  <c r="BE133" i="16" s="1"/>
  <c r="DF155" i="16"/>
  <c r="DB155" i="16"/>
  <c r="AB110" i="16"/>
  <c r="AV110" i="16" s="1"/>
  <c r="DI131" i="16"/>
  <c r="CY86" i="16"/>
  <c r="BX86" i="16"/>
  <c r="DJ109" i="16"/>
  <c r="DC154" i="16"/>
  <c r="CB86" i="16"/>
  <c r="AL133" i="16"/>
  <c r="BF133" i="16" s="1"/>
  <c r="DF132" i="16"/>
  <c r="Q25" i="31"/>
  <c r="R25" i="13"/>
  <c r="R25" i="31" s="1"/>
  <c r="J69" i="31"/>
  <c r="I37" i="27"/>
  <c r="Q50" i="25"/>
  <c r="Q50" i="27" s="1"/>
  <c r="J72" i="21"/>
  <c r="Q46" i="25"/>
  <c r="Q15" i="18"/>
  <c r="R13" i="13"/>
  <c r="S26" i="13" s="1"/>
  <c r="J69" i="32"/>
  <c r="Q9" i="25"/>
  <c r="Q9" i="27" s="1"/>
  <c r="AC110" i="16"/>
  <c r="AW110" i="16" s="1"/>
  <c r="CE111" i="16" s="1"/>
  <c r="AE110" i="16"/>
  <c r="AY110" i="16" s="1"/>
  <c r="CG111" i="16" s="1"/>
  <c r="AG110" i="16"/>
  <c r="BA110" i="16" s="1"/>
  <c r="AO110" i="16"/>
  <c r="BI110" i="16" s="1"/>
  <c r="AK110" i="16"/>
  <c r="BE110" i="16" s="1"/>
  <c r="AB87" i="16"/>
  <c r="AV87" i="16" s="1"/>
  <c r="CF87" i="16"/>
  <c r="Z133" i="16"/>
  <c r="AT133" i="16" s="1"/>
  <c r="AA133" i="16"/>
  <c r="AU133" i="16" s="1"/>
  <c r="DD132" i="16"/>
  <c r="DH132" i="16" s="1"/>
  <c r="Y110" i="16"/>
  <c r="AJ110" i="16"/>
  <c r="BD110" i="16" s="1"/>
  <c r="CN111" i="16" s="1"/>
  <c r="AL110" i="16"/>
  <c r="BF110" i="16" s="1"/>
  <c r="CP111" i="16" s="1"/>
  <c r="AI110" i="16"/>
  <c r="BC110" i="16" s="1"/>
  <c r="CM111" i="16" s="1"/>
  <c r="DF86" i="16"/>
  <c r="AF87" i="16"/>
  <c r="AZ87" i="16" s="1"/>
  <c r="BP88" i="16" s="1"/>
  <c r="CM110" i="16"/>
  <c r="BN87" i="16"/>
  <c r="CJ88" i="16" s="1"/>
  <c r="AC133" i="16"/>
  <c r="AW133" i="16" s="1"/>
  <c r="AN133" i="16"/>
  <c r="BH133" i="16" s="1"/>
  <c r="AB133" i="16"/>
  <c r="AV133" i="16" s="1"/>
  <c r="DG155" i="16"/>
  <c r="CW457" i="16"/>
  <c r="P66" i="20" s="1"/>
  <c r="DI62" i="16"/>
  <c r="DE86" i="16"/>
  <c r="AC87" i="16"/>
  <c r="AW87" i="16" s="1"/>
  <c r="CE88" i="16" s="1"/>
  <c r="CK238" i="16"/>
  <c r="BV238" i="16"/>
  <c r="CW239" i="16" s="1"/>
  <c r="BO238" i="16"/>
  <c r="AM133" i="16"/>
  <c r="BG133" i="16" s="1"/>
  <c r="AE133" i="16"/>
  <c r="AY133" i="16" s="1"/>
  <c r="AH133" i="16"/>
  <c r="BB133" i="16" s="1"/>
  <c r="CM133" i="16"/>
  <c r="AN110" i="16"/>
  <c r="BH110" i="16" s="1"/>
  <c r="AA110" i="16"/>
  <c r="AU110" i="16" s="1"/>
  <c r="CD111" i="16" s="1"/>
  <c r="AF110" i="16"/>
  <c r="AZ110" i="16" s="1"/>
  <c r="AA87" i="16"/>
  <c r="AU87" i="16" s="1"/>
  <c r="CD88" i="16" s="1"/>
  <c r="CF133" i="16"/>
  <c r="DD109" i="16"/>
  <c r="CK41" i="16"/>
  <c r="AF133" i="16"/>
  <c r="AZ133" i="16" s="1"/>
  <c r="AO133" i="16"/>
  <c r="BI133" i="16" s="1"/>
  <c r="AJ133" i="16"/>
  <c r="BD133" i="16" s="1"/>
  <c r="AD133" i="16"/>
  <c r="AX133" i="16" s="1"/>
  <c r="K68" i="21"/>
  <c r="DD86" i="16"/>
  <c r="K68" i="18"/>
  <c r="K65" i="31"/>
  <c r="CK64" i="16"/>
  <c r="Z87" i="16"/>
  <c r="AT87" i="16" s="1"/>
  <c r="CC88" i="16" s="1"/>
  <c r="AI87" i="16"/>
  <c r="BC87" i="16" s="1"/>
  <c r="CM88" i="16" s="1"/>
  <c r="BX239" i="16"/>
  <c r="CY240" i="16" s="1"/>
  <c r="BP239" i="16"/>
  <c r="CL239" i="16"/>
  <c r="AK87" i="16"/>
  <c r="BE87" i="16" s="1"/>
  <c r="CO88" i="16" s="1"/>
  <c r="AO87" i="16"/>
  <c r="BI87" i="16" s="1"/>
  <c r="AD87" i="16"/>
  <c r="AX87" i="16" s="1"/>
  <c r="CF88" i="16" s="1"/>
  <c r="AL87" i="16"/>
  <c r="BF87" i="16" s="1"/>
  <c r="CP88" i="16" s="1"/>
  <c r="AH87" i="16"/>
  <c r="BB87" i="16" s="1"/>
  <c r="BR41" i="16"/>
  <c r="CS42" i="16" s="1"/>
  <c r="DI39" i="16"/>
  <c r="AG87" i="16"/>
  <c r="BA87" i="16" s="1"/>
  <c r="AM87" i="16"/>
  <c r="BG87" i="16" s="1"/>
  <c r="CQ88" i="16" s="1"/>
  <c r="AN87" i="16"/>
  <c r="BH87" i="16" s="1"/>
  <c r="CG64" i="16"/>
  <c r="AE87" i="16"/>
  <c r="AY87" i="16" s="1"/>
  <c r="CG88" i="16" s="1"/>
  <c r="AS86" i="16"/>
  <c r="DC86" i="16" s="1"/>
  <c r="AJ87" i="16"/>
  <c r="BD87" i="16" s="1"/>
  <c r="CN88" i="16" s="1"/>
  <c r="DC39" i="16"/>
  <c r="AL64" i="16"/>
  <c r="BF64" i="16" s="1"/>
  <c r="CP65" i="16" s="1"/>
  <c r="DD155" i="16"/>
  <c r="BN41" i="16"/>
  <c r="BR42" i="16" s="1"/>
  <c r="CS43" i="16" s="1"/>
  <c r="BX41" i="16"/>
  <c r="CY42" i="16" s="1"/>
  <c r="I38" i="23"/>
  <c r="DK40" i="16"/>
  <c r="P47" i="18"/>
  <c r="Q44" i="13"/>
  <c r="Q62" i="13"/>
  <c r="I54" i="26"/>
  <c r="I65" i="26" s="1"/>
  <c r="DC155" i="16"/>
  <c r="O58" i="28"/>
  <c r="BP41" i="16"/>
  <c r="CL42" i="16" s="1"/>
  <c r="P44" i="31"/>
  <c r="DJ155" i="16"/>
  <c r="DE155" i="16"/>
  <c r="CW436" i="16"/>
  <c r="BV436" i="16"/>
  <c r="I54" i="25"/>
  <c r="I65" i="25" s="1"/>
  <c r="BT41" i="16"/>
  <c r="CU42" i="16" s="1"/>
  <c r="BW41" i="16"/>
  <c r="CX42" i="16" s="1"/>
  <c r="BU41" i="16"/>
  <c r="CV42" i="16" s="1"/>
  <c r="DE63" i="16"/>
  <c r="CI130" i="16"/>
  <c r="BS130" i="16"/>
  <c r="CT131" i="16" s="1"/>
  <c r="BM130" i="16"/>
  <c r="Q43" i="10"/>
  <c r="P15" i="26"/>
  <c r="Q56" i="10"/>
  <c r="Q18" i="10"/>
  <c r="P5" i="31"/>
  <c r="P8" i="18"/>
  <c r="Q9" i="10"/>
  <c r="P30" i="26"/>
  <c r="P30" i="27" s="1"/>
  <c r="P58" i="26"/>
  <c r="P56" i="33"/>
  <c r="R50" i="26"/>
  <c r="CX457" i="16"/>
  <c r="P67" i="20" s="1"/>
  <c r="BM41" i="16"/>
  <c r="CI42" i="16" s="1"/>
  <c r="BO41" i="16"/>
  <c r="BV42" i="16" s="1"/>
  <c r="CW43" i="16" s="1"/>
  <c r="DK155" i="16"/>
  <c r="DG63" i="16"/>
  <c r="DJ63" i="16"/>
  <c r="O16" i="26"/>
  <c r="O13" i="27"/>
  <c r="P45" i="26"/>
  <c r="P45" i="27" s="1"/>
  <c r="P8" i="33"/>
  <c r="P11" i="18"/>
  <c r="P10" i="10"/>
  <c r="P8" i="31"/>
  <c r="P62" i="33"/>
  <c r="P62" i="31"/>
  <c r="P65" i="18"/>
  <c r="P46" i="26"/>
  <c r="P46" i="27" s="1"/>
  <c r="P9" i="33"/>
  <c r="P9" i="31"/>
  <c r="P12" i="18"/>
  <c r="CV107" i="16"/>
  <c r="BU107" i="16"/>
  <c r="BP261" i="16"/>
  <c r="BX261" i="16"/>
  <c r="CY262" i="16" s="1"/>
  <c r="CL261" i="16"/>
  <c r="Q63" i="10"/>
  <c r="Q61" i="10"/>
  <c r="P51" i="10"/>
  <c r="J70" i="10"/>
  <c r="J70" i="33" s="1"/>
  <c r="J57" i="33"/>
  <c r="DH199" i="16"/>
  <c r="AI41" i="16"/>
  <c r="BC41" i="16" s="1"/>
  <c r="CM42" i="16" s="1"/>
  <c r="DJ40" i="16"/>
  <c r="AD41" i="16"/>
  <c r="AX41" i="16" s="1"/>
  <c r="CV63" i="16"/>
  <c r="BU63" i="16"/>
  <c r="CV64" i="16" s="1"/>
  <c r="BU239" i="16"/>
  <c r="CV239" i="16"/>
  <c r="P4" i="31"/>
  <c r="Q8" i="10"/>
  <c r="Q5" i="10"/>
  <c r="P7" i="18"/>
  <c r="Q13" i="10"/>
  <c r="Q4" i="10"/>
  <c r="P13" i="26"/>
  <c r="P18" i="31"/>
  <c r="Q31" i="10"/>
  <c r="Q44" i="10"/>
  <c r="P21" i="18"/>
  <c r="J31" i="23"/>
  <c r="J28" i="33"/>
  <c r="O47" i="26"/>
  <c r="O10" i="31"/>
  <c r="O13" i="18"/>
  <c r="Q30" i="10"/>
  <c r="Q45" i="10"/>
  <c r="P21" i="10"/>
  <c r="O32" i="26"/>
  <c r="O39" i="26" s="1"/>
  <c r="J36" i="23"/>
  <c r="J33" i="33"/>
  <c r="CY458" i="16"/>
  <c r="Q68" i="20" s="1"/>
  <c r="BS64" i="16"/>
  <c r="CT65" i="16" s="1"/>
  <c r="AJ41" i="16"/>
  <c r="BD41" i="16" s="1"/>
  <c r="CN42" i="16" s="1"/>
  <c r="AF64" i="16"/>
  <c r="AZ64" i="16" s="1"/>
  <c r="R57" i="26"/>
  <c r="BM64" i="16"/>
  <c r="CI65" i="16" s="1"/>
  <c r="DB40" i="16"/>
  <c r="N48" i="26"/>
  <c r="N48" i="27" s="1"/>
  <c r="P51" i="26"/>
  <c r="P51" i="27" s="1"/>
  <c r="P26" i="33"/>
  <c r="P29" i="18"/>
  <c r="P26" i="31"/>
  <c r="P31" i="31"/>
  <c r="P34" i="18"/>
  <c r="P14" i="26"/>
  <c r="P14" i="27" s="1"/>
  <c r="P13" i="31"/>
  <c r="Q26" i="10"/>
  <c r="Q38" i="10"/>
  <c r="Q17" i="10"/>
  <c r="P16" i="18"/>
  <c r="DH154" i="16"/>
  <c r="O61" i="32"/>
  <c r="P25" i="32"/>
  <c r="M3" i="32"/>
  <c r="J19" i="32"/>
  <c r="J48" i="32"/>
  <c r="BN108" i="16"/>
  <c r="CJ108" i="16"/>
  <c r="BR108" i="16"/>
  <c r="CS109" i="16" s="1"/>
  <c r="O43" i="32"/>
  <c r="I35" i="32"/>
  <c r="BP327" i="16"/>
  <c r="CL327" i="16"/>
  <c r="BX327" i="16"/>
  <c r="CY328" i="16" s="1"/>
  <c r="O38" i="32"/>
  <c r="CQ64" i="16"/>
  <c r="P55" i="32"/>
  <c r="M45" i="32"/>
  <c r="J40" i="32"/>
  <c r="J50" i="32"/>
  <c r="O7" i="32"/>
  <c r="M17" i="32"/>
  <c r="CN64" i="16"/>
  <c r="I38" i="18"/>
  <c r="Y41" i="16"/>
  <c r="AS41" i="16" s="1"/>
  <c r="P9" i="32"/>
  <c r="P56" i="32"/>
  <c r="DE40" i="16"/>
  <c r="J32" i="32"/>
  <c r="I35" i="31"/>
  <c r="BP305" i="16"/>
  <c r="BX305" i="16"/>
  <c r="CY306" i="16" s="1"/>
  <c r="CL305" i="16"/>
  <c r="CY217" i="16"/>
  <c r="BX217" i="16"/>
  <c r="BX438" i="16"/>
  <c r="CY439" i="16" s="1"/>
  <c r="CL438" i="16"/>
  <c r="BP438" i="16"/>
  <c r="N10" i="32"/>
  <c r="N63" i="32"/>
  <c r="J46" i="32"/>
  <c r="J33" i="32"/>
  <c r="P8" i="32"/>
  <c r="P26" i="32"/>
  <c r="O44" i="32"/>
  <c r="J49" i="32"/>
  <c r="J28" i="32"/>
  <c r="J27" i="32"/>
  <c r="I22" i="32"/>
  <c r="CU261" i="16"/>
  <c r="BT261" i="16"/>
  <c r="BP393" i="16"/>
  <c r="CL393" i="16"/>
  <c r="BX393" i="16"/>
  <c r="CY394" i="16" s="1"/>
  <c r="O18" i="32"/>
  <c r="O31" i="32"/>
  <c r="N37" i="32"/>
  <c r="CN41" i="16"/>
  <c r="J57" i="32"/>
  <c r="O12" i="32"/>
  <c r="N30" i="32"/>
  <c r="O13" i="32"/>
  <c r="P62" i="32"/>
  <c r="L51" i="32"/>
  <c r="J41" i="32"/>
  <c r="J59" i="32"/>
  <c r="N4" i="32"/>
  <c r="J20" i="32"/>
  <c r="O5" i="32"/>
  <c r="Y64" i="16"/>
  <c r="AS64" i="16" s="1"/>
  <c r="L21" i="32"/>
  <c r="DG40" i="16"/>
  <c r="DB63" i="16"/>
  <c r="BP64" i="16"/>
  <c r="CL65" i="16" s="1"/>
  <c r="CK326" i="16"/>
  <c r="BO326" i="16"/>
  <c r="BV326" i="16"/>
  <c r="CW327" i="16" s="1"/>
  <c r="DH62" i="16"/>
  <c r="P61" i="31"/>
  <c r="DK63" i="16"/>
  <c r="CM41" i="16"/>
  <c r="P66" i="18"/>
  <c r="P63" i="31"/>
  <c r="AO41" i="16"/>
  <c r="BI41" i="16" s="1"/>
  <c r="AG41" i="16"/>
  <c r="BA41" i="16" s="1"/>
  <c r="AA41" i="16"/>
  <c r="AU41" i="16" s="1"/>
  <c r="CD42" i="16" s="1"/>
  <c r="Z64" i="16"/>
  <c r="AT64" i="16" s="1"/>
  <c r="CC65" i="16" s="1"/>
  <c r="AG64" i="16"/>
  <c r="BA64" i="16" s="1"/>
  <c r="O21" i="31"/>
  <c r="CJ392" i="16"/>
  <c r="BN392" i="16"/>
  <c r="BR392" i="16"/>
  <c r="CS393" i="16" s="1"/>
  <c r="BO194" i="16"/>
  <c r="BV194" i="16"/>
  <c r="CW195" i="16" s="1"/>
  <c r="CK194" i="16"/>
  <c r="CL173" i="16"/>
  <c r="BP173" i="16"/>
  <c r="BX173" i="16"/>
  <c r="CY174" i="16" s="1"/>
  <c r="CK260" i="16"/>
  <c r="BV260" i="16"/>
  <c r="CW261" i="16" s="1"/>
  <c r="BO260" i="16"/>
  <c r="BW348" i="16"/>
  <c r="CX348" i="16"/>
  <c r="BN216" i="16"/>
  <c r="CJ216" i="16"/>
  <c r="BR216" i="16"/>
  <c r="CS217" i="16" s="1"/>
  <c r="BQ416" i="16"/>
  <c r="CR416" i="16"/>
  <c r="DH177" i="16"/>
  <c r="BX64" i="16"/>
  <c r="CY65" i="16" s="1"/>
  <c r="P37" i="31"/>
  <c r="BQ41" i="16"/>
  <c r="CR42" i="16" s="1"/>
  <c r="DF40" i="16"/>
  <c r="J49" i="31"/>
  <c r="N15" i="29"/>
  <c r="J28" i="31"/>
  <c r="J27" i="31"/>
  <c r="CP41" i="16"/>
  <c r="AM41" i="16"/>
  <c r="BG41" i="16" s="1"/>
  <c r="AE41" i="16"/>
  <c r="AY41" i="16" s="1"/>
  <c r="CG42" i="16" s="1"/>
  <c r="AB41" i="16"/>
  <c r="AV41" i="16" s="1"/>
  <c r="AK41" i="16"/>
  <c r="BE41" i="16" s="1"/>
  <c r="CO42" i="16" s="1"/>
  <c r="AI64" i="16"/>
  <c r="BC64" i="16" s="1"/>
  <c r="CM65" i="16" s="1"/>
  <c r="AO64" i="16"/>
  <c r="BI64" i="16" s="1"/>
  <c r="AK64" i="16"/>
  <c r="BE64" i="16" s="1"/>
  <c r="CO65" i="16" s="1"/>
  <c r="AB64" i="16"/>
  <c r="AV64" i="16" s="1"/>
  <c r="AM64" i="16"/>
  <c r="BG64" i="16" s="1"/>
  <c r="P43" i="31"/>
  <c r="P45" i="31"/>
  <c r="DF63" i="16"/>
  <c r="I22" i="31"/>
  <c r="DD40" i="16"/>
  <c r="CX304" i="16"/>
  <c r="BW304" i="16"/>
  <c r="CS85" i="16"/>
  <c r="BR85" i="16"/>
  <c r="CI348" i="16"/>
  <c r="BM348" i="16"/>
  <c r="BS348" i="16"/>
  <c r="CT349" i="16" s="1"/>
  <c r="CL283" i="16"/>
  <c r="BP283" i="16"/>
  <c r="BX283" i="16"/>
  <c r="CY284" i="16" s="1"/>
  <c r="BT371" i="16"/>
  <c r="CU371" i="16"/>
  <c r="BT415" i="16"/>
  <c r="CU415" i="16"/>
  <c r="CR371" i="16"/>
  <c r="BQ371" i="16"/>
  <c r="CV86" i="16"/>
  <c r="BU86" i="16"/>
  <c r="CU436" i="16"/>
  <c r="BT436" i="16"/>
  <c r="CX260" i="16"/>
  <c r="BW260" i="16"/>
  <c r="CV173" i="16"/>
  <c r="BU173" i="16"/>
  <c r="BO283" i="16"/>
  <c r="BV283" i="16"/>
  <c r="CW284" i="16" s="1"/>
  <c r="CK283" i="16"/>
  <c r="CW129" i="16"/>
  <c r="BV129" i="16"/>
  <c r="CU108" i="16"/>
  <c r="BT108" i="16"/>
  <c r="J46" i="31"/>
  <c r="J33" i="31"/>
  <c r="J19" i="31"/>
  <c r="P56" i="31"/>
  <c r="J48" i="31"/>
  <c r="CX393" i="16"/>
  <c r="BW393" i="16"/>
  <c r="BW151" i="16"/>
  <c r="CX151" i="16"/>
  <c r="BW414" i="16"/>
  <c r="CX414" i="16"/>
  <c r="CV260" i="16"/>
  <c r="BU260" i="16"/>
  <c r="CU304" i="16"/>
  <c r="BT304" i="16"/>
  <c r="CX238" i="16"/>
  <c r="BW238" i="16"/>
  <c r="CU238" i="16"/>
  <c r="BT238" i="16"/>
  <c r="BP219" i="16"/>
  <c r="CL219" i="16"/>
  <c r="CL415" i="16"/>
  <c r="BX415" i="16"/>
  <c r="CY416" i="16" s="1"/>
  <c r="BP415" i="16"/>
  <c r="BO172" i="16"/>
  <c r="CK172" i="16"/>
  <c r="BV172" i="16"/>
  <c r="CW173" i="16" s="1"/>
  <c r="P55" i="31"/>
  <c r="J57" i="31"/>
  <c r="O51" i="31"/>
  <c r="AC41" i="16"/>
  <c r="AW41" i="16" s="1"/>
  <c r="CE42" i="16" s="1"/>
  <c r="AL41" i="16"/>
  <c r="BF41" i="16" s="1"/>
  <c r="AJ64" i="16"/>
  <c r="BD64" i="16" s="1"/>
  <c r="CN65" i="16" s="1"/>
  <c r="AN64" i="16"/>
  <c r="BH64" i="16" s="1"/>
  <c r="J32" i="31"/>
  <c r="CV327" i="16"/>
  <c r="BU327" i="16"/>
  <c r="CX195" i="16"/>
  <c r="BW195" i="16"/>
  <c r="CV370" i="16"/>
  <c r="BU370" i="16"/>
  <c r="DI16" i="16"/>
  <c r="P38" i="31"/>
  <c r="J40" i="31"/>
  <c r="J50" i="31"/>
  <c r="DD63" i="16"/>
  <c r="CU457" i="16"/>
  <c r="P64" i="20" s="1"/>
  <c r="J41" i="31"/>
  <c r="J59" i="31"/>
  <c r="DI109" i="16"/>
  <c r="J20" i="31"/>
  <c r="DI177" i="16"/>
  <c r="Z41" i="16"/>
  <c r="AT41" i="16" s="1"/>
  <c r="CC42" i="16" s="1"/>
  <c r="AN41" i="16"/>
  <c r="BH41" i="16" s="1"/>
  <c r="AF41" i="16"/>
  <c r="AZ41" i="16" s="1"/>
  <c r="AH41" i="16"/>
  <c r="BB41" i="16" s="1"/>
  <c r="AD64" i="16"/>
  <c r="AX64" i="16" s="1"/>
  <c r="CF65" i="16" s="1"/>
  <c r="AH64" i="16"/>
  <c r="BB64" i="16" s="1"/>
  <c r="AA64" i="16"/>
  <c r="AU64" i="16" s="1"/>
  <c r="AE64" i="16"/>
  <c r="AY64" i="16" s="1"/>
  <c r="CG65" i="16" s="1"/>
  <c r="AC64" i="16"/>
  <c r="AW64" i="16" s="1"/>
  <c r="CE65" i="16" s="1"/>
  <c r="P17" i="31"/>
  <c r="P30" i="31"/>
  <c r="CV348" i="16"/>
  <c r="BU348" i="16"/>
  <c r="BT172" i="16"/>
  <c r="CU172" i="16"/>
  <c r="BU437" i="16"/>
  <c r="CV437" i="16"/>
  <c r="CJ304" i="16"/>
  <c r="BR304" i="16"/>
  <c r="CS305" i="16" s="1"/>
  <c r="BN304" i="16"/>
  <c r="CK349" i="16"/>
  <c r="BV349" i="16"/>
  <c r="CW350" i="16" s="1"/>
  <c r="BO349" i="16"/>
  <c r="CU392" i="16"/>
  <c r="BT392" i="16"/>
  <c r="S7" i="10"/>
  <c r="S3" i="10"/>
  <c r="R8" i="26"/>
  <c r="S12" i="10"/>
  <c r="CR327" i="16"/>
  <c r="BQ327" i="16"/>
  <c r="CS18" i="16"/>
  <c r="CS458" i="16" s="1"/>
  <c r="Q62" i="20" s="1"/>
  <c r="Q62" i="33" s="1"/>
  <c r="BR457" i="16"/>
  <c r="P44" i="20" s="1"/>
  <c r="P44" i="33" s="1"/>
  <c r="CI215" i="16"/>
  <c r="BS215" i="16"/>
  <c r="CT216" i="16" s="1"/>
  <c r="BM215" i="16"/>
  <c r="K58" i="10"/>
  <c r="K58" i="33" s="1"/>
  <c r="K47" i="10"/>
  <c r="K47" i="33" s="1"/>
  <c r="J43" i="23"/>
  <c r="O39" i="20"/>
  <c r="DE456" i="16"/>
  <c r="BU457" i="16"/>
  <c r="P47" i="20" s="1"/>
  <c r="CV18" i="16"/>
  <c r="DJ456" i="16"/>
  <c r="CU63" i="16"/>
  <c r="BT63" i="16"/>
  <c r="O34" i="23"/>
  <c r="O34" i="21"/>
  <c r="CU217" i="16"/>
  <c r="BT217" i="16"/>
  <c r="I52" i="29"/>
  <c r="I52" i="27"/>
  <c r="CR85" i="16"/>
  <c r="BQ85" i="16"/>
  <c r="I63" i="27"/>
  <c r="I63" i="29"/>
  <c r="I64" i="25"/>
  <c r="CI150" i="16"/>
  <c r="BS150" i="16"/>
  <c r="CT151" i="16" s="1"/>
  <c r="BM150" i="16"/>
  <c r="M48" i="21"/>
  <c r="M48" i="23"/>
  <c r="M51" i="20"/>
  <c r="M51" i="33" s="1"/>
  <c r="J59" i="25"/>
  <c r="J60" i="18"/>
  <c r="J60" i="21"/>
  <c r="O45" i="28"/>
  <c r="O45" i="29"/>
  <c r="K68" i="13"/>
  <c r="J53" i="18"/>
  <c r="J53" i="21"/>
  <c r="BS392" i="16"/>
  <c r="CT393" i="16" s="1"/>
  <c r="BM392" i="16"/>
  <c r="CI392" i="16"/>
  <c r="P11" i="21"/>
  <c r="P11" i="23"/>
  <c r="P45" i="17"/>
  <c r="CK65" i="16"/>
  <c r="BS455" i="16"/>
  <c r="N45" i="20" s="1"/>
  <c r="N45" i="33" s="1"/>
  <c r="CT16" i="16"/>
  <c r="CT456" i="16" s="1"/>
  <c r="O63" i="20" s="1"/>
  <c r="O63" i="33" s="1"/>
  <c r="I21" i="26"/>
  <c r="I21" i="28" s="1"/>
  <c r="I26" i="26"/>
  <c r="I19" i="28"/>
  <c r="BR150" i="16"/>
  <c r="CS151" i="16" s="1"/>
  <c r="CJ150" i="16"/>
  <c r="BN150" i="16"/>
  <c r="H27" i="27"/>
  <c r="H27" i="29"/>
  <c r="O16" i="23"/>
  <c r="O14" i="17"/>
  <c r="O16" i="21"/>
  <c r="P58" i="23"/>
  <c r="P57" i="17"/>
  <c r="P57" i="28" s="1"/>
  <c r="P58" i="21"/>
  <c r="CK371" i="16"/>
  <c r="BO371" i="16"/>
  <c r="BV371" i="16"/>
  <c r="CW372" i="16" s="1"/>
  <c r="L36" i="17"/>
  <c r="L53" i="20"/>
  <c r="L54" i="23"/>
  <c r="L54" i="21"/>
  <c r="CJ194" i="16"/>
  <c r="BR194" i="16"/>
  <c r="CS195" i="16" s="1"/>
  <c r="BN194" i="16"/>
  <c r="K67" i="10"/>
  <c r="J52" i="23"/>
  <c r="CV130" i="16"/>
  <c r="BU130" i="16"/>
  <c r="CV304" i="16"/>
  <c r="BU304" i="16"/>
  <c r="J31" i="18"/>
  <c r="J31" i="21"/>
  <c r="CK108" i="16"/>
  <c r="BV108" i="16"/>
  <c r="CW109" i="16" s="1"/>
  <c r="BO108" i="16"/>
  <c r="I33" i="26"/>
  <c r="I23" i="10"/>
  <c r="I23" i="33" s="1"/>
  <c r="I25" i="23"/>
  <c r="BV216" i="16"/>
  <c r="CW217" i="16" s="1"/>
  <c r="CK216" i="16"/>
  <c r="BO216" i="16"/>
  <c r="CR173" i="16"/>
  <c r="BQ173" i="16"/>
  <c r="AT457" i="16"/>
  <c r="DB17" i="16"/>
  <c r="CC18" i="16"/>
  <c r="CC458" i="16" s="1"/>
  <c r="Q8" i="20" s="1"/>
  <c r="BQ349" i="16"/>
  <c r="CR349" i="16"/>
  <c r="H55" i="29"/>
  <c r="H55" i="27"/>
  <c r="H65" i="27"/>
  <c r="H65" i="29"/>
  <c r="H66" i="25"/>
  <c r="M10" i="28"/>
  <c r="M10" i="29"/>
  <c r="H28" i="25"/>
  <c r="H26" i="27"/>
  <c r="H26" i="29"/>
  <c r="BW327" i="16"/>
  <c r="CX327" i="16"/>
  <c r="M25" i="17"/>
  <c r="O24" i="18"/>
  <c r="O32" i="25"/>
  <c r="CK438" i="16"/>
  <c r="BO438" i="16"/>
  <c r="BX18" i="16"/>
  <c r="CY19" i="16" s="1"/>
  <c r="BP457" i="16"/>
  <c r="CL18" i="16"/>
  <c r="CL458" i="16" s="1"/>
  <c r="Q33" i="20" s="1"/>
  <c r="BV415" i="16"/>
  <c r="CW416" i="16" s="1"/>
  <c r="CK415" i="16"/>
  <c r="BO415" i="16"/>
  <c r="N9" i="28"/>
  <c r="N9" i="29"/>
  <c r="BW437" i="16"/>
  <c r="CX437" i="16"/>
  <c r="R51" i="25"/>
  <c r="R44" i="26"/>
  <c r="CU283" i="16"/>
  <c r="BT283" i="16"/>
  <c r="J23" i="26"/>
  <c r="K57" i="10"/>
  <c r="K57" i="33" s="1"/>
  <c r="K40" i="10"/>
  <c r="K40" i="33" s="1"/>
  <c r="K46" i="10"/>
  <c r="K46" i="33" s="1"/>
  <c r="J42" i="23"/>
  <c r="DK17" i="16"/>
  <c r="CU18" i="16"/>
  <c r="BT457" i="16"/>
  <c r="P46" i="20" s="1"/>
  <c r="CU152" i="16"/>
  <c r="BT152" i="16"/>
  <c r="M33" i="17"/>
  <c r="O10" i="27"/>
  <c r="O11" i="25"/>
  <c r="N44" i="28"/>
  <c r="N44" i="29"/>
  <c r="BT349" i="16"/>
  <c r="CU349" i="16"/>
  <c r="P64" i="18"/>
  <c r="J36" i="18"/>
  <c r="J36" i="21"/>
  <c r="K65" i="17"/>
  <c r="N33" i="21"/>
  <c r="N33" i="23"/>
  <c r="N34" i="20"/>
  <c r="BS326" i="16"/>
  <c r="CT327" i="16" s="1"/>
  <c r="BM326" i="16"/>
  <c r="CI326" i="16"/>
  <c r="J24" i="25"/>
  <c r="CX130" i="16"/>
  <c r="BW130" i="16"/>
  <c r="K50" i="13"/>
  <c r="K33" i="13"/>
  <c r="J23" i="18"/>
  <c r="J23" i="21"/>
  <c r="P48" i="25"/>
  <c r="M53" i="17"/>
  <c r="M35" i="20"/>
  <c r="P46" i="17"/>
  <c r="P12" i="21"/>
  <c r="P12" i="23"/>
  <c r="CF18" i="16"/>
  <c r="CF458" i="16" s="1"/>
  <c r="Q26" i="20" s="1"/>
  <c r="AX457" i="16"/>
  <c r="P13" i="20" s="1"/>
  <c r="P13" i="33" s="1"/>
  <c r="AV457" i="16"/>
  <c r="DJ17" i="16"/>
  <c r="AA18" i="16"/>
  <c r="AU18" i="16" s="1"/>
  <c r="AD18" i="16"/>
  <c r="AX18" i="16" s="1"/>
  <c r="AK18" i="16"/>
  <c r="BE18" i="16" s="1"/>
  <c r="AG18" i="16"/>
  <c r="BA18" i="16" s="1"/>
  <c r="BA458" i="16" s="1"/>
  <c r="AS17" i="16"/>
  <c r="AE18" i="16"/>
  <c r="AY18" i="16" s="1"/>
  <c r="AL18" i="16"/>
  <c r="BF18" i="16" s="1"/>
  <c r="AH18" i="16"/>
  <c r="BB18" i="16" s="1"/>
  <c r="BB458" i="16" s="1"/>
  <c r="AC18" i="16"/>
  <c r="AW18" i="16" s="1"/>
  <c r="AO18" i="16"/>
  <c r="BI18" i="16" s="1"/>
  <c r="BI458" i="16" s="1"/>
  <c r="Z18" i="16"/>
  <c r="AT18" i="16" s="1"/>
  <c r="Y18" i="16"/>
  <c r="AF18" i="16"/>
  <c r="AZ18" i="16" s="1"/>
  <c r="AM18" i="16"/>
  <c r="BG18" i="16" s="1"/>
  <c r="AJ18" i="16"/>
  <c r="BD18" i="16" s="1"/>
  <c r="AB18" i="16"/>
  <c r="AV18" i="16" s="1"/>
  <c r="AI18" i="16"/>
  <c r="BC18" i="16" s="1"/>
  <c r="AN18" i="16"/>
  <c r="BH18" i="16" s="1"/>
  <c r="BH458" i="16" s="1"/>
  <c r="DC63" i="16"/>
  <c r="CB64" i="16"/>
  <c r="K50" i="10"/>
  <c r="K50" i="33" s="1"/>
  <c r="K33" i="10"/>
  <c r="J23" i="23"/>
  <c r="Q63" i="13"/>
  <c r="P48" i="18"/>
  <c r="CX85" i="16"/>
  <c r="BW85" i="16"/>
  <c r="CR283" i="16"/>
  <c r="BQ283" i="16"/>
  <c r="I33" i="25"/>
  <c r="I25" i="18"/>
  <c r="I23" i="13"/>
  <c r="I25" i="21"/>
  <c r="L48" i="28"/>
  <c r="L48" i="29"/>
  <c r="Q11" i="26"/>
  <c r="CR393" i="16"/>
  <c r="BQ393" i="16"/>
  <c r="CB110" i="16"/>
  <c r="DC109" i="16"/>
  <c r="CR108" i="16"/>
  <c r="BQ108" i="16"/>
  <c r="CR151" i="16"/>
  <c r="BQ151" i="16"/>
  <c r="K64" i="10"/>
  <c r="K64" i="33" s="1"/>
  <c r="J52" i="10"/>
  <c r="J52" i="33" s="1"/>
  <c r="J49" i="23"/>
  <c r="K55" i="17"/>
  <c r="BW457" i="16"/>
  <c r="P49" i="20" s="1"/>
  <c r="CX18" i="16"/>
  <c r="H41" i="29"/>
  <c r="H41" i="27"/>
  <c r="CR129" i="16"/>
  <c r="BQ129" i="16"/>
  <c r="O51" i="28"/>
  <c r="O51" i="29"/>
  <c r="CR193" i="16"/>
  <c r="CR457" i="16" s="1"/>
  <c r="P61" i="20" s="1"/>
  <c r="P61" i="32" s="1"/>
  <c r="BQ193" i="16"/>
  <c r="DI199" i="16"/>
  <c r="M39" i="27"/>
  <c r="P58" i="18"/>
  <c r="P57" i="25"/>
  <c r="CL109" i="16"/>
  <c r="BX109" i="16"/>
  <c r="CY110" i="16" s="1"/>
  <c r="BP109" i="16"/>
  <c r="K47" i="13"/>
  <c r="K58" i="13"/>
  <c r="J43" i="18"/>
  <c r="J43" i="21"/>
  <c r="CX372" i="16"/>
  <c r="BW372" i="16"/>
  <c r="O54" i="18"/>
  <c r="O36" i="25"/>
  <c r="N32" i="27"/>
  <c r="N39" i="25"/>
  <c r="P28" i="21"/>
  <c r="P50" i="17"/>
  <c r="P28" i="23"/>
  <c r="CX173" i="16"/>
  <c r="BW173" i="16"/>
  <c r="CX217" i="16"/>
  <c r="BW217" i="16"/>
  <c r="M6" i="23"/>
  <c r="M8" i="17"/>
  <c r="M6" i="21"/>
  <c r="BM455" i="16"/>
  <c r="N17" i="20" s="1"/>
  <c r="N17" i="33" s="1"/>
  <c r="BS16" i="16"/>
  <c r="CI16" i="16"/>
  <c r="CI456" i="16" s="1"/>
  <c r="O30" i="20" s="1"/>
  <c r="O30" i="33" s="1"/>
  <c r="BM16" i="16"/>
  <c r="I76" i="23"/>
  <c r="I78" i="23" s="1"/>
  <c r="M47" i="28"/>
  <c r="M47" i="29"/>
  <c r="M48" i="17"/>
  <c r="O15" i="17"/>
  <c r="O15" i="28" s="1"/>
  <c r="O41" i="23"/>
  <c r="O41" i="21"/>
  <c r="CV392" i="16"/>
  <c r="BU392" i="16"/>
  <c r="BS414" i="16"/>
  <c r="CT415" i="16" s="1"/>
  <c r="CI414" i="16"/>
  <c r="BM414" i="16"/>
  <c r="N37" i="17"/>
  <c r="CR63" i="16"/>
  <c r="BQ63" i="16"/>
  <c r="DI455" i="16"/>
  <c r="L63" i="17"/>
  <c r="I24" i="27"/>
  <c r="I24" i="29"/>
  <c r="BR282" i="16"/>
  <c r="CS283" i="16" s="1"/>
  <c r="CJ282" i="16"/>
  <c r="BN282" i="16"/>
  <c r="J61" i="26"/>
  <c r="J61" i="28" s="1"/>
  <c r="J62" i="23"/>
  <c r="CU129" i="16"/>
  <c r="BT129" i="16"/>
  <c r="O20" i="20"/>
  <c r="BX457" i="16"/>
  <c r="P50" i="20" s="1"/>
  <c r="J66" i="17"/>
  <c r="I76" i="21"/>
  <c r="I78" i="21" s="1"/>
  <c r="J52" i="25"/>
  <c r="J30" i="18"/>
  <c r="J30" i="21"/>
  <c r="H66" i="26"/>
  <c r="H66" i="28" s="1"/>
  <c r="H65" i="28"/>
  <c r="J70" i="13"/>
  <c r="BR238" i="16"/>
  <c r="CS239" i="16" s="1"/>
  <c r="CJ238" i="16"/>
  <c r="BN238" i="16"/>
  <c r="CB41" i="16"/>
  <c r="DC40" i="16"/>
  <c r="CF42" i="16"/>
  <c r="K66" i="10"/>
  <c r="J51" i="23"/>
  <c r="CJ132" i="16"/>
  <c r="BR132" i="16"/>
  <c r="CS133" i="16" s="1"/>
  <c r="BN132" i="16"/>
  <c r="CX283" i="16"/>
  <c r="BW283" i="16"/>
  <c r="BN457" i="16"/>
  <c r="P18" i="20" s="1"/>
  <c r="P18" i="33" s="1"/>
  <c r="CJ18" i="16"/>
  <c r="BR18" i="16"/>
  <c r="CO18" i="16"/>
  <c r="CO458" i="16" s="1"/>
  <c r="Q57" i="20" s="1"/>
  <c r="DE17" i="16"/>
  <c r="BT18" i="16"/>
  <c r="BE457" i="16"/>
  <c r="CD18" i="16"/>
  <c r="CD458" i="16" s="1"/>
  <c r="Q9" i="20" s="1"/>
  <c r="AU457" i="16"/>
  <c r="P5" i="20" s="1"/>
  <c r="P5" i="33" s="1"/>
  <c r="BN18" i="16"/>
  <c r="BD457" i="16"/>
  <c r="P38" i="20" s="1"/>
  <c r="P38" i="33" s="1"/>
  <c r="BQ18" i="16"/>
  <c r="CN18" i="16"/>
  <c r="CN458" i="16" s="1"/>
  <c r="Q56" i="20" s="1"/>
  <c r="BG457" i="16"/>
  <c r="P41" i="20" s="1"/>
  <c r="BW18" i="16"/>
  <c r="CQ18" i="16"/>
  <c r="CQ458" i="16" s="1"/>
  <c r="Q59" i="20" s="1"/>
  <c r="BS261" i="16"/>
  <c r="CT262" i="16" s="1"/>
  <c r="CI261" i="16"/>
  <c r="BM261" i="16"/>
  <c r="BR414" i="16"/>
  <c r="CS415" i="16" s="1"/>
  <c r="CJ414" i="16"/>
  <c r="BN414" i="16"/>
  <c r="O57" i="27"/>
  <c r="O57" i="29"/>
  <c r="O15" i="27"/>
  <c r="O16" i="25"/>
  <c r="CW18" i="16"/>
  <c r="BV457" i="16"/>
  <c r="P48" i="20" s="1"/>
  <c r="BS42" i="16"/>
  <c r="CT43" i="16" s="1"/>
  <c r="R45" i="25"/>
  <c r="Q45" i="13"/>
  <c r="Q30" i="13"/>
  <c r="P21" i="13"/>
  <c r="P20" i="18"/>
  <c r="Q17" i="13"/>
  <c r="P33" i="18"/>
  <c r="BV18" i="16"/>
  <c r="BO457" i="16"/>
  <c r="P19" i="20" s="1"/>
  <c r="CK18" i="16"/>
  <c r="BQ437" i="16"/>
  <c r="CR437" i="16"/>
  <c r="CI173" i="16"/>
  <c r="BS173" i="16"/>
  <c r="CT174" i="16" s="1"/>
  <c r="BM173" i="16"/>
  <c r="CK132" i="16"/>
  <c r="BO132" i="16"/>
  <c r="BV304" i="16"/>
  <c r="CW305" i="16" s="1"/>
  <c r="CK304" i="16"/>
  <c r="BO304" i="16"/>
  <c r="CU328" i="16"/>
  <c r="BT328" i="16"/>
  <c r="Q43" i="13"/>
  <c r="P41" i="18"/>
  <c r="P15" i="25"/>
  <c r="Q56" i="13"/>
  <c r="N19" i="17"/>
  <c r="N40" i="21"/>
  <c r="N10" i="17"/>
  <c r="N40" i="23"/>
  <c r="N3" i="20"/>
  <c r="N3" i="33" s="1"/>
  <c r="DC455" i="16"/>
  <c r="N14" i="28"/>
  <c r="N14" i="29"/>
  <c r="BX130" i="16"/>
  <c r="CY131" i="16" s="1"/>
  <c r="CL130" i="16"/>
  <c r="BP130" i="16"/>
  <c r="L8" i="28"/>
  <c r="L11" i="17"/>
  <c r="L8" i="29"/>
  <c r="BR262" i="16"/>
  <c r="CS263" i="16" s="1"/>
  <c r="CJ262" i="16"/>
  <c r="BN262" i="16"/>
  <c r="CR239" i="16"/>
  <c r="BQ239" i="16"/>
  <c r="P58" i="17"/>
  <c r="P59" i="23"/>
  <c r="P59" i="21"/>
  <c r="P65" i="21"/>
  <c r="P65" i="23"/>
  <c r="K67" i="13"/>
  <c r="J52" i="18"/>
  <c r="J52" i="21"/>
  <c r="N13" i="17"/>
  <c r="N7" i="23"/>
  <c r="N7" i="21"/>
  <c r="K59" i="10"/>
  <c r="K59" i="33" s="1"/>
  <c r="K49" i="10"/>
  <c r="K49" i="33" s="1"/>
  <c r="J24" i="26"/>
  <c r="J24" i="28" s="1"/>
  <c r="J44" i="23"/>
  <c r="CV457" i="16"/>
  <c r="P65" i="20" s="1"/>
  <c r="K48" i="13"/>
  <c r="K32" i="13"/>
  <c r="J22" i="13"/>
  <c r="J22" i="18"/>
  <c r="J22" i="21"/>
  <c r="K32" i="28"/>
  <c r="K32" i="29"/>
  <c r="K39" i="17"/>
  <c r="BX372" i="16"/>
  <c r="CY373" i="16" s="1"/>
  <c r="BP372" i="16"/>
  <c r="CL372" i="16"/>
  <c r="CP18" i="16"/>
  <c r="CP458" i="16" s="1"/>
  <c r="Q58" i="20" s="1"/>
  <c r="BF457" i="16"/>
  <c r="P40" i="20" s="1"/>
  <c r="BU18" i="16"/>
  <c r="AZ457" i="16"/>
  <c r="P15" i="20" s="1"/>
  <c r="BP18" i="16"/>
  <c r="CH18" i="16"/>
  <c r="CH458" i="16" s="1"/>
  <c r="Q28" i="20" s="1"/>
  <c r="K11" i="28"/>
  <c r="K11" i="29"/>
  <c r="BP350" i="16"/>
  <c r="CL350" i="16"/>
  <c r="BX350" i="16"/>
  <c r="CY351" i="16" s="1"/>
  <c r="K38" i="17"/>
  <c r="I27" i="26"/>
  <c r="I27" i="28" s="1"/>
  <c r="I20" i="28"/>
  <c r="BM437" i="16"/>
  <c r="CI437" i="16"/>
  <c r="BS437" i="16"/>
  <c r="CT438" i="16" s="1"/>
  <c r="O14" i="20"/>
  <c r="DD456" i="16"/>
  <c r="L54" i="17"/>
  <c r="N27" i="17"/>
  <c r="J35" i="18"/>
  <c r="J34" i="13"/>
  <c r="J35" i="21"/>
  <c r="L32" i="17"/>
  <c r="L24" i="21"/>
  <c r="L24" i="23"/>
  <c r="L23" i="20"/>
  <c r="CJ457" i="16"/>
  <c r="P31" i="20" s="1"/>
  <c r="P31" i="33" s="1"/>
  <c r="I25" i="26"/>
  <c r="I25" i="28" s="1"/>
  <c r="I23" i="28"/>
  <c r="O24" i="17"/>
  <c r="BS371" i="16"/>
  <c r="CT372" i="16" s="1"/>
  <c r="BM371" i="16"/>
  <c r="CI371" i="16"/>
  <c r="M16" i="17"/>
  <c r="M13" i="28"/>
  <c r="M13" i="29"/>
  <c r="N66" i="21"/>
  <c r="N66" i="23"/>
  <c r="I25" i="25"/>
  <c r="I23" i="27"/>
  <c r="I23" i="29"/>
  <c r="O15" i="23"/>
  <c r="O15" i="21"/>
  <c r="O9" i="17"/>
  <c r="CL151" i="16"/>
  <c r="BX151" i="16"/>
  <c r="CY152" i="16" s="1"/>
  <c r="BP151" i="16"/>
  <c r="CX109" i="16"/>
  <c r="BW109" i="16"/>
  <c r="CJ174" i="16"/>
  <c r="BR174" i="16"/>
  <c r="CS175" i="16" s="1"/>
  <c r="BN174" i="16"/>
  <c r="J52" i="26"/>
  <c r="J52" i="28" s="1"/>
  <c r="J30" i="23"/>
  <c r="M63" i="17"/>
  <c r="N23" i="17"/>
  <c r="CR261" i="16"/>
  <c r="BQ261" i="16"/>
  <c r="J61" i="25"/>
  <c r="J62" i="18"/>
  <c r="J62" i="21"/>
  <c r="CI303" i="16"/>
  <c r="BM303" i="16"/>
  <c r="BS303" i="16"/>
  <c r="CT304" i="16" s="1"/>
  <c r="CU194" i="16"/>
  <c r="BT194" i="16"/>
  <c r="CV283" i="16"/>
  <c r="BU283" i="16"/>
  <c r="CL197" i="16"/>
  <c r="BX197" i="16"/>
  <c r="CY198" i="16" s="1"/>
  <c r="BP197" i="16"/>
  <c r="K34" i="17"/>
  <c r="K6" i="17"/>
  <c r="DC132" i="16"/>
  <c r="CB133" i="16"/>
  <c r="N11" i="27"/>
  <c r="CR217" i="16"/>
  <c r="BQ217" i="16"/>
  <c r="CI85" i="16"/>
  <c r="BS85" i="16"/>
  <c r="CT86" i="16" s="1"/>
  <c r="BM85" i="16"/>
  <c r="H21" i="27"/>
  <c r="H21" i="29"/>
  <c r="P46" i="18"/>
  <c r="P51" i="13"/>
  <c r="Q61" i="13"/>
  <c r="P52" i="17"/>
  <c r="O64" i="23"/>
  <c r="O64" i="21"/>
  <c r="BV392" i="16"/>
  <c r="CW393" i="16" s="1"/>
  <c r="BO392" i="16"/>
  <c r="CK392" i="16"/>
  <c r="N69" i="20"/>
  <c r="S55" i="10"/>
  <c r="R10" i="26"/>
  <c r="R9" i="26"/>
  <c r="S25" i="10"/>
  <c r="S37" i="10"/>
  <c r="H28" i="26"/>
  <c r="H28" i="28" s="1"/>
  <c r="H26" i="28"/>
  <c r="O21" i="23"/>
  <c r="O21" i="21"/>
  <c r="J59" i="26"/>
  <c r="J59" i="28" s="1"/>
  <c r="J60" i="23"/>
  <c r="P59" i="17"/>
  <c r="P60" i="17"/>
  <c r="P61" i="17"/>
  <c r="CU86" i="16"/>
  <c r="BT86" i="16"/>
  <c r="K68" i="10"/>
  <c r="J53" i="23"/>
  <c r="O46" i="23"/>
  <c r="O46" i="21"/>
  <c r="CV415" i="16"/>
  <c r="BU415" i="16"/>
  <c r="BS109" i="16"/>
  <c r="CT110" i="16" s="1"/>
  <c r="CI109" i="16"/>
  <c r="BM109" i="16"/>
  <c r="CV194" i="16"/>
  <c r="BU194" i="16"/>
  <c r="BS283" i="16"/>
  <c r="CT284" i="16" s="1"/>
  <c r="CI283" i="16"/>
  <c r="BM283" i="16"/>
  <c r="P40" i="18"/>
  <c r="P10" i="25"/>
  <c r="Q55" i="13"/>
  <c r="Q37" i="13"/>
  <c r="Q38" i="13"/>
  <c r="DH455" i="16"/>
  <c r="N13" i="21"/>
  <c r="N13" i="23"/>
  <c r="N47" i="17"/>
  <c r="O50" i="28"/>
  <c r="O50" i="29"/>
  <c r="L16" i="28"/>
  <c r="L16" i="29"/>
  <c r="J52" i="13"/>
  <c r="K64" i="13"/>
  <c r="J49" i="18"/>
  <c r="J49" i="21"/>
  <c r="CJ326" i="16"/>
  <c r="BN326" i="16"/>
  <c r="BR326" i="16"/>
  <c r="CS327" i="16" s="1"/>
  <c r="O10" i="20"/>
  <c r="O10" i="33" s="1"/>
  <c r="O10" i="23"/>
  <c r="O10" i="21"/>
  <c r="O44" i="17"/>
  <c r="O4" i="20"/>
  <c r="O4" i="33" s="1"/>
  <c r="DB456" i="16"/>
  <c r="N36" i="27"/>
  <c r="O52" i="20"/>
  <c r="M20" i="23"/>
  <c r="M20" i="21"/>
  <c r="M21" i="20"/>
  <c r="M21" i="33" s="1"/>
  <c r="J22" i="10"/>
  <c r="J22" i="33" s="1"/>
  <c r="K32" i="10"/>
  <c r="K32" i="33" s="1"/>
  <c r="K48" i="10"/>
  <c r="K48" i="33" s="1"/>
  <c r="J22" i="23"/>
  <c r="O58" i="27"/>
  <c r="O58" i="29"/>
  <c r="P29" i="21"/>
  <c r="P51" i="17"/>
  <c r="P29" i="23"/>
  <c r="CR18" i="16"/>
  <c r="DG456" i="16"/>
  <c r="DF456" i="16"/>
  <c r="O37" i="20"/>
  <c r="O37" i="33" s="1"/>
  <c r="O47" i="23"/>
  <c r="O47" i="21"/>
  <c r="BN437" i="16"/>
  <c r="CJ437" i="16"/>
  <c r="BR437" i="16"/>
  <c r="CS438" i="16" s="1"/>
  <c r="L28" i="17"/>
  <c r="CJ370" i="16"/>
  <c r="BN370" i="16"/>
  <c r="BR370" i="16"/>
  <c r="CS371" i="16" s="1"/>
  <c r="BS238" i="16"/>
  <c r="CT239" i="16" s="1"/>
  <c r="CI238" i="16"/>
  <c r="BM238" i="16"/>
  <c r="R6" i="18"/>
  <c r="N16" i="27"/>
  <c r="BR349" i="16"/>
  <c r="CS350" i="16" s="1"/>
  <c r="BN349" i="16"/>
  <c r="CJ349" i="16"/>
  <c r="M26" i="17"/>
  <c r="M21" i="17"/>
  <c r="DK456" i="16"/>
  <c r="CV150" i="16"/>
  <c r="BU150" i="16"/>
  <c r="CI195" i="16"/>
  <c r="BS195" i="16"/>
  <c r="CT196" i="16" s="1"/>
  <c r="BM195" i="16"/>
  <c r="CK86" i="16"/>
  <c r="BV86" i="16"/>
  <c r="CW87" i="16" s="1"/>
  <c r="BO86" i="16"/>
  <c r="CL88" i="16"/>
  <c r="BV151" i="16"/>
  <c r="CW152" i="16" s="1"/>
  <c r="CK151" i="16"/>
  <c r="BO151" i="16"/>
  <c r="I63" i="28"/>
  <c r="I64" i="26"/>
  <c r="I64" i="28" s="1"/>
  <c r="I27" i="25"/>
  <c r="I20" i="29"/>
  <c r="I20" i="27"/>
  <c r="I26" i="25"/>
  <c r="I21" i="25"/>
  <c r="I19" i="29"/>
  <c r="I19" i="27"/>
  <c r="CR305" i="16"/>
  <c r="BQ305" i="16"/>
  <c r="J34" i="10"/>
  <c r="J34" i="33" s="1"/>
  <c r="J35" i="23"/>
  <c r="N22" i="20"/>
  <c r="O46" i="28"/>
  <c r="O46" i="29"/>
  <c r="O30" i="17"/>
  <c r="O8" i="21"/>
  <c r="O8" i="23"/>
  <c r="CB17" i="16"/>
  <c r="CB457" i="16" s="1"/>
  <c r="P7" i="20" s="1"/>
  <c r="P7" i="33" s="1"/>
  <c r="AS456" i="16"/>
  <c r="DC16" i="16"/>
  <c r="AY457" i="16"/>
  <c r="CG18" i="16"/>
  <c r="CG458" i="16" s="1"/>
  <c r="Q27" i="20" s="1"/>
  <c r="DD17" i="16"/>
  <c r="BO18" i="16"/>
  <c r="CE18" i="16"/>
  <c r="CE458" i="16" s="1"/>
  <c r="Q25" i="20" s="1"/>
  <c r="Q25" i="33" s="1"/>
  <c r="AW457" i="16"/>
  <c r="P12" i="20" s="1"/>
  <c r="P12" i="33" s="1"/>
  <c r="DF17" i="16"/>
  <c r="DG17" i="16"/>
  <c r="CM18" i="16"/>
  <c r="CM458" i="16" s="1"/>
  <c r="Q55" i="20" s="1"/>
  <c r="Q55" i="33" s="1"/>
  <c r="BC457" i="16"/>
  <c r="J67" i="17"/>
  <c r="P58" i="25"/>
  <c r="P59" i="18"/>
  <c r="CK457" i="16"/>
  <c r="P32" i="20" s="1"/>
  <c r="K36" i="28"/>
  <c r="K36" i="29"/>
  <c r="N30" i="28"/>
  <c r="N30" i="29"/>
  <c r="DH16" i="16"/>
  <c r="O20" i="17"/>
  <c r="CV216" i="16"/>
  <c r="BU216" i="16"/>
  <c r="K66" i="13"/>
  <c r="J51" i="18"/>
  <c r="J51" i="21"/>
  <c r="J41" i="17"/>
  <c r="J39" i="28"/>
  <c r="J39" i="29"/>
  <c r="R30" i="25" l="1"/>
  <c r="S4" i="13"/>
  <c r="R12" i="31"/>
  <c r="S25" i="13"/>
  <c r="S50" i="25" s="1"/>
  <c r="K57" i="13"/>
  <c r="R10" i="13"/>
  <c r="R47" i="25" s="1"/>
  <c r="DH109" i="16"/>
  <c r="S8" i="13"/>
  <c r="S45" i="25" s="1"/>
  <c r="S3" i="13"/>
  <c r="BX42" i="16"/>
  <c r="CY43" i="16" s="1"/>
  <c r="R15" i="18"/>
  <c r="DI132" i="16"/>
  <c r="R8" i="25"/>
  <c r="S5" i="13"/>
  <c r="T5" i="13" s="1"/>
  <c r="CK42" i="16"/>
  <c r="BT42" i="16"/>
  <c r="CU43" i="16" s="1"/>
  <c r="R44" i="25"/>
  <c r="I38" i="29"/>
  <c r="S12" i="13"/>
  <c r="S12" i="31" s="1"/>
  <c r="S7" i="13"/>
  <c r="S7" i="31" s="1"/>
  <c r="BS65" i="16"/>
  <c r="CT66" i="16" s="1"/>
  <c r="R10" i="18"/>
  <c r="R14" i="25"/>
  <c r="J39" i="32"/>
  <c r="BN88" i="16"/>
  <c r="CJ89" i="16" s="1"/>
  <c r="DH86" i="16"/>
  <c r="S18" i="13"/>
  <c r="T31" i="13" s="1"/>
  <c r="J62" i="29"/>
  <c r="CW458" i="16"/>
  <c r="Q66" i="20" s="1"/>
  <c r="J42" i="21"/>
  <c r="K46" i="13"/>
  <c r="K46" i="32" s="1"/>
  <c r="J39" i="31"/>
  <c r="J23" i="25"/>
  <c r="J25" i="25" s="1"/>
  <c r="DE110" i="16"/>
  <c r="CO111" i="16"/>
  <c r="J42" i="18"/>
  <c r="DH155" i="16"/>
  <c r="DI155" i="16"/>
  <c r="J44" i="21"/>
  <c r="K49" i="13"/>
  <c r="K49" i="32" s="1"/>
  <c r="DJ133" i="16"/>
  <c r="BR65" i="16"/>
  <c r="CS66" i="16" s="1"/>
  <c r="J44" i="18"/>
  <c r="BO65" i="16"/>
  <c r="BV66" i="16" s="1"/>
  <c r="CW67" i="16" s="1"/>
  <c r="DK110" i="16"/>
  <c r="R50" i="25"/>
  <c r="R50" i="27" s="1"/>
  <c r="BN65" i="16"/>
  <c r="CJ66" i="16" s="1"/>
  <c r="DD110" i="16"/>
  <c r="DE133" i="16"/>
  <c r="DJ110" i="16"/>
  <c r="CH111" i="16"/>
  <c r="DF133" i="16"/>
  <c r="DD133" i="16"/>
  <c r="DI86" i="16"/>
  <c r="AM111" i="16"/>
  <c r="BG111" i="16" s="1"/>
  <c r="DC133" i="16"/>
  <c r="AK111" i="16"/>
  <c r="BE111" i="16" s="1"/>
  <c r="R28" i="18"/>
  <c r="DG110" i="16"/>
  <c r="DK87" i="16"/>
  <c r="DK133" i="16"/>
  <c r="DG133" i="16"/>
  <c r="DB110" i="16"/>
  <c r="DB133" i="16"/>
  <c r="CY87" i="16"/>
  <c r="BX87" i="16"/>
  <c r="AN111" i="16"/>
  <c r="BH111" i="16" s="1"/>
  <c r="CB87" i="16"/>
  <c r="AB111" i="16"/>
  <c r="AV111" i="16" s="1"/>
  <c r="Z88" i="16"/>
  <c r="AT88" i="16" s="1"/>
  <c r="CC89" i="16" s="1"/>
  <c r="AS110" i="16"/>
  <c r="CB111" i="16" s="1"/>
  <c r="S13" i="13"/>
  <c r="S14" i="25" s="1"/>
  <c r="DJ87" i="16"/>
  <c r="AE88" i="16"/>
  <c r="AY88" i="16" s="1"/>
  <c r="CG89" i="16" s="1"/>
  <c r="CH88" i="16"/>
  <c r="DF87" i="16"/>
  <c r="DF110" i="16"/>
  <c r="Z111" i="16"/>
  <c r="AT111" i="16" s="1"/>
  <c r="AA111" i="16"/>
  <c r="AU111" i="16" s="1"/>
  <c r="AI111" i="16"/>
  <c r="BC111" i="16" s="1"/>
  <c r="AE111" i="16"/>
  <c r="AY111" i="16" s="1"/>
  <c r="Y111" i="16"/>
  <c r="AS111" i="16" s="1"/>
  <c r="BP65" i="16"/>
  <c r="CL66" i="16" s="1"/>
  <c r="DD87" i="16"/>
  <c r="CJ42" i="16"/>
  <c r="Y88" i="16"/>
  <c r="AS88" i="16" s="1"/>
  <c r="AO88" i="16"/>
  <c r="BI88" i="16" s="1"/>
  <c r="I55" i="26"/>
  <c r="I55" i="28" s="1"/>
  <c r="AJ111" i="16"/>
  <c r="BD111" i="16" s="1"/>
  <c r="AF111" i="16"/>
  <c r="AZ111" i="16" s="1"/>
  <c r="AO111" i="16"/>
  <c r="BI111" i="16" s="1"/>
  <c r="AH111" i="16"/>
  <c r="BB111" i="16" s="1"/>
  <c r="AL111" i="16"/>
  <c r="BF111" i="16" s="1"/>
  <c r="AG111" i="16"/>
  <c r="BA111" i="16" s="1"/>
  <c r="AD111" i="16"/>
  <c r="AX111" i="16" s="1"/>
  <c r="AC111" i="16"/>
  <c r="AW111" i="16" s="1"/>
  <c r="BV239" i="16"/>
  <c r="CW240" i="16" s="1"/>
  <c r="CK239" i="16"/>
  <c r="BO239" i="16"/>
  <c r="DB87" i="16"/>
  <c r="DE87" i="16"/>
  <c r="I54" i="29"/>
  <c r="CY459" i="16"/>
  <c r="R68" i="20" s="1"/>
  <c r="DG87" i="16"/>
  <c r="P61" i="33"/>
  <c r="AF88" i="16"/>
  <c r="AZ88" i="16" s="1"/>
  <c r="CH89" i="16" s="1"/>
  <c r="AJ88" i="16"/>
  <c r="BD88" i="16" s="1"/>
  <c r="AM88" i="16"/>
  <c r="BG88" i="16" s="1"/>
  <c r="CQ89" i="16" s="1"/>
  <c r="AI88" i="16"/>
  <c r="BC88" i="16" s="1"/>
  <c r="CM89" i="16" s="1"/>
  <c r="AA88" i="16"/>
  <c r="AU88" i="16" s="1"/>
  <c r="CD89" i="16" s="1"/>
  <c r="AN88" i="16"/>
  <c r="BH88" i="16" s="1"/>
  <c r="AB88" i="16"/>
  <c r="AV88" i="16" s="1"/>
  <c r="AL88" i="16"/>
  <c r="BF88" i="16" s="1"/>
  <c r="CP89" i="16" s="1"/>
  <c r="AC88" i="16"/>
  <c r="AW88" i="16" s="1"/>
  <c r="CE89" i="16" s="1"/>
  <c r="AH88" i="16"/>
  <c r="BB88" i="16" s="1"/>
  <c r="AD88" i="16"/>
  <c r="AX88" i="16" s="1"/>
  <c r="CF89" i="16" s="1"/>
  <c r="AG88" i="16"/>
  <c r="BA88" i="16" s="1"/>
  <c r="AK88" i="16"/>
  <c r="BE88" i="16" s="1"/>
  <c r="CO89" i="16" s="1"/>
  <c r="DH40" i="16"/>
  <c r="BP240" i="16"/>
  <c r="CL240" i="16"/>
  <c r="BX240" i="16"/>
  <c r="CY241" i="16" s="1"/>
  <c r="BP42" i="16"/>
  <c r="CL43" i="16" s="1"/>
  <c r="BW42" i="16"/>
  <c r="CX43" i="16" s="1"/>
  <c r="CH65" i="16"/>
  <c r="AL42" i="16"/>
  <c r="BF42" i="16" s="1"/>
  <c r="CP43" i="16" s="1"/>
  <c r="I54" i="27"/>
  <c r="DK41" i="16"/>
  <c r="AB65" i="16"/>
  <c r="AV65" i="16" s="1"/>
  <c r="CI131" i="16"/>
  <c r="BM131" i="16"/>
  <c r="BS131" i="16"/>
  <c r="CT132" i="16" s="1"/>
  <c r="CW437" i="16"/>
  <c r="BV437" i="16"/>
  <c r="J73" i="23"/>
  <c r="BM65" i="16"/>
  <c r="BS66" i="16" s="1"/>
  <c r="CT67" i="16" s="1"/>
  <c r="O15" i="29"/>
  <c r="I55" i="25"/>
  <c r="I55" i="29" s="1"/>
  <c r="I54" i="28"/>
  <c r="DH63" i="16"/>
  <c r="DE64" i="16"/>
  <c r="DI40" i="16"/>
  <c r="Q65" i="18"/>
  <c r="Q62" i="31"/>
  <c r="J63" i="26"/>
  <c r="J63" i="28" s="1"/>
  <c r="DJ64" i="16"/>
  <c r="DF41" i="16"/>
  <c r="DI63" i="16"/>
  <c r="DB41" i="16"/>
  <c r="R44" i="13"/>
  <c r="R62" i="13"/>
  <c r="K71" i="23"/>
  <c r="K68" i="33"/>
  <c r="K70" i="23"/>
  <c r="K67" i="33"/>
  <c r="Q31" i="31"/>
  <c r="Q34" i="18"/>
  <c r="R4" i="10"/>
  <c r="R13" i="10"/>
  <c r="Q7" i="18"/>
  <c r="Q4" i="31"/>
  <c r="R5" i="10"/>
  <c r="R8" i="10"/>
  <c r="Q13" i="26"/>
  <c r="Q45" i="26"/>
  <c r="Q45" i="27" s="1"/>
  <c r="Q8" i="33"/>
  <c r="Q11" i="18"/>
  <c r="Q8" i="31"/>
  <c r="Q10" i="10"/>
  <c r="CV240" i="16"/>
  <c r="BU240" i="16"/>
  <c r="DF64" i="16"/>
  <c r="CD65" i="16"/>
  <c r="DG41" i="16"/>
  <c r="K36" i="23"/>
  <c r="K33" i="33"/>
  <c r="DE41" i="16"/>
  <c r="R17" i="10"/>
  <c r="Q16" i="18"/>
  <c r="R38" i="10"/>
  <c r="Q13" i="31"/>
  <c r="Q14" i="26"/>
  <c r="Q14" i="27" s="1"/>
  <c r="R26" i="10"/>
  <c r="P47" i="26"/>
  <c r="P13" i="18"/>
  <c r="P10" i="31"/>
  <c r="CQ65" i="16"/>
  <c r="BN42" i="16"/>
  <c r="CJ43" i="16" s="1"/>
  <c r="BX65" i="16"/>
  <c r="CY66" i="16" s="1"/>
  <c r="S50" i="26"/>
  <c r="O69" i="20"/>
  <c r="O62" i="17" s="1"/>
  <c r="AA65" i="16"/>
  <c r="AU65" i="16" s="1"/>
  <c r="CD66" i="16" s="1"/>
  <c r="DD41" i="16"/>
  <c r="CH42" i="16"/>
  <c r="R45" i="10"/>
  <c r="Q21" i="10"/>
  <c r="R30" i="10"/>
  <c r="O48" i="26"/>
  <c r="O48" i="27" s="1"/>
  <c r="O47" i="27"/>
  <c r="CL262" i="16"/>
  <c r="BP262" i="16"/>
  <c r="BX262" i="16"/>
  <c r="CY263" i="16" s="1"/>
  <c r="Q21" i="18"/>
  <c r="Q18" i="31"/>
  <c r="R44" i="10"/>
  <c r="R31" i="10"/>
  <c r="R61" i="10"/>
  <c r="Q51" i="10"/>
  <c r="Q51" i="26"/>
  <c r="Q51" i="27" s="1"/>
  <c r="Q26" i="33"/>
  <c r="Q26" i="31"/>
  <c r="Q29" i="18"/>
  <c r="R63" i="10"/>
  <c r="Q58" i="26"/>
  <c r="Q56" i="33"/>
  <c r="BW65" i="16"/>
  <c r="CX66" i="16" s="1"/>
  <c r="S57" i="26"/>
  <c r="K69" i="23"/>
  <c r="K66" i="33"/>
  <c r="P58" i="28"/>
  <c r="AN42" i="16"/>
  <c r="BH42" i="16" s="1"/>
  <c r="BM42" i="16"/>
  <c r="Q15" i="26"/>
  <c r="R56" i="10"/>
  <c r="R43" i="10"/>
  <c r="BU64" i="16"/>
  <c r="P32" i="26"/>
  <c r="R62" i="10"/>
  <c r="Q47" i="18"/>
  <c r="Q44" i="31"/>
  <c r="P16" i="26"/>
  <c r="P13" i="27"/>
  <c r="R9" i="10"/>
  <c r="Q30" i="26"/>
  <c r="Q30" i="27" s="1"/>
  <c r="Q5" i="31"/>
  <c r="Q8" i="18"/>
  <c r="R18" i="10"/>
  <c r="P36" i="26"/>
  <c r="CV108" i="16"/>
  <c r="BU108" i="16"/>
  <c r="Q46" i="26"/>
  <c r="Q46" i="27" s="1"/>
  <c r="Q9" i="33"/>
  <c r="Q9" i="31"/>
  <c r="Q12" i="18"/>
  <c r="K66" i="32"/>
  <c r="P12" i="32"/>
  <c r="P7" i="32"/>
  <c r="M21" i="32"/>
  <c r="O4" i="32"/>
  <c r="O10" i="32"/>
  <c r="J52" i="32"/>
  <c r="Q55" i="32"/>
  <c r="J34" i="32"/>
  <c r="K48" i="32"/>
  <c r="N3" i="32"/>
  <c r="P5" i="32"/>
  <c r="P18" i="32"/>
  <c r="K47" i="32"/>
  <c r="Q26" i="32"/>
  <c r="K50" i="32"/>
  <c r="Q8" i="32"/>
  <c r="N45" i="32"/>
  <c r="Q62" i="32"/>
  <c r="DJ41" i="16"/>
  <c r="BO327" i="16"/>
  <c r="CK327" i="16"/>
  <c r="BV327" i="16"/>
  <c r="CW328" i="16" s="1"/>
  <c r="BX394" i="16"/>
  <c r="CY395" i="16" s="1"/>
  <c r="CL394" i="16"/>
  <c r="BP394" i="16"/>
  <c r="BX439" i="16"/>
  <c r="CY440" i="16" s="1"/>
  <c r="BP439" i="16"/>
  <c r="CL439" i="16"/>
  <c r="AD65" i="16"/>
  <c r="AX65" i="16" s="1"/>
  <c r="P31" i="32"/>
  <c r="Q56" i="32"/>
  <c r="Q9" i="32"/>
  <c r="AO42" i="16"/>
  <c r="BI42" i="16" s="1"/>
  <c r="N17" i="32"/>
  <c r="I23" i="32"/>
  <c r="M51" i="32"/>
  <c r="DD64" i="16"/>
  <c r="DB64" i="16"/>
  <c r="P38" i="32"/>
  <c r="BT262" i="16"/>
  <c r="CU262" i="16"/>
  <c r="BX328" i="16"/>
  <c r="CY329" i="16" s="1"/>
  <c r="BP328" i="16"/>
  <c r="CL328" i="16"/>
  <c r="J22" i="32"/>
  <c r="K67" i="32"/>
  <c r="K40" i="32"/>
  <c r="K59" i="32"/>
  <c r="Q25" i="32"/>
  <c r="BU42" i="16"/>
  <c r="CV43" i="16" s="1"/>
  <c r="O37" i="32"/>
  <c r="K64" i="32"/>
  <c r="K32" i="32"/>
  <c r="J70" i="32"/>
  <c r="O30" i="32"/>
  <c r="K58" i="32"/>
  <c r="K57" i="32"/>
  <c r="P13" i="32"/>
  <c r="K33" i="32"/>
  <c r="O63" i="32"/>
  <c r="K68" i="32"/>
  <c r="P44" i="32"/>
  <c r="CY218" i="16"/>
  <c r="BX218" i="16"/>
  <c r="CL306" i="16"/>
  <c r="BX306" i="16"/>
  <c r="CY307" i="16" s="1"/>
  <c r="BP306" i="16"/>
  <c r="BR109" i="16"/>
  <c r="CS110" i="16" s="1"/>
  <c r="CJ109" i="16"/>
  <c r="BN109" i="16"/>
  <c r="J52" i="31"/>
  <c r="Q38" i="31"/>
  <c r="Q61" i="31"/>
  <c r="Q56" i="31"/>
  <c r="K33" i="31"/>
  <c r="CX196" i="16"/>
  <c r="BW196" i="16"/>
  <c r="BW239" i="16"/>
  <c r="CX239" i="16"/>
  <c r="CU109" i="16"/>
  <c r="BT109" i="16"/>
  <c r="BT416" i="16"/>
  <c r="CU416" i="16"/>
  <c r="CR417" i="16"/>
  <c r="BQ417" i="16"/>
  <c r="Q37" i="31"/>
  <c r="P51" i="31"/>
  <c r="Z65" i="16"/>
  <c r="AT65" i="16" s="1"/>
  <c r="CC66" i="16" s="1"/>
  <c r="AO65" i="16"/>
  <c r="BI65" i="16" s="1"/>
  <c r="Q30" i="31"/>
  <c r="AB42" i="16"/>
  <c r="AV42" i="16" s="1"/>
  <c r="AE42" i="16"/>
  <c r="AY42" i="16" s="1"/>
  <c r="K40" i="31"/>
  <c r="K50" i="31"/>
  <c r="CL220" i="16"/>
  <c r="BP220" i="16"/>
  <c r="BW152" i="16"/>
  <c r="CX152" i="16"/>
  <c r="BW261" i="16"/>
  <c r="CX261" i="16"/>
  <c r="BQ372" i="16"/>
  <c r="CR372" i="16"/>
  <c r="BW349" i="16"/>
  <c r="CX349" i="16"/>
  <c r="K66" i="31"/>
  <c r="DK64" i="16"/>
  <c r="DG64" i="16"/>
  <c r="Q55" i="31"/>
  <c r="AE65" i="16"/>
  <c r="AY65" i="16" s="1"/>
  <c r="AM65" i="16"/>
  <c r="BG65" i="16" s="1"/>
  <c r="CQ66" i="16" s="1"/>
  <c r="AF65" i="16"/>
  <c r="AZ65" i="16" s="1"/>
  <c r="CH66" i="16" s="1"/>
  <c r="Y65" i="16"/>
  <c r="AI65" i="16"/>
  <c r="BC65" i="16" s="1"/>
  <c r="BO42" i="16"/>
  <c r="CK43" i="16" s="1"/>
  <c r="K48" i="31"/>
  <c r="Q17" i="31"/>
  <c r="Q45" i="31"/>
  <c r="AG42" i="16"/>
  <c r="BA42" i="16" s="1"/>
  <c r="AK42" i="16"/>
  <c r="BE42" i="16" s="1"/>
  <c r="BT43" i="16" s="1"/>
  <c r="CU44" i="16" s="1"/>
  <c r="AC42" i="16"/>
  <c r="AW42" i="16" s="1"/>
  <c r="CE43" i="16" s="1"/>
  <c r="Y42" i="16"/>
  <c r="AM42" i="16"/>
  <c r="BG42" i="16" s="1"/>
  <c r="J70" i="31"/>
  <c r="K58" i="31"/>
  <c r="K57" i="31"/>
  <c r="CX458" i="16"/>
  <c r="Q67" i="20" s="1"/>
  <c r="S25" i="31"/>
  <c r="CQ42" i="16"/>
  <c r="BT393" i="16"/>
  <c r="CU393" i="16"/>
  <c r="CV349" i="16"/>
  <c r="BU349" i="16"/>
  <c r="BU328" i="16"/>
  <c r="CV328" i="16"/>
  <c r="CU239" i="16"/>
  <c r="BT239" i="16"/>
  <c r="CU305" i="16"/>
  <c r="BT305" i="16"/>
  <c r="BW394" i="16"/>
  <c r="CX394" i="16"/>
  <c r="CW130" i="16"/>
  <c r="BV130" i="16"/>
  <c r="BO284" i="16"/>
  <c r="BV284" i="16"/>
  <c r="CW285" i="16" s="1"/>
  <c r="CK284" i="16"/>
  <c r="CU437" i="16"/>
  <c r="BT437" i="16"/>
  <c r="BT372" i="16"/>
  <c r="CU372" i="16"/>
  <c r="BO261" i="16"/>
  <c r="BV261" i="16"/>
  <c r="CW262" i="16" s="1"/>
  <c r="CK261" i="16"/>
  <c r="BP174" i="16"/>
  <c r="BX174" i="16"/>
  <c r="CY175" i="16" s="1"/>
  <c r="CL174" i="16"/>
  <c r="BV195" i="16"/>
  <c r="CW196" i="16" s="1"/>
  <c r="CK195" i="16"/>
  <c r="BO195" i="16"/>
  <c r="J22" i="31"/>
  <c r="P21" i="31"/>
  <c r="BV350" i="16"/>
  <c r="CW351" i="16" s="1"/>
  <c r="CK350" i="16"/>
  <c r="BO350" i="16"/>
  <c r="BP416" i="16"/>
  <c r="BX416" i="16"/>
  <c r="CY417" i="16" s="1"/>
  <c r="CL416" i="16"/>
  <c r="CV261" i="16"/>
  <c r="BU261" i="16"/>
  <c r="CL284" i="16"/>
  <c r="BP284" i="16"/>
  <c r="BX284" i="16"/>
  <c r="CY285" i="16" s="1"/>
  <c r="BR393" i="16"/>
  <c r="CS394" i="16" s="1"/>
  <c r="CJ393" i="16"/>
  <c r="BN393" i="16"/>
  <c r="DH17" i="16"/>
  <c r="AL65" i="16"/>
  <c r="BF65" i="16" s="1"/>
  <c r="CP66" i="16" s="1"/>
  <c r="AH65" i="16"/>
  <c r="BB65" i="16" s="1"/>
  <c r="AG65" i="16"/>
  <c r="BA65" i="16" s="1"/>
  <c r="J34" i="31"/>
  <c r="K32" i="31"/>
  <c r="BQ42" i="16"/>
  <c r="CR43" i="16" s="1"/>
  <c r="AJ42" i="16"/>
  <c r="BD42" i="16" s="1"/>
  <c r="CN43" i="16" s="1"/>
  <c r="AH42" i="16"/>
  <c r="BB42" i="16" s="1"/>
  <c r="K68" i="31"/>
  <c r="BT173" i="16"/>
  <c r="CU173" i="16"/>
  <c r="CS86" i="16"/>
  <c r="BR86" i="16"/>
  <c r="CP42" i="16"/>
  <c r="S3" i="31"/>
  <c r="K64" i="31"/>
  <c r="AC65" i="16"/>
  <c r="AW65" i="16" s="1"/>
  <c r="CE66" i="16" s="1"/>
  <c r="AK65" i="16"/>
  <c r="BE65" i="16" s="1"/>
  <c r="CO66" i="16" s="1"/>
  <c r="AJ65" i="16"/>
  <c r="BD65" i="16" s="1"/>
  <c r="CN66" i="16" s="1"/>
  <c r="AN65" i="16"/>
  <c r="BH65" i="16" s="1"/>
  <c r="K67" i="31"/>
  <c r="Q43" i="31"/>
  <c r="AF42" i="16"/>
  <c r="AZ42" i="16" s="1"/>
  <c r="Z42" i="16"/>
  <c r="AT42" i="16" s="1"/>
  <c r="CC43" i="16" s="1"/>
  <c r="AA42" i="16"/>
  <c r="AU42" i="16" s="1"/>
  <c r="CD43" i="16" s="1"/>
  <c r="AI42" i="16"/>
  <c r="BC42" i="16" s="1"/>
  <c r="CM43" i="16" s="1"/>
  <c r="AD42" i="16"/>
  <c r="AX42" i="16" s="1"/>
  <c r="CF43" i="16" s="1"/>
  <c r="K47" i="31"/>
  <c r="I23" i="31"/>
  <c r="Q66" i="18"/>
  <c r="Q63" i="31"/>
  <c r="K59" i="31"/>
  <c r="BN305" i="16"/>
  <c r="CJ305" i="16"/>
  <c r="BR305" i="16"/>
  <c r="CS306" i="16" s="1"/>
  <c r="CV438" i="16"/>
  <c r="BU438" i="16"/>
  <c r="CV371" i="16"/>
  <c r="BU371" i="16"/>
  <c r="CK173" i="16"/>
  <c r="BV173" i="16"/>
  <c r="CW174" i="16" s="1"/>
  <c r="BO173" i="16"/>
  <c r="CX415" i="16"/>
  <c r="BW415" i="16"/>
  <c r="CV174" i="16"/>
  <c r="BU174" i="16"/>
  <c r="CV87" i="16"/>
  <c r="BU87" i="16"/>
  <c r="BM349" i="16"/>
  <c r="CI349" i="16"/>
  <c r="BS349" i="16"/>
  <c r="CT350" i="16" s="1"/>
  <c r="BW305" i="16"/>
  <c r="CX305" i="16"/>
  <c r="CJ217" i="16"/>
  <c r="BN217" i="16"/>
  <c r="BR217" i="16"/>
  <c r="CS218" i="16" s="1"/>
  <c r="P64" i="23"/>
  <c r="P64" i="21"/>
  <c r="P15" i="21"/>
  <c r="P9" i="17"/>
  <c r="P15" i="23"/>
  <c r="Q52" i="17"/>
  <c r="I27" i="27"/>
  <c r="I27" i="29"/>
  <c r="CV151" i="16"/>
  <c r="BU151" i="16"/>
  <c r="T25" i="13"/>
  <c r="R8" i="27"/>
  <c r="P51" i="28"/>
  <c r="P51" i="29"/>
  <c r="L66" i="10"/>
  <c r="K51" i="23"/>
  <c r="BS110" i="16"/>
  <c r="CT111" i="16" s="1"/>
  <c r="CI110" i="16"/>
  <c r="BM110" i="16"/>
  <c r="Q48" i="25"/>
  <c r="DH456" i="16"/>
  <c r="CL19" i="16"/>
  <c r="CL459" i="16" s="1"/>
  <c r="R33" i="20" s="1"/>
  <c r="BX19" i="16"/>
  <c r="CY20" i="16" s="1"/>
  <c r="BP458" i="16"/>
  <c r="L67" i="10"/>
  <c r="K52" i="23"/>
  <c r="N6" i="23"/>
  <c r="N6" i="21"/>
  <c r="N8" i="17"/>
  <c r="P15" i="27"/>
  <c r="P16" i="25"/>
  <c r="Q61" i="17"/>
  <c r="Q12" i="21"/>
  <c r="Q12" i="23"/>
  <c r="Q46" i="17"/>
  <c r="CX284" i="16"/>
  <c r="BW284" i="16"/>
  <c r="L64" i="17"/>
  <c r="CR64" i="16"/>
  <c r="BQ64" i="16"/>
  <c r="J37" i="26"/>
  <c r="J37" i="28" s="1"/>
  <c r="J53" i="10"/>
  <c r="J53" i="33" s="1"/>
  <c r="J55" i="23"/>
  <c r="CM19" i="16"/>
  <c r="CM459" i="16" s="1"/>
  <c r="R55" i="20" s="1"/>
  <c r="R55" i="33" s="1"/>
  <c r="DG18" i="16"/>
  <c r="BC458" i="16"/>
  <c r="DF18" i="16"/>
  <c r="CE19" i="16"/>
  <c r="CE459" i="16" s="1"/>
  <c r="R25" i="20" s="1"/>
  <c r="R25" i="33" s="1"/>
  <c r="AW458" i="16"/>
  <c r="Q12" i="20" s="1"/>
  <c r="Q12" i="33" s="1"/>
  <c r="P16" i="23"/>
  <c r="P16" i="21"/>
  <c r="P14" i="17"/>
  <c r="O32" i="27"/>
  <c r="O39" i="25"/>
  <c r="CX328" i="16"/>
  <c r="BW328" i="16"/>
  <c r="CR350" i="16"/>
  <c r="BQ350" i="16"/>
  <c r="CR174" i="16"/>
  <c r="BQ174" i="16"/>
  <c r="CJ151" i="16"/>
  <c r="BR151" i="16"/>
  <c r="CS152" i="16" s="1"/>
  <c r="BN151" i="16"/>
  <c r="J59" i="27"/>
  <c r="J59" i="29"/>
  <c r="I64" i="27"/>
  <c r="I64" i="29"/>
  <c r="P47" i="23"/>
  <c r="P47" i="21"/>
  <c r="S9" i="26"/>
  <c r="T25" i="10"/>
  <c r="T37" i="10"/>
  <c r="S46" i="25"/>
  <c r="Q58" i="23"/>
  <c r="Q57" i="17"/>
  <c r="Q57" i="28" s="1"/>
  <c r="Q58" i="21"/>
  <c r="P14" i="20"/>
  <c r="DD457" i="16"/>
  <c r="M28" i="17"/>
  <c r="O13" i="17"/>
  <c r="O7" i="23"/>
  <c r="O7" i="21"/>
  <c r="CL89" i="16"/>
  <c r="T55" i="10"/>
  <c r="S10" i="26"/>
  <c r="CL198" i="16"/>
  <c r="BX198" i="16"/>
  <c r="CY199" i="16" s="1"/>
  <c r="BP198" i="16"/>
  <c r="BM304" i="16"/>
  <c r="CI304" i="16"/>
  <c r="BS304" i="16"/>
  <c r="CT305" i="16" s="1"/>
  <c r="O9" i="28"/>
  <c r="O9" i="29"/>
  <c r="BX351" i="16"/>
  <c r="CY352" i="16" s="1"/>
  <c r="CL351" i="16"/>
  <c r="BP351" i="16"/>
  <c r="K61" i="26"/>
  <c r="K61" i="28" s="1"/>
  <c r="K62" i="23"/>
  <c r="S51" i="25"/>
  <c r="N26" i="17"/>
  <c r="N21" i="17"/>
  <c r="CI174" i="16"/>
  <c r="BS174" i="16"/>
  <c r="CT175" i="16" s="1"/>
  <c r="BM174" i="16"/>
  <c r="CW19" i="16"/>
  <c r="BV458" i="16"/>
  <c r="Q48" i="20" s="1"/>
  <c r="P24" i="18"/>
  <c r="P32" i="25"/>
  <c r="P41" i="23"/>
  <c r="P15" i="17"/>
  <c r="P15" i="28" s="1"/>
  <c r="P41" i="21"/>
  <c r="I66" i="26"/>
  <c r="I66" i="28" s="1"/>
  <c r="CL110" i="16"/>
  <c r="BX110" i="16"/>
  <c r="CY111" i="16" s="1"/>
  <c r="BP110" i="16"/>
  <c r="CR194" i="16"/>
  <c r="CR458" i="16" s="1"/>
  <c r="Q61" i="20" s="1"/>
  <c r="Q61" i="32" s="1"/>
  <c r="BQ194" i="16"/>
  <c r="K69" i="10"/>
  <c r="K69" i="33" s="1"/>
  <c r="K67" i="23"/>
  <c r="BQ394" i="16"/>
  <c r="CR394" i="16"/>
  <c r="CX86" i="16"/>
  <c r="BW86" i="16"/>
  <c r="AV458" i="16"/>
  <c r="DJ18" i="16"/>
  <c r="DK18" i="16"/>
  <c r="Q29" i="21"/>
  <c r="Q29" i="23"/>
  <c r="Q51" i="17"/>
  <c r="BS327" i="16"/>
  <c r="CT328" i="16" s="1"/>
  <c r="BM327" i="16"/>
  <c r="CI327" i="16"/>
  <c r="H66" i="29"/>
  <c r="H66" i="27"/>
  <c r="CV131" i="16"/>
  <c r="BU131" i="16"/>
  <c r="CJ195" i="16"/>
  <c r="BR195" i="16"/>
  <c r="CS196" i="16" s="1"/>
  <c r="BN195" i="16"/>
  <c r="L38" i="17"/>
  <c r="CV458" i="16"/>
  <c r="Q65" i="20" s="1"/>
  <c r="BS216" i="16"/>
  <c r="CT217" i="16" s="1"/>
  <c r="CI216" i="16"/>
  <c r="BM216" i="16"/>
  <c r="R11" i="26"/>
  <c r="CK19" i="16"/>
  <c r="BV19" i="16"/>
  <c r="BO458" i="16"/>
  <c r="Q19" i="20" s="1"/>
  <c r="J53" i="26"/>
  <c r="J53" i="28" s="1"/>
  <c r="J35" i="10"/>
  <c r="J35" i="33" s="1"/>
  <c r="J37" i="23"/>
  <c r="CK152" i="16"/>
  <c r="BV152" i="16"/>
  <c r="CW153" i="16" s="1"/>
  <c r="BO152" i="16"/>
  <c r="T9" i="13"/>
  <c r="CI239" i="16"/>
  <c r="BS239" i="16"/>
  <c r="CT240" i="16" s="1"/>
  <c r="BM239" i="16"/>
  <c r="BR371" i="16"/>
  <c r="CS372" i="16" s="1"/>
  <c r="CJ371" i="16"/>
  <c r="BN371" i="16"/>
  <c r="O40" i="23"/>
  <c r="O40" i="21"/>
  <c r="O10" i="17"/>
  <c r="BQ457" i="16"/>
  <c r="P43" i="20" s="1"/>
  <c r="P43" i="33" s="1"/>
  <c r="J33" i="26"/>
  <c r="J23" i="10"/>
  <c r="J23" i="33" s="1"/>
  <c r="J25" i="23"/>
  <c r="M24" i="21"/>
  <c r="M24" i="23"/>
  <c r="M23" i="20"/>
  <c r="M32" i="17"/>
  <c r="O44" i="28"/>
  <c r="O44" i="29"/>
  <c r="J37" i="25"/>
  <c r="J55" i="18"/>
  <c r="J53" i="13"/>
  <c r="J55" i="21"/>
  <c r="Q58" i="18"/>
  <c r="Q57" i="25"/>
  <c r="CV195" i="16"/>
  <c r="BU195" i="16"/>
  <c r="CU87" i="16"/>
  <c r="BT87" i="16"/>
  <c r="CU195" i="16"/>
  <c r="BT195" i="16"/>
  <c r="N25" i="17"/>
  <c r="CL152" i="16"/>
  <c r="BX152" i="16"/>
  <c r="CY153" i="16" s="1"/>
  <c r="BP152" i="16"/>
  <c r="I25" i="27"/>
  <c r="I25" i="29"/>
  <c r="BS372" i="16"/>
  <c r="CT373" i="16" s="1"/>
  <c r="BM372" i="16"/>
  <c r="CI372" i="16"/>
  <c r="CV19" i="16"/>
  <c r="BU458" i="16"/>
  <c r="Q47" i="20" s="1"/>
  <c r="BP373" i="16"/>
  <c r="BX373" i="16"/>
  <c r="CY374" i="16" s="1"/>
  <c r="CL373" i="16"/>
  <c r="K39" i="28"/>
  <c r="K41" i="17"/>
  <c r="K39" i="29"/>
  <c r="N16" i="17"/>
  <c r="N13" i="28"/>
  <c r="N13" i="29"/>
  <c r="CL131" i="16"/>
  <c r="BX131" i="16"/>
  <c r="CY132" i="16" s="1"/>
  <c r="BP131" i="16"/>
  <c r="N10" i="28"/>
  <c r="N10" i="29"/>
  <c r="R61" i="13"/>
  <c r="Q46" i="18"/>
  <c r="Q51" i="13"/>
  <c r="CK133" i="16"/>
  <c r="BO133" i="16"/>
  <c r="Q33" i="18"/>
  <c r="P24" i="17"/>
  <c r="CJ19" i="16"/>
  <c r="BR19" i="16"/>
  <c r="BN458" i="16"/>
  <c r="Q18" i="20" s="1"/>
  <c r="Q18" i="33" s="1"/>
  <c r="CU19" i="16"/>
  <c r="BT458" i="16"/>
  <c r="Q46" i="20" s="1"/>
  <c r="CJ458" i="16"/>
  <c r="Q31" i="20" s="1"/>
  <c r="Q31" i="33" s="1"/>
  <c r="BR133" i="16"/>
  <c r="CJ133" i="16"/>
  <c r="BN133" i="16"/>
  <c r="J63" i="25"/>
  <c r="J73" i="18"/>
  <c r="J73" i="21"/>
  <c r="BU393" i="16"/>
  <c r="CV393" i="16"/>
  <c r="O34" i="20"/>
  <c r="O33" i="23"/>
  <c r="O33" i="21"/>
  <c r="M8" i="28"/>
  <c r="M11" i="17"/>
  <c r="M8" i="29"/>
  <c r="O36" i="27"/>
  <c r="K60" i="25"/>
  <c r="K61" i="18"/>
  <c r="K61" i="21"/>
  <c r="K43" i="18"/>
  <c r="L47" i="13"/>
  <c r="L58" i="13"/>
  <c r="K43" i="21"/>
  <c r="CR152" i="16"/>
  <c r="BQ152" i="16"/>
  <c r="I40" i="25"/>
  <c r="I33" i="27"/>
  <c r="I33" i="29"/>
  <c r="L68" i="10"/>
  <c r="K53" i="23"/>
  <c r="CN19" i="16"/>
  <c r="CN459" i="16" s="1"/>
  <c r="R56" i="20" s="1"/>
  <c r="BQ19" i="16"/>
  <c r="BD458" i="16"/>
  <c r="Q38" i="20" s="1"/>
  <c r="Q38" i="33" s="1"/>
  <c r="DB18" i="16"/>
  <c r="CC19" i="16"/>
  <c r="CC459" i="16" s="1"/>
  <c r="R8" i="20" s="1"/>
  <c r="AT458" i="16"/>
  <c r="BF458" i="16"/>
  <c r="Q40" i="20" s="1"/>
  <c r="BU19" i="16"/>
  <c r="CP19" i="16"/>
  <c r="CP459" i="16" s="1"/>
  <c r="R58" i="20" s="1"/>
  <c r="BT19" i="16"/>
  <c r="BE458" i="16"/>
  <c r="DE18" i="16"/>
  <c r="CO19" i="16"/>
  <c r="CO459" i="16" s="1"/>
  <c r="R57" i="20" s="1"/>
  <c r="DJ457" i="16"/>
  <c r="M54" i="17"/>
  <c r="L68" i="13"/>
  <c r="K53" i="18"/>
  <c r="K53" i="21"/>
  <c r="R9" i="27"/>
  <c r="J24" i="29"/>
  <c r="J24" i="27"/>
  <c r="K67" i="17"/>
  <c r="K66" i="17"/>
  <c r="O11" i="27"/>
  <c r="P52" i="20"/>
  <c r="J25" i="26"/>
  <c r="J25" i="28" s="1"/>
  <c r="J23" i="28"/>
  <c r="CX438" i="16"/>
  <c r="BW438" i="16"/>
  <c r="BO439" i="16"/>
  <c r="CK439" i="16"/>
  <c r="CK217" i="16"/>
  <c r="BV217" i="16"/>
  <c r="CW218" i="16" s="1"/>
  <c r="BO217" i="16"/>
  <c r="I34" i="26"/>
  <c r="I34" i="28" s="1"/>
  <c r="I26" i="23"/>
  <c r="I6" i="26"/>
  <c r="I6" i="28" s="1"/>
  <c r="J15" i="10"/>
  <c r="J15" i="33" s="1"/>
  <c r="J14" i="10"/>
  <c r="J14" i="33" s="1"/>
  <c r="L36" i="28"/>
  <c r="L36" i="29"/>
  <c r="CK372" i="16"/>
  <c r="BV372" i="16"/>
  <c r="CW373" i="16" s="1"/>
  <c r="BO372" i="16"/>
  <c r="O66" i="23"/>
  <c r="O66" i="21"/>
  <c r="P45" i="28"/>
  <c r="P45" i="29"/>
  <c r="BM393" i="16"/>
  <c r="CI393" i="16"/>
  <c r="BS393" i="16"/>
  <c r="CT394" i="16" s="1"/>
  <c r="K71" i="18"/>
  <c r="K71" i="21"/>
  <c r="M36" i="17"/>
  <c r="M54" i="23"/>
  <c r="M53" i="20"/>
  <c r="M54" i="21"/>
  <c r="CU64" i="16"/>
  <c r="BT64" i="16"/>
  <c r="DK457" i="16"/>
  <c r="L65" i="10"/>
  <c r="K50" i="23"/>
  <c r="T3" i="10"/>
  <c r="T7" i="10"/>
  <c r="T12" i="10"/>
  <c r="S8" i="26"/>
  <c r="CV217" i="16"/>
  <c r="BU217" i="16"/>
  <c r="O27" i="17"/>
  <c r="P37" i="20"/>
  <c r="P37" i="33" s="1"/>
  <c r="DG457" i="16"/>
  <c r="DF457" i="16"/>
  <c r="P10" i="21"/>
  <c r="P10" i="20"/>
  <c r="P10" i="33" s="1"/>
  <c r="P10" i="23"/>
  <c r="P44" i="17"/>
  <c r="N33" i="17"/>
  <c r="I21" i="27"/>
  <c r="I21" i="29"/>
  <c r="T8" i="13"/>
  <c r="S13" i="25"/>
  <c r="Q15" i="25"/>
  <c r="Q41" i="18"/>
  <c r="R43" i="13"/>
  <c r="R56" i="13"/>
  <c r="N70" i="20"/>
  <c r="N62" i="17"/>
  <c r="Q64" i="18"/>
  <c r="CB65" i="16"/>
  <c r="DC64" i="16"/>
  <c r="CI86" i="16"/>
  <c r="BS86" i="16"/>
  <c r="CT87" i="16" s="1"/>
  <c r="BM86" i="16"/>
  <c r="CV284" i="16"/>
  <c r="BU284" i="16"/>
  <c r="J61" i="29"/>
  <c r="J61" i="27"/>
  <c r="M64" i="17"/>
  <c r="CJ175" i="16"/>
  <c r="BR175" i="16"/>
  <c r="CS176" i="16" s="1"/>
  <c r="BN175" i="16"/>
  <c r="L34" i="17"/>
  <c r="L6" i="17"/>
  <c r="CI438" i="16"/>
  <c r="BS438" i="16"/>
  <c r="CT439" i="16" s="1"/>
  <c r="BM438" i="16"/>
  <c r="Q60" i="17"/>
  <c r="K35" i="18"/>
  <c r="K34" i="13"/>
  <c r="K35" i="21"/>
  <c r="BR263" i="16"/>
  <c r="CS264" i="16" s="1"/>
  <c r="CJ263" i="16"/>
  <c r="BN263" i="16"/>
  <c r="L11" i="28"/>
  <c r="L11" i="29"/>
  <c r="CR19" i="16"/>
  <c r="Q59" i="17"/>
  <c r="CU130" i="16"/>
  <c r="BT130" i="16"/>
  <c r="I67" i="25"/>
  <c r="I65" i="27"/>
  <c r="I65" i="29"/>
  <c r="N21" i="20"/>
  <c r="N21" i="33" s="1"/>
  <c r="N20" i="21"/>
  <c r="N20" i="23"/>
  <c r="CX174" i="16"/>
  <c r="BW174" i="16"/>
  <c r="J23" i="27"/>
  <c r="P57" i="27"/>
  <c r="P57" i="29"/>
  <c r="I34" i="25"/>
  <c r="I26" i="18"/>
  <c r="I76" i="18" s="1"/>
  <c r="I78" i="18" s="1"/>
  <c r="I26" i="21"/>
  <c r="J14" i="13"/>
  <c r="J15" i="13"/>
  <c r="I6" i="25"/>
  <c r="I67" i="26"/>
  <c r="I67" i="28" s="1"/>
  <c r="I65" i="28"/>
  <c r="CH19" i="16"/>
  <c r="CH459" i="16" s="1"/>
  <c r="R28" i="20" s="1"/>
  <c r="AZ458" i="16"/>
  <c r="Q15" i="20" s="1"/>
  <c r="BP19" i="16"/>
  <c r="CB18" i="16"/>
  <c r="CB458" i="16" s="1"/>
  <c r="Q7" i="20" s="1"/>
  <c r="Q7" i="33" s="1"/>
  <c r="DC17" i="16"/>
  <c r="AS457" i="16"/>
  <c r="AU458" i="16"/>
  <c r="Q5" i="20" s="1"/>
  <c r="Q5" i="33" s="1"/>
  <c r="BN19" i="16"/>
  <c r="CD19" i="16"/>
  <c r="CD459" i="16" s="1"/>
  <c r="R9" i="20" s="1"/>
  <c r="P46" i="28"/>
  <c r="P46" i="29"/>
  <c r="M40" i="17"/>
  <c r="CU153" i="16"/>
  <c r="BT153" i="16"/>
  <c r="L58" i="10"/>
  <c r="L58" i="33" s="1"/>
  <c r="L47" i="10"/>
  <c r="L47" i="33" s="1"/>
  <c r="K43" i="23"/>
  <c r="I66" i="25"/>
  <c r="CK109" i="16"/>
  <c r="BV109" i="16"/>
  <c r="CW110" i="16" s="1"/>
  <c r="BO109" i="16"/>
  <c r="R44" i="27"/>
  <c r="O14" i="28"/>
  <c r="O14" i="29"/>
  <c r="I28" i="26"/>
  <c r="I28" i="28" s="1"/>
  <c r="I26" i="28"/>
  <c r="O23" i="17"/>
  <c r="K60" i="26"/>
  <c r="K60" i="28" s="1"/>
  <c r="K61" i="23"/>
  <c r="Q50" i="17"/>
  <c r="Q28" i="23"/>
  <c r="Q28" i="21"/>
  <c r="I28" i="25"/>
  <c r="I26" i="27"/>
  <c r="I26" i="29"/>
  <c r="K34" i="10"/>
  <c r="K34" i="33" s="1"/>
  <c r="K35" i="23"/>
  <c r="O47" i="17"/>
  <c r="O13" i="23"/>
  <c r="O13" i="21"/>
  <c r="K67" i="18"/>
  <c r="K69" i="13"/>
  <c r="K67" i="21"/>
  <c r="Q40" i="18"/>
  <c r="R55" i="13"/>
  <c r="Q10" i="25"/>
  <c r="R38" i="13"/>
  <c r="R37" i="13"/>
  <c r="BO393" i="16"/>
  <c r="CK393" i="16"/>
  <c r="BV393" i="16"/>
  <c r="CW394" i="16" s="1"/>
  <c r="P36" i="25"/>
  <c r="P54" i="18"/>
  <c r="CR262" i="16"/>
  <c r="BQ262" i="16"/>
  <c r="P34" i="23"/>
  <c r="P34" i="21"/>
  <c r="J53" i="25"/>
  <c r="J35" i="13"/>
  <c r="J37" i="18"/>
  <c r="J37" i="21"/>
  <c r="O19" i="17"/>
  <c r="P20" i="17"/>
  <c r="L66" i="13"/>
  <c r="K51" i="18"/>
  <c r="K51" i="21"/>
  <c r="K70" i="18"/>
  <c r="K70" i="21"/>
  <c r="CR240" i="16"/>
  <c r="BQ240" i="16"/>
  <c r="BV305" i="16"/>
  <c r="CW306" i="16" s="1"/>
  <c r="CK305" i="16"/>
  <c r="BO305" i="16"/>
  <c r="BQ438" i="16"/>
  <c r="CR438" i="16"/>
  <c r="O16" i="27"/>
  <c r="CI262" i="16"/>
  <c r="BS262" i="16"/>
  <c r="CT263" i="16" s="1"/>
  <c r="BM262" i="16"/>
  <c r="CX19" i="16"/>
  <c r="BW458" i="16"/>
  <c r="Q49" i="20" s="1"/>
  <c r="P39" i="20"/>
  <c r="DE457" i="16"/>
  <c r="CS19" i="16"/>
  <c r="CS459" i="16" s="1"/>
  <c r="R62" i="20" s="1"/>
  <c r="BR458" i="16"/>
  <c r="Q44" i="20" s="1"/>
  <c r="Q44" i="33" s="1"/>
  <c r="J52" i="27"/>
  <c r="J52" i="29"/>
  <c r="CI17" i="16"/>
  <c r="CI457" i="16" s="1"/>
  <c r="P30" i="20" s="1"/>
  <c r="P30" i="33" s="1"/>
  <c r="BS17" i="16"/>
  <c r="BM456" i="16"/>
  <c r="O17" i="20" s="1"/>
  <c r="O17" i="33" s="1"/>
  <c r="BM17" i="16"/>
  <c r="CX218" i="16"/>
  <c r="BW218" i="16"/>
  <c r="CX373" i="16"/>
  <c r="BW373" i="16"/>
  <c r="L64" i="13"/>
  <c r="Y19" i="16"/>
  <c r="AF19" i="16"/>
  <c r="AZ19" i="16" s="1"/>
  <c r="AI19" i="16"/>
  <c r="BC19" i="16" s="1"/>
  <c r="AM19" i="16"/>
  <c r="BG19" i="16" s="1"/>
  <c r="AN19" i="16"/>
  <c r="BH19" i="16" s="1"/>
  <c r="BH459" i="16" s="1"/>
  <c r="Z19" i="16"/>
  <c r="AT19" i="16" s="1"/>
  <c r="AC19" i="16"/>
  <c r="AW19" i="16" s="1"/>
  <c r="AJ19" i="16"/>
  <c r="BD19" i="16" s="1"/>
  <c r="AB19" i="16"/>
  <c r="AV19" i="16" s="1"/>
  <c r="AO19" i="16"/>
  <c r="BI19" i="16" s="1"/>
  <c r="BI459" i="16" s="1"/>
  <c r="AS18" i="16"/>
  <c r="AL19" i="16"/>
  <c r="BF19" i="16" s="1"/>
  <c r="AH19" i="16"/>
  <c r="BB19" i="16" s="1"/>
  <c r="BB459" i="16" s="1"/>
  <c r="AD19" i="16"/>
  <c r="AX19" i="16" s="1"/>
  <c r="AK19" i="16"/>
  <c r="BE19" i="16" s="1"/>
  <c r="AG19" i="16"/>
  <c r="BA19" i="16" s="1"/>
  <c r="BA459" i="16" s="1"/>
  <c r="AE19" i="16"/>
  <c r="AY19" i="16" s="1"/>
  <c r="AA19" i="16"/>
  <c r="AU19" i="16" s="1"/>
  <c r="K36" i="18"/>
  <c r="K36" i="21"/>
  <c r="K61" i="25"/>
  <c r="K62" i="18"/>
  <c r="K62" i="21"/>
  <c r="N35" i="20"/>
  <c r="N53" i="17"/>
  <c r="CU350" i="16"/>
  <c r="BT350" i="16"/>
  <c r="K59" i="26"/>
  <c r="K59" i="28" s="1"/>
  <c r="K60" i="23"/>
  <c r="Q11" i="21"/>
  <c r="Q45" i="17"/>
  <c r="Q11" i="23"/>
  <c r="BS151" i="16"/>
  <c r="CT152" i="16" s="1"/>
  <c r="CI151" i="16"/>
  <c r="BM151" i="16"/>
  <c r="Q65" i="21"/>
  <c r="Q65" i="23"/>
  <c r="K69" i="18"/>
  <c r="K69" i="21"/>
  <c r="P58" i="29"/>
  <c r="P58" i="27"/>
  <c r="DC456" i="16"/>
  <c r="O3" i="20"/>
  <c r="O3" i="33" s="1"/>
  <c r="O30" i="28"/>
  <c r="O30" i="29"/>
  <c r="CR306" i="16"/>
  <c r="BQ306" i="16"/>
  <c r="CK87" i="16"/>
  <c r="BV87" i="16"/>
  <c r="CW88" i="16" s="1"/>
  <c r="BO87" i="16"/>
  <c r="CI196" i="16"/>
  <c r="BS196" i="16"/>
  <c r="CT197" i="16" s="1"/>
  <c r="BM196" i="16"/>
  <c r="BN350" i="16"/>
  <c r="CJ350" i="16"/>
  <c r="BR350" i="16"/>
  <c r="CS351" i="16" s="1"/>
  <c r="S8" i="25"/>
  <c r="T3" i="13"/>
  <c r="T4" i="13"/>
  <c r="T7" i="13"/>
  <c r="S6" i="18"/>
  <c r="BR438" i="16"/>
  <c r="CS439" i="16" s="1"/>
  <c r="CJ438" i="16"/>
  <c r="BN438" i="16"/>
  <c r="O37" i="17"/>
  <c r="CJ327" i="16"/>
  <c r="BR327" i="16"/>
  <c r="CS328" i="16" s="1"/>
  <c r="BN327" i="16"/>
  <c r="N47" i="28"/>
  <c r="N48" i="17"/>
  <c r="N47" i="29"/>
  <c r="P10" i="27"/>
  <c r="P11" i="25"/>
  <c r="BS284" i="16"/>
  <c r="CT285" i="16" s="1"/>
  <c r="CI284" i="16"/>
  <c r="BM284" i="16"/>
  <c r="BU416" i="16"/>
  <c r="CV416" i="16"/>
  <c r="DC87" i="16"/>
  <c r="CB88" i="16"/>
  <c r="CR218" i="16"/>
  <c r="BQ218" i="16"/>
  <c r="CX110" i="16"/>
  <c r="BW110" i="16"/>
  <c r="M16" i="28"/>
  <c r="M16" i="29"/>
  <c r="L32" i="28"/>
  <c r="L39" i="17"/>
  <c r="L32" i="29"/>
  <c r="L65" i="17"/>
  <c r="J33" i="25"/>
  <c r="J25" i="18"/>
  <c r="J23" i="13"/>
  <c r="J25" i="21"/>
  <c r="Q59" i="18"/>
  <c r="Q58" i="25"/>
  <c r="CU329" i="16"/>
  <c r="BT329" i="16"/>
  <c r="CK458" i="16"/>
  <c r="Q32" i="20" s="1"/>
  <c r="Q20" i="18"/>
  <c r="R45" i="13"/>
  <c r="Q21" i="13"/>
  <c r="R30" i="13"/>
  <c r="R17" i="13"/>
  <c r="Q48" i="18"/>
  <c r="R63" i="13"/>
  <c r="BR415" i="16"/>
  <c r="CS416" i="16" s="1"/>
  <c r="BN415" i="16"/>
  <c r="CJ415" i="16"/>
  <c r="Q58" i="17"/>
  <c r="Q59" i="21"/>
  <c r="Q59" i="23"/>
  <c r="P30" i="17"/>
  <c r="P8" i="23"/>
  <c r="P8" i="21"/>
  <c r="DI17" i="16"/>
  <c r="P21" i="23"/>
  <c r="P21" i="21"/>
  <c r="DC41" i="16"/>
  <c r="CB42" i="16"/>
  <c r="BR239" i="16"/>
  <c r="CS240" i="16" s="1"/>
  <c r="CJ239" i="16"/>
  <c r="BN239" i="16"/>
  <c r="BR283" i="16"/>
  <c r="CS284" i="16" s="1"/>
  <c r="CJ283" i="16"/>
  <c r="BN283" i="16"/>
  <c r="CI415" i="16"/>
  <c r="BS415" i="16"/>
  <c r="CT416" i="16" s="1"/>
  <c r="BM415" i="16"/>
  <c r="M48" i="28"/>
  <c r="M48" i="29"/>
  <c r="CT17" i="16"/>
  <c r="CT457" i="16" s="1"/>
  <c r="P63" i="20" s="1"/>
  <c r="P63" i="33" s="1"/>
  <c r="BS456" i="16"/>
  <c r="O45" i="20" s="1"/>
  <c r="O45" i="33" s="1"/>
  <c r="P50" i="28"/>
  <c r="P50" i="29"/>
  <c r="N39" i="27"/>
  <c r="L65" i="13"/>
  <c r="K50" i="18"/>
  <c r="K50" i="21"/>
  <c r="K59" i="25"/>
  <c r="K60" i="18"/>
  <c r="K60" i="21"/>
  <c r="CR130" i="16"/>
  <c r="BQ130" i="16"/>
  <c r="CR109" i="16"/>
  <c r="BQ109" i="16"/>
  <c r="CR284" i="16"/>
  <c r="BQ284" i="16"/>
  <c r="O22" i="20"/>
  <c r="CQ19" i="16"/>
  <c r="CQ459" i="16" s="1"/>
  <c r="R59" i="20" s="1"/>
  <c r="BW19" i="16"/>
  <c r="BG458" i="16"/>
  <c r="Q41" i="20" s="1"/>
  <c r="BO19" i="16"/>
  <c r="CG19" i="16"/>
  <c r="CG459" i="16" s="1"/>
  <c r="R27" i="20" s="1"/>
  <c r="DD18" i="16"/>
  <c r="AY458" i="16"/>
  <c r="AX458" i="16"/>
  <c r="Q13" i="20" s="1"/>
  <c r="Q13" i="33" s="1"/>
  <c r="CF19" i="16"/>
  <c r="CF459" i="16" s="1"/>
  <c r="R26" i="20" s="1"/>
  <c r="CX131" i="16"/>
  <c r="BW131" i="16"/>
  <c r="L55" i="17"/>
  <c r="CU458" i="16"/>
  <c r="Q64" i="20" s="1"/>
  <c r="L64" i="10"/>
  <c r="L64" i="33" s="1"/>
  <c r="K52" i="10"/>
  <c r="K52" i="33" s="1"/>
  <c r="K49" i="23"/>
  <c r="CU284" i="16"/>
  <c r="BT284" i="16"/>
  <c r="BO416" i="16"/>
  <c r="CK416" i="16"/>
  <c r="BV416" i="16"/>
  <c r="CW417" i="16" s="1"/>
  <c r="P20" i="20"/>
  <c r="BX458" i="16"/>
  <c r="Q50" i="20" s="1"/>
  <c r="H28" i="29"/>
  <c r="H28" i="27"/>
  <c r="P4" i="20"/>
  <c r="P4" i="33" s="1"/>
  <c r="DB457" i="16"/>
  <c r="I40" i="26"/>
  <c r="I33" i="28"/>
  <c r="CV305" i="16"/>
  <c r="BU305" i="16"/>
  <c r="N48" i="21"/>
  <c r="N48" i="23"/>
  <c r="N51" i="20"/>
  <c r="N51" i="33" s="1"/>
  <c r="CR86" i="16"/>
  <c r="BQ86" i="16"/>
  <c r="CU218" i="16"/>
  <c r="BT218" i="16"/>
  <c r="DI456" i="16"/>
  <c r="CR328" i="16"/>
  <c r="BQ328" i="16"/>
  <c r="S44" i="26"/>
  <c r="S28" i="18" l="1"/>
  <c r="K49" i="18"/>
  <c r="T13" i="13"/>
  <c r="T14" i="25" s="1"/>
  <c r="CK66" i="16"/>
  <c r="S44" i="25"/>
  <c r="S44" i="27" s="1"/>
  <c r="L67" i="13"/>
  <c r="L69" i="13" s="1"/>
  <c r="T26" i="13"/>
  <c r="T51" i="25" s="1"/>
  <c r="T18" i="13"/>
  <c r="U18" i="13" s="1"/>
  <c r="S30" i="25"/>
  <c r="S10" i="18"/>
  <c r="K49" i="31"/>
  <c r="K52" i="21"/>
  <c r="K52" i="13"/>
  <c r="K55" i="21" s="1"/>
  <c r="S10" i="13"/>
  <c r="S15" i="18"/>
  <c r="K46" i="31"/>
  <c r="CI66" i="16"/>
  <c r="K52" i="18"/>
  <c r="T12" i="13"/>
  <c r="T12" i="31" s="1"/>
  <c r="K49" i="21"/>
  <c r="S9" i="25"/>
  <c r="S9" i="27" s="1"/>
  <c r="DI133" i="16"/>
  <c r="DH133" i="16"/>
  <c r="J23" i="29"/>
  <c r="DI110" i="16"/>
  <c r="BR66" i="16"/>
  <c r="CS67" i="16" s="1"/>
  <c r="DD111" i="16"/>
  <c r="BM66" i="16"/>
  <c r="CI67" i="16" s="1"/>
  <c r="DH110" i="16"/>
  <c r="DE111" i="16"/>
  <c r="J64" i="26"/>
  <c r="J64" i="28" s="1"/>
  <c r="DB111" i="16"/>
  <c r="DJ111" i="16"/>
  <c r="DC111" i="16"/>
  <c r="AE89" i="16"/>
  <c r="AY89" i="16" s="1"/>
  <c r="DK111" i="16"/>
  <c r="DH87" i="16"/>
  <c r="DG111" i="16"/>
  <c r="DC110" i="16"/>
  <c r="CY88" i="16"/>
  <c r="BX88" i="16"/>
  <c r="DG88" i="16"/>
  <c r="BO240" i="16"/>
  <c r="BV240" i="16"/>
  <c r="CW241" i="16" s="1"/>
  <c r="CK240" i="16"/>
  <c r="CN89" i="16"/>
  <c r="AJ89" i="16"/>
  <c r="BD89" i="16" s="1"/>
  <c r="AG89" i="16"/>
  <c r="BA89" i="16" s="1"/>
  <c r="DF111" i="16"/>
  <c r="BN66" i="16"/>
  <c r="BR67" i="16" s="1"/>
  <c r="DE88" i="16"/>
  <c r="DD88" i="16"/>
  <c r="DJ88" i="16"/>
  <c r="AN89" i="16"/>
  <c r="BH89" i="16" s="1"/>
  <c r="Z89" i="16"/>
  <c r="AT89" i="16" s="1"/>
  <c r="BW43" i="16"/>
  <c r="CX44" i="16" s="1"/>
  <c r="DI87" i="16"/>
  <c r="DF88" i="16"/>
  <c r="BX43" i="16"/>
  <c r="CY44" i="16" s="1"/>
  <c r="DB88" i="16"/>
  <c r="AM89" i="16"/>
  <c r="BG89" i="16" s="1"/>
  <c r="AD89" i="16"/>
  <c r="AX89" i="16" s="1"/>
  <c r="AA89" i="16"/>
  <c r="AU89" i="16" s="1"/>
  <c r="DK88" i="16"/>
  <c r="BP89" i="16"/>
  <c r="BN89" i="16"/>
  <c r="AO89" i="16"/>
  <c r="BI89" i="16" s="1"/>
  <c r="AI89" i="16"/>
  <c r="BC89" i="16" s="1"/>
  <c r="Y89" i="16"/>
  <c r="AS89" i="16" s="1"/>
  <c r="AK89" i="16"/>
  <c r="BE89" i="16" s="1"/>
  <c r="O70" i="20"/>
  <c r="O63" i="17" s="1"/>
  <c r="DG42" i="16"/>
  <c r="DI41" i="16"/>
  <c r="BU43" i="16"/>
  <c r="CV44" i="16" s="1"/>
  <c r="I55" i="27"/>
  <c r="BP66" i="16"/>
  <c r="AH89" i="16"/>
  <c r="BB89" i="16" s="1"/>
  <c r="AF89" i="16"/>
  <c r="AZ89" i="16" s="1"/>
  <c r="AC89" i="16"/>
  <c r="AW89" i="16" s="1"/>
  <c r="AL89" i="16"/>
  <c r="BF89" i="16" s="1"/>
  <c r="AB89" i="16"/>
  <c r="AV89" i="16" s="1"/>
  <c r="BP43" i="16"/>
  <c r="CL44" i="16" s="1"/>
  <c r="AF43" i="16"/>
  <c r="AZ43" i="16" s="1"/>
  <c r="CH44" i="16" s="1"/>
  <c r="BP241" i="16"/>
  <c r="BX241" i="16"/>
  <c r="CY242" i="16" s="1"/>
  <c r="CL241" i="16"/>
  <c r="DH41" i="16"/>
  <c r="CQ43" i="16"/>
  <c r="CO43" i="16"/>
  <c r="P39" i="26"/>
  <c r="BW66" i="16"/>
  <c r="CX67" i="16" s="1"/>
  <c r="DE42" i="16"/>
  <c r="CW459" i="16"/>
  <c r="R66" i="20" s="1"/>
  <c r="DD65" i="16"/>
  <c r="DK42" i="16"/>
  <c r="BM43" i="16"/>
  <c r="CI44" i="16" s="1"/>
  <c r="DI64" i="16"/>
  <c r="CI43" i="16"/>
  <c r="CH43" i="16"/>
  <c r="BR43" i="16"/>
  <c r="CS44" i="16" s="1"/>
  <c r="BV43" i="16"/>
  <c r="CW44" i="16" s="1"/>
  <c r="DK65" i="16"/>
  <c r="AI66" i="16"/>
  <c r="BC66" i="16" s="1"/>
  <c r="CM67" i="16" s="1"/>
  <c r="Q61" i="33"/>
  <c r="BS132" i="16"/>
  <c r="CT133" i="16" s="1"/>
  <c r="CI132" i="16"/>
  <c r="BM132" i="16"/>
  <c r="Q58" i="28"/>
  <c r="BS43" i="16"/>
  <c r="CT44" i="16" s="1"/>
  <c r="CG66" i="16"/>
  <c r="BN43" i="16"/>
  <c r="CJ44" i="16" s="1"/>
  <c r="DH64" i="16"/>
  <c r="BO43" i="16"/>
  <c r="BV44" i="16" s="1"/>
  <c r="CW45" i="16" s="1"/>
  <c r="Q38" i="32"/>
  <c r="S44" i="13"/>
  <c r="S62" i="13"/>
  <c r="CW438" i="16"/>
  <c r="BV438" i="16"/>
  <c r="L69" i="23"/>
  <c r="L66" i="33"/>
  <c r="R62" i="33"/>
  <c r="R65" i="18"/>
  <c r="R62" i="31"/>
  <c r="R31" i="31"/>
  <c r="R34" i="18"/>
  <c r="R51" i="26"/>
  <c r="R51" i="27" s="1"/>
  <c r="R26" i="33"/>
  <c r="R26" i="31"/>
  <c r="R29" i="18"/>
  <c r="Q13" i="27"/>
  <c r="Q16" i="26"/>
  <c r="T57" i="26"/>
  <c r="L70" i="23"/>
  <c r="L67" i="33"/>
  <c r="S44" i="10"/>
  <c r="R18" i="31"/>
  <c r="R21" i="18"/>
  <c r="S31" i="10"/>
  <c r="R46" i="26"/>
  <c r="R46" i="27" s="1"/>
  <c r="R9" i="33"/>
  <c r="R9" i="31"/>
  <c r="R12" i="18"/>
  <c r="R58" i="26"/>
  <c r="R56" i="33"/>
  <c r="Q36" i="26"/>
  <c r="S62" i="10"/>
  <c r="R44" i="31"/>
  <c r="R47" i="18"/>
  <c r="R21" i="10"/>
  <c r="S30" i="10"/>
  <c r="S45" i="10"/>
  <c r="CV241" i="16"/>
  <c r="BU241" i="16"/>
  <c r="R45" i="26"/>
  <c r="R45" i="27" s="1"/>
  <c r="R8" i="33"/>
  <c r="R8" i="31"/>
  <c r="R10" i="10"/>
  <c r="R11" i="18"/>
  <c r="CF66" i="16"/>
  <c r="L68" i="23"/>
  <c r="L65" i="33"/>
  <c r="DI18" i="16"/>
  <c r="AD66" i="16"/>
  <c r="AX66" i="16" s="1"/>
  <c r="CF67" i="16" s="1"/>
  <c r="T50" i="26"/>
  <c r="BX66" i="16"/>
  <c r="CY67" i="16" s="1"/>
  <c r="BP263" i="16"/>
  <c r="BX263" i="16"/>
  <c r="CY264" i="16" s="1"/>
  <c r="CL263" i="16"/>
  <c r="S18" i="10"/>
  <c r="R5" i="31"/>
  <c r="S9" i="10"/>
  <c r="R8" i="18"/>
  <c r="R30" i="26"/>
  <c r="S4" i="10"/>
  <c r="S5" i="10"/>
  <c r="R13" i="26"/>
  <c r="S8" i="10"/>
  <c r="R4" i="31"/>
  <c r="S13" i="10"/>
  <c r="R7" i="18"/>
  <c r="Z43" i="16"/>
  <c r="AT43" i="16" s="1"/>
  <c r="DF65" i="16"/>
  <c r="BU109" i="16"/>
  <c r="CV109" i="16"/>
  <c r="S61" i="10"/>
  <c r="R51" i="10"/>
  <c r="S63" i="10"/>
  <c r="DB65" i="16"/>
  <c r="CM66" i="16"/>
  <c r="S17" i="10"/>
  <c r="R13" i="31"/>
  <c r="S26" i="10"/>
  <c r="R16" i="18"/>
  <c r="S38" i="10"/>
  <c r="R14" i="26"/>
  <c r="R14" i="27" s="1"/>
  <c r="DE65" i="16"/>
  <c r="AB43" i="16"/>
  <c r="AV43" i="16" s="1"/>
  <c r="L71" i="23"/>
  <c r="L68" i="33"/>
  <c r="BO66" i="16"/>
  <c r="CK67" i="16" s="1"/>
  <c r="DJ42" i="16"/>
  <c r="P15" i="29"/>
  <c r="CY460" i="16"/>
  <c r="S68" i="20" s="1"/>
  <c r="DF42" i="16"/>
  <c r="DI42" i="16" s="1"/>
  <c r="CV65" i="16"/>
  <c r="BU65" i="16"/>
  <c r="CV66" i="16" s="1"/>
  <c r="Q32" i="26"/>
  <c r="P48" i="26"/>
  <c r="P48" i="27" s="1"/>
  <c r="P47" i="27"/>
  <c r="S43" i="10"/>
  <c r="R15" i="26"/>
  <c r="S56" i="10"/>
  <c r="Q47" i="26"/>
  <c r="Q48" i="26" s="1"/>
  <c r="Q48" i="27" s="1"/>
  <c r="Q10" i="31"/>
  <c r="Q13" i="18"/>
  <c r="N51" i="32"/>
  <c r="P69" i="20"/>
  <c r="P70" i="20" s="1"/>
  <c r="P63" i="32"/>
  <c r="L64" i="32"/>
  <c r="Q44" i="32"/>
  <c r="K69" i="32"/>
  <c r="R9" i="32"/>
  <c r="J15" i="32"/>
  <c r="L47" i="32"/>
  <c r="P43" i="32"/>
  <c r="DD42" i="16"/>
  <c r="BN110" i="16"/>
  <c r="BR110" i="16"/>
  <c r="CS111" i="16" s="1"/>
  <c r="CJ110" i="16"/>
  <c r="P4" i="32"/>
  <c r="J23" i="32"/>
  <c r="P30" i="32"/>
  <c r="R62" i="32"/>
  <c r="L66" i="32"/>
  <c r="R55" i="32"/>
  <c r="Q7" i="32"/>
  <c r="J14" i="32"/>
  <c r="R56" i="32"/>
  <c r="DB42" i="16"/>
  <c r="AM66" i="16"/>
  <c r="BG66" i="16" s="1"/>
  <c r="R26" i="32"/>
  <c r="J35" i="32"/>
  <c r="Q5" i="32"/>
  <c r="N21" i="32"/>
  <c r="L68" i="32"/>
  <c r="Q18" i="32"/>
  <c r="J53" i="32"/>
  <c r="Q12" i="32"/>
  <c r="AL43" i="16"/>
  <c r="BF43" i="16" s="1"/>
  <c r="CP44" i="16" s="1"/>
  <c r="CY219" i="16"/>
  <c r="BX219" i="16"/>
  <c r="BT263" i="16"/>
  <c r="CU263" i="16"/>
  <c r="BP395" i="16"/>
  <c r="BX395" i="16"/>
  <c r="CY396" i="16" s="1"/>
  <c r="CL395" i="16"/>
  <c r="L67" i="32"/>
  <c r="Q13" i="32"/>
  <c r="L65" i="32"/>
  <c r="O45" i="32"/>
  <c r="O3" i="32"/>
  <c r="O17" i="32"/>
  <c r="AO43" i="16"/>
  <c r="BI43" i="16" s="1"/>
  <c r="BQ43" i="16"/>
  <c r="CR44" i="16" s="1"/>
  <c r="K34" i="32"/>
  <c r="P10" i="32"/>
  <c r="P37" i="32"/>
  <c r="R8" i="32"/>
  <c r="L58" i="32"/>
  <c r="Q31" i="32"/>
  <c r="AB66" i="16"/>
  <c r="AV66" i="16" s="1"/>
  <c r="R25" i="32"/>
  <c r="AA66" i="16"/>
  <c r="AU66" i="16" s="1"/>
  <c r="CD67" i="16" s="1"/>
  <c r="CL307" i="16"/>
  <c r="BX307" i="16"/>
  <c r="CY308" i="16" s="1"/>
  <c r="BP307" i="16"/>
  <c r="BX329" i="16"/>
  <c r="CY330" i="16" s="1"/>
  <c r="BP329" i="16"/>
  <c r="CL329" i="16"/>
  <c r="CL440" i="16"/>
  <c r="BX440" i="16"/>
  <c r="CY441" i="16" s="1"/>
  <c r="BP440" i="16"/>
  <c r="CK328" i="16"/>
  <c r="BO328" i="16"/>
  <c r="BV328" i="16"/>
  <c r="CW329" i="16" s="1"/>
  <c r="L65" i="31"/>
  <c r="R30" i="31"/>
  <c r="K69" i="31"/>
  <c r="L58" i="31"/>
  <c r="CX416" i="16"/>
  <c r="BW416" i="16"/>
  <c r="CS87" i="16"/>
  <c r="BR87" i="16"/>
  <c r="CV329" i="16"/>
  <c r="BU329" i="16"/>
  <c r="Y43" i="16"/>
  <c r="AS43" i="16" s="1"/>
  <c r="AS42" i="16"/>
  <c r="DC42" i="16" s="1"/>
  <c r="AJ43" i="16"/>
  <c r="BD43" i="16" s="1"/>
  <c r="CN44" i="16" s="1"/>
  <c r="CX459" i="16"/>
  <c r="R67" i="20" s="1"/>
  <c r="R55" i="31"/>
  <c r="J14" i="31"/>
  <c r="L47" i="31"/>
  <c r="Q51" i="31"/>
  <c r="DG65" i="16"/>
  <c r="Y66" i="16"/>
  <c r="AS66" i="16" s="1"/>
  <c r="CV88" i="16"/>
  <c r="BU88" i="16"/>
  <c r="CL175" i="16"/>
  <c r="BP175" i="16"/>
  <c r="BX175" i="16"/>
  <c r="CY176" i="16" s="1"/>
  <c r="R17" i="31"/>
  <c r="AH43" i="16"/>
  <c r="BB43" i="16" s="1"/>
  <c r="AD43" i="16"/>
  <c r="AX43" i="16" s="1"/>
  <c r="AA43" i="16"/>
  <c r="AU43" i="16" s="1"/>
  <c r="CD44" i="16" s="1"/>
  <c r="AG43" i="16"/>
  <c r="BA43" i="16" s="1"/>
  <c r="AN43" i="16"/>
  <c r="BH43" i="16" s="1"/>
  <c r="R38" i="31"/>
  <c r="K34" i="31"/>
  <c r="R43" i="31"/>
  <c r="L68" i="31"/>
  <c r="R61" i="31"/>
  <c r="AS65" i="16"/>
  <c r="CB66" i="16" s="1"/>
  <c r="AF66" i="16"/>
  <c r="AZ66" i="16" s="1"/>
  <c r="Z66" i="16"/>
  <c r="AT66" i="16" s="1"/>
  <c r="CC67" i="16" s="1"/>
  <c r="AC66" i="16"/>
  <c r="AW66" i="16" s="1"/>
  <c r="CE67" i="16" s="1"/>
  <c r="AN66" i="16"/>
  <c r="BH66" i="16" s="1"/>
  <c r="J53" i="31"/>
  <c r="CG43" i="16"/>
  <c r="DJ65" i="16"/>
  <c r="BU439" i="16"/>
  <c r="CV439" i="16"/>
  <c r="BN306" i="16"/>
  <c r="CJ306" i="16"/>
  <c r="BR306" i="16"/>
  <c r="CS307" i="16" s="1"/>
  <c r="CU174" i="16"/>
  <c r="BT174" i="16"/>
  <c r="BV351" i="16"/>
  <c r="CW352" i="16" s="1"/>
  <c r="BO351" i="16"/>
  <c r="CK351" i="16"/>
  <c r="CW131" i="16"/>
  <c r="BV131" i="16"/>
  <c r="CU306" i="16"/>
  <c r="BT306" i="16"/>
  <c r="BT394" i="16"/>
  <c r="CU394" i="16"/>
  <c r="BW350" i="16"/>
  <c r="CX350" i="16"/>
  <c r="BW262" i="16"/>
  <c r="CX262" i="16"/>
  <c r="J35" i="31"/>
  <c r="J15" i="31"/>
  <c r="BM350" i="16"/>
  <c r="CI350" i="16"/>
  <c r="BS350" i="16"/>
  <c r="CT351" i="16" s="1"/>
  <c r="BV196" i="16"/>
  <c r="CW197" i="16" s="1"/>
  <c r="CK196" i="16"/>
  <c r="BO196" i="16"/>
  <c r="CK262" i="16"/>
  <c r="BO262" i="16"/>
  <c r="BV262" i="16"/>
  <c r="CW263" i="16" s="1"/>
  <c r="BU350" i="16"/>
  <c r="CV350" i="16"/>
  <c r="BT417" i="16"/>
  <c r="CU417" i="16"/>
  <c r="BW240" i="16"/>
  <c r="CX240" i="16"/>
  <c r="R66" i="18"/>
  <c r="R63" i="31"/>
  <c r="Q21" i="31"/>
  <c r="T3" i="31"/>
  <c r="AC43" i="16"/>
  <c r="AW43" i="16" s="1"/>
  <c r="CE44" i="16" s="1"/>
  <c r="L66" i="31"/>
  <c r="S11" i="26"/>
  <c r="CJ459" i="16"/>
  <c r="R31" i="20" s="1"/>
  <c r="R31" i="33" s="1"/>
  <c r="AJ66" i="16"/>
  <c r="BD66" i="16" s="1"/>
  <c r="AK66" i="16"/>
  <c r="BE66" i="16" s="1"/>
  <c r="CO67" i="16" s="1"/>
  <c r="AH66" i="16"/>
  <c r="BB66" i="16" s="1"/>
  <c r="DH457" i="16"/>
  <c r="BW306" i="16"/>
  <c r="CX306" i="16"/>
  <c r="BU372" i="16"/>
  <c r="CV372" i="16"/>
  <c r="CU240" i="16"/>
  <c r="BT240" i="16"/>
  <c r="BQ373" i="16"/>
  <c r="CR373" i="16"/>
  <c r="CX153" i="16"/>
  <c r="BW153" i="16"/>
  <c r="CR418" i="16"/>
  <c r="BQ418" i="16"/>
  <c r="CU110" i="16"/>
  <c r="BT110" i="16"/>
  <c r="CX197" i="16"/>
  <c r="BW197" i="16"/>
  <c r="R45" i="31"/>
  <c r="J23" i="31"/>
  <c r="T7" i="31"/>
  <c r="L64" i="31"/>
  <c r="AM43" i="16"/>
  <c r="BG43" i="16" s="1"/>
  <c r="CQ44" i="16" s="1"/>
  <c r="AE43" i="16"/>
  <c r="AY43" i="16" s="1"/>
  <c r="CG44" i="16" s="1"/>
  <c r="AI43" i="16"/>
  <c r="BC43" i="16" s="1"/>
  <c r="CM44" i="16" s="1"/>
  <c r="AK43" i="16"/>
  <c r="BE43" i="16" s="1"/>
  <c r="BT44" i="16" s="1"/>
  <c r="CU45" i="16" s="1"/>
  <c r="R37" i="31"/>
  <c r="R56" i="31"/>
  <c r="AG66" i="16"/>
  <c r="BA66" i="16" s="1"/>
  <c r="AO66" i="16"/>
  <c r="BI66" i="16" s="1"/>
  <c r="AL66" i="16"/>
  <c r="BF66" i="16" s="1"/>
  <c r="CP67" i="16" s="1"/>
  <c r="AE66" i="16"/>
  <c r="AY66" i="16" s="1"/>
  <c r="CG67" i="16" s="1"/>
  <c r="T25" i="31"/>
  <c r="BR218" i="16"/>
  <c r="CS219" i="16" s="1"/>
  <c r="BN218" i="16"/>
  <c r="CJ218" i="16"/>
  <c r="BU175" i="16"/>
  <c r="CV175" i="16"/>
  <c r="CK174" i="16"/>
  <c r="BV174" i="16"/>
  <c r="CW175" i="16" s="1"/>
  <c r="BO174" i="16"/>
  <c r="CJ394" i="16"/>
  <c r="BN394" i="16"/>
  <c r="BR394" i="16"/>
  <c r="CS395" i="16" s="1"/>
  <c r="CL285" i="16"/>
  <c r="BP285" i="16"/>
  <c r="BX285" i="16"/>
  <c r="CY286" i="16" s="1"/>
  <c r="BU262" i="16"/>
  <c r="CV262" i="16"/>
  <c r="CL417" i="16"/>
  <c r="BP417" i="16"/>
  <c r="BX417" i="16"/>
  <c r="CY418" i="16" s="1"/>
  <c r="BT373" i="16"/>
  <c r="CU373" i="16"/>
  <c r="BT438" i="16"/>
  <c r="CU438" i="16"/>
  <c r="BO285" i="16"/>
  <c r="CK285" i="16"/>
  <c r="BV285" i="16"/>
  <c r="CW286" i="16" s="1"/>
  <c r="CX395" i="16"/>
  <c r="BW395" i="16"/>
  <c r="BP221" i="16"/>
  <c r="CL221" i="16"/>
  <c r="Q64" i="23"/>
  <c r="Q64" i="21"/>
  <c r="BV20" i="16"/>
  <c r="CK20" i="16"/>
  <c r="BO459" i="16"/>
  <c r="R19" i="20" s="1"/>
  <c r="BM416" i="16"/>
  <c r="CI416" i="16"/>
  <c r="BS416" i="16"/>
  <c r="CT417" i="16" s="1"/>
  <c r="CU330" i="16"/>
  <c r="BT330" i="16"/>
  <c r="L66" i="17"/>
  <c r="CX111" i="16"/>
  <c r="BW111" i="16"/>
  <c r="BU417" i="16"/>
  <c r="CV417" i="16"/>
  <c r="N48" i="28"/>
  <c r="N48" i="29"/>
  <c r="BR351" i="16"/>
  <c r="CS352" i="16" s="1"/>
  <c r="CJ351" i="16"/>
  <c r="BN351" i="16"/>
  <c r="CI152" i="16"/>
  <c r="BS152" i="16"/>
  <c r="CT153" i="16" s="1"/>
  <c r="BM152" i="16"/>
  <c r="CD20" i="16"/>
  <c r="CD460" i="16" s="1"/>
  <c r="S9" i="20" s="1"/>
  <c r="AU459" i="16"/>
  <c r="R5" i="20" s="1"/>
  <c r="R5" i="33" s="1"/>
  <c r="BN20" i="16"/>
  <c r="CF20" i="16"/>
  <c r="CF460" i="16" s="1"/>
  <c r="S26" i="20" s="1"/>
  <c r="AX459" i="16"/>
  <c r="R13" i="20" s="1"/>
  <c r="R13" i="33" s="1"/>
  <c r="CH20" i="16"/>
  <c r="CH460" i="16" s="1"/>
  <c r="S28" i="20" s="1"/>
  <c r="BP20" i="16"/>
  <c r="AZ459" i="16"/>
  <c r="R15" i="20" s="1"/>
  <c r="P23" i="17"/>
  <c r="Q50" i="28"/>
  <c r="Q50" i="29"/>
  <c r="DC457" i="16"/>
  <c r="P3" i="20"/>
  <c r="P3" i="33" s="1"/>
  <c r="CX175" i="16"/>
  <c r="BW175" i="16"/>
  <c r="CU131" i="16"/>
  <c r="BT131" i="16"/>
  <c r="BR264" i="16"/>
  <c r="CS265" i="16" s="1"/>
  <c r="CJ264" i="16"/>
  <c r="BN264" i="16"/>
  <c r="BR176" i="16"/>
  <c r="CS177" i="16" s="1"/>
  <c r="CJ176" i="16"/>
  <c r="BN176" i="16"/>
  <c r="Q15" i="27"/>
  <c r="Q16" i="25"/>
  <c r="U37" i="10"/>
  <c r="U25" i="10"/>
  <c r="T9" i="26"/>
  <c r="CK440" i="16"/>
  <c r="BO440" i="16"/>
  <c r="Q52" i="20"/>
  <c r="BX132" i="16"/>
  <c r="CY133" i="16" s="1"/>
  <c r="CL132" i="16"/>
  <c r="BP132" i="16"/>
  <c r="J34" i="26"/>
  <c r="J34" i="28" s="1"/>
  <c r="J26" i="23"/>
  <c r="BS217" i="16"/>
  <c r="CT218" i="16" s="1"/>
  <c r="CI217" i="16"/>
  <c r="BM217" i="16"/>
  <c r="Q51" i="28"/>
  <c r="Q51" i="29"/>
  <c r="CR195" i="16"/>
  <c r="CR459" i="16" s="1"/>
  <c r="R61" i="20" s="1"/>
  <c r="R61" i="33" s="1"/>
  <c r="BQ195" i="16"/>
  <c r="BQ459" i="16" s="1"/>
  <c r="R43" i="20" s="1"/>
  <c r="R43" i="32" s="1"/>
  <c r="CR351" i="16"/>
  <c r="BQ351" i="16"/>
  <c r="Q46" i="28"/>
  <c r="Q46" i="29"/>
  <c r="CI111" i="16"/>
  <c r="BS111" i="16"/>
  <c r="BM111" i="16"/>
  <c r="CR87" i="16"/>
  <c r="BQ87" i="16"/>
  <c r="P7" i="23"/>
  <c r="P7" i="21"/>
  <c r="P13" i="17"/>
  <c r="Q14" i="20"/>
  <c r="DD458" i="16"/>
  <c r="CR285" i="16"/>
  <c r="BQ285" i="16"/>
  <c r="CJ284" i="16"/>
  <c r="BR284" i="16"/>
  <c r="CS285" i="16" s="1"/>
  <c r="BN284" i="16"/>
  <c r="J40" i="25"/>
  <c r="J33" i="27"/>
  <c r="J33" i="29"/>
  <c r="S8" i="27"/>
  <c r="AV459" i="16"/>
  <c r="DJ19" i="16"/>
  <c r="DK19" i="16"/>
  <c r="AA20" i="16"/>
  <c r="AU20" i="16" s="1"/>
  <c r="AD20" i="16"/>
  <c r="AX20" i="16" s="1"/>
  <c r="AK20" i="16"/>
  <c r="BE20" i="16" s="1"/>
  <c r="AG20" i="16"/>
  <c r="BA20" i="16" s="1"/>
  <c r="BA460" i="16" s="1"/>
  <c r="AS19" i="16"/>
  <c r="AE20" i="16"/>
  <c r="AY20" i="16" s="1"/>
  <c r="AL20" i="16"/>
  <c r="BF20" i="16" s="1"/>
  <c r="AH20" i="16"/>
  <c r="BB20" i="16" s="1"/>
  <c r="BB460" i="16" s="1"/>
  <c r="Z20" i="16"/>
  <c r="AT20" i="16" s="1"/>
  <c r="AJ20" i="16"/>
  <c r="BD20" i="16" s="1"/>
  <c r="AB20" i="16"/>
  <c r="AV20" i="16" s="1"/>
  <c r="AC20" i="16"/>
  <c r="AW20" i="16" s="1"/>
  <c r="AI20" i="16"/>
  <c r="BC20" i="16" s="1"/>
  <c r="AN20" i="16"/>
  <c r="BH20" i="16" s="1"/>
  <c r="BH460" i="16" s="1"/>
  <c r="Y20" i="16"/>
  <c r="AF20" i="16"/>
  <c r="AZ20" i="16" s="1"/>
  <c r="AM20" i="16"/>
  <c r="BG20" i="16" s="1"/>
  <c r="AO20" i="16"/>
  <c r="BI20" i="16" s="1"/>
  <c r="BI460" i="16" s="1"/>
  <c r="Q47" i="23"/>
  <c r="Q47" i="21"/>
  <c r="BQ439" i="16"/>
  <c r="CR439" i="16"/>
  <c r="K70" i="13"/>
  <c r="K62" i="25"/>
  <c r="K72" i="18"/>
  <c r="K72" i="21"/>
  <c r="O25" i="17"/>
  <c r="CK110" i="16"/>
  <c r="BV110" i="16"/>
  <c r="CW111" i="16" s="1"/>
  <c r="BO110" i="16"/>
  <c r="I6" i="29"/>
  <c r="I6" i="27"/>
  <c r="BS439" i="16"/>
  <c r="CT440" i="16" s="1"/>
  <c r="CI439" i="16"/>
  <c r="BM439" i="16"/>
  <c r="CI87" i="16"/>
  <c r="BS87" i="16"/>
  <c r="CT88" i="16" s="1"/>
  <c r="BM87" i="16"/>
  <c r="U9" i="13"/>
  <c r="T30" i="25"/>
  <c r="T44" i="26"/>
  <c r="M38" i="17"/>
  <c r="BV373" i="16"/>
  <c r="CW374" i="16" s="1"/>
  <c r="CK373" i="16"/>
  <c r="BO373" i="16"/>
  <c r="CU20" i="16"/>
  <c r="BT459" i="16"/>
  <c r="R46" i="20" s="1"/>
  <c r="CR20" i="16"/>
  <c r="CV394" i="16"/>
  <c r="BU394" i="16"/>
  <c r="CU459" i="16"/>
  <c r="R64" i="20" s="1"/>
  <c r="R64" i="18"/>
  <c r="Q57" i="27"/>
  <c r="Q57" i="29"/>
  <c r="J40" i="26"/>
  <c r="J33" i="28"/>
  <c r="DJ458" i="16"/>
  <c r="DK458" i="16"/>
  <c r="CL199" i="16"/>
  <c r="BX199" i="16"/>
  <c r="BP199" i="16"/>
  <c r="P19" i="17"/>
  <c r="Q15" i="21"/>
  <c r="Q15" i="23"/>
  <c r="Q9" i="17"/>
  <c r="CU285" i="16"/>
  <c r="BT285" i="16"/>
  <c r="L69" i="10"/>
  <c r="L69" i="33" s="1"/>
  <c r="L67" i="23"/>
  <c r="L70" i="21"/>
  <c r="R51" i="17"/>
  <c r="R29" i="23"/>
  <c r="R29" i="21"/>
  <c r="DH18" i="16"/>
  <c r="BW459" i="16"/>
  <c r="R49" i="20" s="1"/>
  <c r="CX20" i="16"/>
  <c r="CR131" i="16"/>
  <c r="BQ131" i="16"/>
  <c r="K59" i="29"/>
  <c r="K59" i="27"/>
  <c r="BN416" i="16"/>
  <c r="CJ416" i="16"/>
  <c r="BR416" i="16"/>
  <c r="CS417" i="16" s="1"/>
  <c r="S30" i="13"/>
  <c r="R20" i="18"/>
  <c r="S45" i="13"/>
  <c r="R21" i="13"/>
  <c r="S17" i="13"/>
  <c r="Q58" i="27"/>
  <c r="Q58" i="29"/>
  <c r="CR219" i="16"/>
  <c r="BQ219" i="16"/>
  <c r="T10" i="18"/>
  <c r="T44" i="25"/>
  <c r="T10" i="13"/>
  <c r="U7" i="13"/>
  <c r="U4" i="13"/>
  <c r="T6" i="18"/>
  <c r="U3" i="13"/>
  <c r="T8" i="25"/>
  <c r="U12" i="13"/>
  <c r="CI197" i="16"/>
  <c r="BS197" i="16"/>
  <c r="CT198" i="16" s="1"/>
  <c r="BM197" i="16"/>
  <c r="Q45" i="28"/>
  <c r="Q45" i="29"/>
  <c r="N54" i="17"/>
  <c r="CP20" i="16"/>
  <c r="CP460" i="16" s="1"/>
  <c r="S58" i="20" s="1"/>
  <c r="BU20" i="16"/>
  <c r="BF459" i="16"/>
  <c r="R40" i="20" s="1"/>
  <c r="CN20" i="16"/>
  <c r="CN460" i="16" s="1"/>
  <c r="S56" i="20" s="1"/>
  <c r="BQ20" i="16"/>
  <c r="BD459" i="16"/>
  <c r="R38" i="20" s="1"/>
  <c r="R38" i="32" s="1"/>
  <c r="BG459" i="16"/>
  <c r="R41" i="20" s="1"/>
  <c r="CQ20" i="16"/>
  <c r="CQ460" i="16" s="1"/>
  <c r="S59" i="20" s="1"/>
  <c r="BW20" i="16"/>
  <c r="CX374" i="16"/>
  <c r="BW374" i="16"/>
  <c r="CX219" i="16"/>
  <c r="BW219" i="16"/>
  <c r="BS457" i="16"/>
  <c r="P45" i="20" s="1"/>
  <c r="P45" i="33" s="1"/>
  <c r="CT18" i="16"/>
  <c r="CT458" i="16" s="1"/>
  <c r="Q63" i="20" s="1"/>
  <c r="Q63" i="33" s="1"/>
  <c r="R65" i="23"/>
  <c r="R65" i="21"/>
  <c r="BV306" i="16"/>
  <c r="CW307" i="16" s="1"/>
  <c r="CK306" i="16"/>
  <c r="BO306" i="16"/>
  <c r="J54" i="25"/>
  <c r="J38" i="18"/>
  <c r="J38" i="21"/>
  <c r="CR263" i="16"/>
  <c r="BQ263" i="16"/>
  <c r="P36" i="27"/>
  <c r="S55" i="13"/>
  <c r="R10" i="25"/>
  <c r="R40" i="18"/>
  <c r="S37" i="13"/>
  <c r="S38" i="13"/>
  <c r="R57" i="25"/>
  <c r="R58" i="18"/>
  <c r="I66" i="29"/>
  <c r="I66" i="27"/>
  <c r="L60" i="26"/>
  <c r="L60" i="28" s="1"/>
  <c r="L61" i="23"/>
  <c r="BN459" i="16"/>
  <c r="R18" i="20" s="1"/>
  <c r="R18" i="33" s="1"/>
  <c r="BR20" i="16"/>
  <c r="CJ20" i="16"/>
  <c r="Q10" i="21"/>
  <c r="Q10" i="23"/>
  <c r="Q10" i="20"/>
  <c r="Q10" i="33" s="1"/>
  <c r="Q44" i="17"/>
  <c r="J20" i="25"/>
  <c r="K28" i="13"/>
  <c r="K20" i="13"/>
  <c r="J18" i="18"/>
  <c r="J18" i="21"/>
  <c r="I34" i="27"/>
  <c r="I34" i="29"/>
  <c r="K53" i="25"/>
  <c r="K37" i="18"/>
  <c r="K37" i="21"/>
  <c r="S61" i="13"/>
  <c r="R46" i="18"/>
  <c r="R51" i="13"/>
  <c r="T8" i="26"/>
  <c r="U3" i="10"/>
  <c r="U12" i="10"/>
  <c r="U7" i="10"/>
  <c r="R48" i="25"/>
  <c r="J19" i="26"/>
  <c r="K27" i="10"/>
  <c r="K27" i="33" s="1"/>
  <c r="K19" i="10"/>
  <c r="K19" i="33" s="1"/>
  <c r="K15" i="10"/>
  <c r="K15" i="33" s="1"/>
  <c r="K14" i="10"/>
  <c r="K14" i="33" s="1"/>
  <c r="J6" i="26"/>
  <c r="J6" i="28" s="1"/>
  <c r="J17" i="23"/>
  <c r="L67" i="17"/>
  <c r="L71" i="18"/>
  <c r="L71" i="21"/>
  <c r="R59" i="17"/>
  <c r="R60" i="17"/>
  <c r="R45" i="17"/>
  <c r="R11" i="21"/>
  <c r="R11" i="23"/>
  <c r="R59" i="23"/>
  <c r="R58" i="17"/>
  <c r="R59" i="21"/>
  <c r="L61" i="18"/>
  <c r="L60" i="25"/>
  <c r="L61" i="21"/>
  <c r="J63" i="29"/>
  <c r="J63" i="27"/>
  <c r="J64" i="25"/>
  <c r="Q21" i="23"/>
  <c r="Q21" i="21"/>
  <c r="CV459" i="16"/>
  <c r="R65" i="20" s="1"/>
  <c r="CU88" i="16"/>
  <c r="BT88" i="16"/>
  <c r="J37" i="29"/>
  <c r="J37" i="27"/>
  <c r="P46" i="23"/>
  <c r="P46" i="21"/>
  <c r="CI240" i="16"/>
  <c r="BS240" i="16"/>
  <c r="CT241" i="16" s="1"/>
  <c r="BM240" i="16"/>
  <c r="J54" i="26"/>
  <c r="J38" i="23"/>
  <c r="CK459" i="16"/>
  <c r="R32" i="20" s="1"/>
  <c r="CV132" i="16"/>
  <c r="BU132" i="16"/>
  <c r="BS328" i="16"/>
  <c r="CT329" i="16" s="1"/>
  <c r="CI328" i="16"/>
  <c r="BM328" i="16"/>
  <c r="CX87" i="16"/>
  <c r="BW87" i="16"/>
  <c r="CL111" i="16"/>
  <c r="BX111" i="16"/>
  <c r="BP111" i="16"/>
  <c r="P32" i="27"/>
  <c r="P39" i="25"/>
  <c r="CI175" i="16"/>
  <c r="BS175" i="16"/>
  <c r="CT176" i="16" s="1"/>
  <c r="BM175" i="16"/>
  <c r="U55" i="10"/>
  <c r="T10" i="26"/>
  <c r="CR175" i="16"/>
  <c r="BQ175" i="16"/>
  <c r="P14" i="28"/>
  <c r="P14" i="29"/>
  <c r="R28" i="23"/>
  <c r="R50" i="17"/>
  <c r="R28" i="21"/>
  <c r="R58" i="23"/>
  <c r="R58" i="21"/>
  <c r="R57" i="17"/>
  <c r="R57" i="28" s="1"/>
  <c r="CX285" i="16"/>
  <c r="BW285" i="16"/>
  <c r="P22" i="20"/>
  <c r="N11" i="17"/>
  <c r="N8" i="28"/>
  <c r="N8" i="29"/>
  <c r="CV152" i="16"/>
  <c r="BU152" i="16"/>
  <c r="P9" i="28"/>
  <c r="P9" i="29"/>
  <c r="O33" i="17"/>
  <c r="P66" i="21"/>
  <c r="P66" i="23"/>
  <c r="Q32" i="25"/>
  <c r="Q24" i="18"/>
  <c r="L41" i="17"/>
  <c r="L39" i="28"/>
  <c r="L39" i="29"/>
  <c r="P11" i="27"/>
  <c r="CR307" i="16"/>
  <c r="BQ307" i="16"/>
  <c r="DB19" i="16"/>
  <c r="CC20" i="16"/>
  <c r="CC460" i="16" s="1"/>
  <c r="S8" i="20" s="1"/>
  <c r="AT459" i="16"/>
  <c r="L67" i="18"/>
  <c r="L67" i="21"/>
  <c r="BS18" i="16"/>
  <c r="BM457" i="16"/>
  <c r="P17" i="20" s="1"/>
  <c r="P17" i="33" s="1"/>
  <c r="CI18" i="16"/>
  <c r="CI458" i="16" s="1"/>
  <c r="Q30" i="20" s="1"/>
  <c r="Q30" i="33" s="1"/>
  <c r="BM18" i="16"/>
  <c r="M65" i="10"/>
  <c r="L50" i="23"/>
  <c r="Q20" i="17"/>
  <c r="N24" i="21"/>
  <c r="N24" i="23"/>
  <c r="N23" i="20"/>
  <c r="N32" i="17"/>
  <c r="N40" i="17"/>
  <c r="CU65" i="16"/>
  <c r="BT65" i="16"/>
  <c r="BM394" i="16"/>
  <c r="BS394" i="16"/>
  <c r="CT395" i="16" s="1"/>
  <c r="CI394" i="16"/>
  <c r="DE458" i="16"/>
  <c r="Q39" i="20"/>
  <c r="Q41" i="21"/>
  <c r="Q15" i="17"/>
  <c r="Q15" i="28" s="1"/>
  <c r="Q41" i="23"/>
  <c r="BX374" i="16"/>
  <c r="CY375" i="16" s="1"/>
  <c r="CL374" i="16"/>
  <c r="BP374" i="16"/>
  <c r="J38" i="25"/>
  <c r="J56" i="18"/>
  <c r="J56" i="21"/>
  <c r="K41" i="13"/>
  <c r="K39" i="13"/>
  <c r="M34" i="17"/>
  <c r="M6" i="17"/>
  <c r="BS305" i="16"/>
  <c r="CT306" i="16" s="1"/>
  <c r="CI305" i="16"/>
  <c r="BM305" i="16"/>
  <c r="O13" i="28"/>
  <c r="O16" i="17"/>
  <c r="O13" i="29"/>
  <c r="DF458" i="16"/>
  <c r="Q37" i="20"/>
  <c r="Q37" i="33" s="1"/>
  <c r="DG458" i="16"/>
  <c r="J38" i="26"/>
  <c r="J38" i="28" s="1"/>
  <c r="J56" i="23"/>
  <c r="K41" i="10"/>
  <c r="K41" i="33" s="1"/>
  <c r="K39" i="10"/>
  <c r="K39" i="33" s="1"/>
  <c r="Q20" i="20"/>
  <c r="Q22" i="20" s="1"/>
  <c r="BX459" i="16"/>
  <c r="R50" i="20" s="1"/>
  <c r="K37" i="26"/>
  <c r="K37" i="28" s="1"/>
  <c r="K53" i="10"/>
  <c r="K53" i="33" s="1"/>
  <c r="K55" i="23"/>
  <c r="Q24" i="17"/>
  <c r="L68" i="18"/>
  <c r="L68" i="21"/>
  <c r="CJ240" i="16"/>
  <c r="BR240" i="16"/>
  <c r="CS241" i="16" s="1"/>
  <c r="BN240" i="16"/>
  <c r="P30" i="28"/>
  <c r="P30" i="29"/>
  <c r="S63" i="13"/>
  <c r="R48" i="18"/>
  <c r="CI285" i="16"/>
  <c r="BS285" i="16"/>
  <c r="CT286" i="16" s="1"/>
  <c r="BM285" i="16"/>
  <c r="BR328" i="16"/>
  <c r="CS329" i="16" s="1"/>
  <c r="CJ328" i="16"/>
  <c r="BN328" i="16"/>
  <c r="T13" i="25"/>
  <c r="U8" i="13"/>
  <c r="U5" i="13"/>
  <c r="BV88" i="16"/>
  <c r="CW89" i="16" s="1"/>
  <c r="CK88" i="16"/>
  <c r="BO88" i="16"/>
  <c r="O6" i="23"/>
  <c r="O8" i="17"/>
  <c r="O6" i="21"/>
  <c r="CU351" i="16"/>
  <c r="BT351" i="16"/>
  <c r="K61" i="29"/>
  <c r="K61" i="27"/>
  <c r="AY459" i="16"/>
  <c r="CG20" i="16"/>
  <c r="CG460" i="16" s="1"/>
  <c r="S27" i="20" s="1"/>
  <c r="BO20" i="16"/>
  <c r="DD19" i="16"/>
  <c r="O20" i="23"/>
  <c r="O20" i="21"/>
  <c r="O21" i="20"/>
  <c r="O21" i="33" s="1"/>
  <c r="CR241" i="16"/>
  <c r="BQ241" i="16"/>
  <c r="P27" i="17"/>
  <c r="Q10" i="27"/>
  <c r="Q11" i="25"/>
  <c r="O47" i="28"/>
  <c r="O48" i="17"/>
  <c r="O47" i="29"/>
  <c r="I28" i="29"/>
  <c r="I28" i="27"/>
  <c r="R12" i="23"/>
  <c r="R46" i="17"/>
  <c r="R12" i="21"/>
  <c r="N63" i="17"/>
  <c r="R58" i="25"/>
  <c r="R59" i="18"/>
  <c r="P44" i="28"/>
  <c r="P44" i="29"/>
  <c r="CV218" i="16"/>
  <c r="BU218" i="16"/>
  <c r="P37" i="17"/>
  <c r="Q4" i="20"/>
  <c r="Q4" i="33" s="1"/>
  <c r="DB458" i="16"/>
  <c r="M11" i="28"/>
  <c r="M11" i="29"/>
  <c r="O35" i="20"/>
  <c r="O53" i="17"/>
  <c r="DC88" i="16"/>
  <c r="CB89" i="16"/>
  <c r="CV196" i="16"/>
  <c r="BU196" i="16"/>
  <c r="CW20" i="16"/>
  <c r="BV459" i="16"/>
  <c r="R48" i="20" s="1"/>
  <c r="CR395" i="16"/>
  <c r="BQ395" i="16"/>
  <c r="CL352" i="16"/>
  <c r="BX352" i="16"/>
  <c r="CY353" i="16" s="1"/>
  <c r="BP352" i="16"/>
  <c r="O39" i="27"/>
  <c r="T50" i="25"/>
  <c r="T28" i="18"/>
  <c r="CR329" i="16"/>
  <c r="BQ329" i="16"/>
  <c r="CU219" i="16"/>
  <c r="BT219" i="16"/>
  <c r="N53" i="20"/>
  <c r="N54" i="23"/>
  <c r="N54" i="21"/>
  <c r="N36" i="17"/>
  <c r="CV306" i="16"/>
  <c r="BU306" i="16"/>
  <c r="I41" i="26"/>
  <c r="I41" i="28" s="1"/>
  <c r="I40" i="28"/>
  <c r="CK417" i="16"/>
  <c r="BV417" i="16"/>
  <c r="CW418" i="16" s="1"/>
  <c r="BO417" i="16"/>
  <c r="CX132" i="16"/>
  <c r="BW132" i="16"/>
  <c r="Q16" i="23"/>
  <c r="Q16" i="21"/>
  <c r="Q14" i="17"/>
  <c r="R52" i="17"/>
  <c r="R61" i="17"/>
  <c r="CR110" i="16"/>
  <c r="BQ110" i="16"/>
  <c r="O48" i="21"/>
  <c r="O48" i="23"/>
  <c r="O51" i="20"/>
  <c r="O51" i="33" s="1"/>
  <c r="R33" i="18"/>
  <c r="J34" i="25"/>
  <c r="J26" i="18"/>
  <c r="J26" i="21"/>
  <c r="BN439" i="16"/>
  <c r="CJ439" i="16"/>
  <c r="BR439" i="16"/>
  <c r="CS440" i="16" s="1"/>
  <c r="S50" i="27"/>
  <c r="CO20" i="16"/>
  <c r="CO460" i="16" s="1"/>
  <c r="S57" i="20" s="1"/>
  <c r="DE19" i="16"/>
  <c r="BE459" i="16"/>
  <c r="BT20" i="16"/>
  <c r="CB19" i="16"/>
  <c r="CB459" i="16" s="1"/>
  <c r="R7" i="20" s="1"/>
  <c r="R7" i="33" s="1"/>
  <c r="DC18" i="16"/>
  <c r="AS458" i="16"/>
  <c r="AW459" i="16"/>
  <c r="R12" i="20" s="1"/>
  <c r="R12" i="33" s="1"/>
  <c r="CE20" i="16"/>
  <c r="CE460" i="16" s="1"/>
  <c r="S25" i="20" s="1"/>
  <c r="S25" i="33" s="1"/>
  <c r="DG19" i="16"/>
  <c r="BC459" i="16"/>
  <c r="DF19" i="16"/>
  <c r="CM20" i="16"/>
  <c r="CM460" i="16" s="1"/>
  <c r="S55" i="20" s="1"/>
  <c r="S55" i="33" s="1"/>
  <c r="P33" i="21"/>
  <c r="P33" i="23"/>
  <c r="P34" i="20"/>
  <c r="DI457" i="16"/>
  <c r="BS263" i="16"/>
  <c r="CT264" i="16" s="1"/>
  <c r="CI263" i="16"/>
  <c r="BM263" i="16"/>
  <c r="L69" i="18"/>
  <c r="L69" i="21"/>
  <c r="O21" i="17"/>
  <c r="O26" i="17"/>
  <c r="J53" i="27"/>
  <c r="J53" i="29"/>
  <c r="BO394" i="16"/>
  <c r="CK394" i="16"/>
  <c r="BV394" i="16"/>
  <c r="CW395" i="16" s="1"/>
  <c r="S56" i="13"/>
  <c r="S43" i="13"/>
  <c r="R41" i="18"/>
  <c r="R15" i="25"/>
  <c r="K53" i="26"/>
  <c r="K53" i="28" s="1"/>
  <c r="K37" i="23"/>
  <c r="CU154" i="16"/>
  <c r="BT154" i="16"/>
  <c r="Q8" i="23"/>
  <c r="Q30" i="17"/>
  <c r="Q8" i="21"/>
  <c r="BP459" i="16"/>
  <c r="BX20" i="16"/>
  <c r="CY21" i="16" s="1"/>
  <c r="CL20" i="16"/>
  <c r="CL460" i="16" s="1"/>
  <c r="S33" i="20" s="1"/>
  <c r="J19" i="25"/>
  <c r="K15" i="13"/>
  <c r="K27" i="13"/>
  <c r="K19" i="13"/>
  <c r="J17" i="18"/>
  <c r="K14" i="13"/>
  <c r="J6" i="25"/>
  <c r="J17" i="21"/>
  <c r="J25" i="29"/>
  <c r="J25" i="27"/>
  <c r="I67" i="27"/>
  <c r="I67" i="29"/>
  <c r="BQ458" i="16"/>
  <c r="Q43" i="20" s="1"/>
  <c r="Q43" i="33" s="1"/>
  <c r="CV285" i="16"/>
  <c r="BU285" i="16"/>
  <c r="T45" i="25"/>
  <c r="P13" i="21"/>
  <c r="P47" i="17"/>
  <c r="P13" i="23"/>
  <c r="P40" i="21"/>
  <c r="P10" i="17"/>
  <c r="P40" i="23"/>
  <c r="M36" i="28"/>
  <c r="M36" i="29"/>
  <c r="K20" i="10"/>
  <c r="K20" i="33" s="1"/>
  <c r="J20" i="26"/>
  <c r="K28" i="10"/>
  <c r="J18" i="23"/>
  <c r="CK218" i="16"/>
  <c r="BV218" i="16"/>
  <c r="CW219" i="16" s="1"/>
  <c r="BO218" i="16"/>
  <c r="BW439" i="16"/>
  <c r="CX439" i="16"/>
  <c r="M65" i="17"/>
  <c r="M67" i="17" s="1"/>
  <c r="M55" i="17"/>
  <c r="BU459" i="16"/>
  <c r="R47" i="20" s="1"/>
  <c r="CV20" i="16"/>
  <c r="I40" i="29"/>
  <c r="I40" i="27"/>
  <c r="I41" i="25"/>
  <c r="CR153" i="16"/>
  <c r="BQ153" i="16"/>
  <c r="M65" i="13"/>
  <c r="L50" i="18"/>
  <c r="L50" i="21"/>
  <c r="K60" i="27"/>
  <c r="K60" i="29"/>
  <c r="Q34" i="21"/>
  <c r="Q34" i="23"/>
  <c r="CS20" i="16"/>
  <c r="CS460" i="16" s="1"/>
  <c r="S62" i="20" s="1"/>
  <c r="BR459" i="16"/>
  <c r="R44" i="20" s="1"/>
  <c r="R44" i="33" s="1"/>
  <c r="Q54" i="18"/>
  <c r="Q36" i="25"/>
  <c r="N16" i="28"/>
  <c r="N16" i="29"/>
  <c r="BM373" i="16"/>
  <c r="CI373" i="16"/>
  <c r="BS373" i="16"/>
  <c r="CT374" i="16" s="1"/>
  <c r="CL153" i="16"/>
  <c r="BX153" i="16"/>
  <c r="CY154" i="16" s="1"/>
  <c r="BP153" i="16"/>
  <c r="CU196" i="16"/>
  <c r="BT196" i="16"/>
  <c r="M32" i="28"/>
  <c r="M39" i="17"/>
  <c r="M32" i="29"/>
  <c r="O10" i="28"/>
  <c r="O10" i="29"/>
  <c r="CJ372" i="16"/>
  <c r="BN372" i="16"/>
  <c r="BR372" i="16"/>
  <c r="CS373" i="16" s="1"/>
  <c r="T46" i="25"/>
  <c r="S47" i="25"/>
  <c r="BV153" i="16"/>
  <c r="CW154" i="16" s="1"/>
  <c r="CK153" i="16"/>
  <c r="BO153" i="16"/>
  <c r="CJ196" i="16"/>
  <c r="BR196" i="16"/>
  <c r="CS197" i="16" s="1"/>
  <c r="BN196" i="16"/>
  <c r="K62" i="26"/>
  <c r="K62" i="28" s="1"/>
  <c r="K70" i="10"/>
  <c r="K70" i="33" s="1"/>
  <c r="K72" i="23"/>
  <c r="N28" i="17"/>
  <c r="CJ152" i="16"/>
  <c r="BR152" i="16"/>
  <c r="CS153" i="16" s="1"/>
  <c r="BN152" i="16"/>
  <c r="CX329" i="16"/>
  <c r="BW329" i="16"/>
  <c r="CR65" i="16"/>
  <c r="BQ65" i="16"/>
  <c r="P16" i="27"/>
  <c r="T15" i="18" l="1"/>
  <c r="U26" i="13"/>
  <c r="DI88" i="16"/>
  <c r="U25" i="13"/>
  <c r="U28" i="18" s="1"/>
  <c r="L67" i="31"/>
  <c r="K53" i="13"/>
  <c r="K52" i="32"/>
  <c r="L70" i="18"/>
  <c r="DB89" i="16"/>
  <c r="DH111" i="16"/>
  <c r="T9" i="25"/>
  <c r="T9" i="27" s="1"/>
  <c r="U13" i="13"/>
  <c r="V13" i="13" s="1"/>
  <c r="BM67" i="16"/>
  <c r="U31" i="13"/>
  <c r="BP44" i="16"/>
  <c r="CL45" i="16" s="1"/>
  <c r="DF89" i="16"/>
  <c r="BS67" i="16"/>
  <c r="K37" i="25"/>
  <c r="K37" i="29" s="1"/>
  <c r="K52" i="31"/>
  <c r="K55" i="18"/>
  <c r="DK89" i="16"/>
  <c r="CW460" i="16"/>
  <c r="S66" i="20" s="1"/>
  <c r="DD89" i="16"/>
  <c r="BX67" i="16"/>
  <c r="DI111" i="16"/>
  <c r="CJ67" i="16"/>
  <c r="DJ89" i="16"/>
  <c r="DH88" i="16"/>
  <c r="CK44" i="16"/>
  <c r="BN67" i="16"/>
  <c r="CY89" i="16"/>
  <c r="BX89" i="16"/>
  <c r="R58" i="28"/>
  <c r="DE89" i="16"/>
  <c r="CK241" i="16"/>
  <c r="BV241" i="16"/>
  <c r="CW242" i="16" s="1"/>
  <c r="BO241" i="16"/>
  <c r="BP67" i="16"/>
  <c r="R34" i="23"/>
  <c r="BX242" i="16"/>
  <c r="CY243" i="16" s="1"/>
  <c r="BP242" i="16"/>
  <c r="CL242" i="16"/>
  <c r="BX44" i="16"/>
  <c r="CY45" i="16" s="1"/>
  <c r="BU44" i="16"/>
  <c r="CV45" i="16" s="1"/>
  <c r="DG89" i="16"/>
  <c r="CL67" i="16"/>
  <c r="BM44" i="16"/>
  <c r="BW67" i="16"/>
  <c r="DH42" i="16"/>
  <c r="DC89" i="16"/>
  <c r="DJ43" i="16"/>
  <c r="CB43" i="16"/>
  <c r="Q39" i="26"/>
  <c r="DB43" i="16"/>
  <c r="T62" i="13"/>
  <c r="T44" i="13"/>
  <c r="BS133" i="16"/>
  <c r="CI133" i="16"/>
  <c r="BM133" i="16"/>
  <c r="BV67" i="16"/>
  <c r="DF66" i="16"/>
  <c r="BR44" i="16"/>
  <c r="CS45" i="16" s="1"/>
  <c r="CW439" i="16"/>
  <c r="BV439" i="16"/>
  <c r="DE66" i="16"/>
  <c r="DI66" i="16" s="1"/>
  <c r="BO44" i="16"/>
  <c r="DH65" i="16"/>
  <c r="CC44" i="16"/>
  <c r="CF44" i="16"/>
  <c r="CQ67" i="16"/>
  <c r="BS44" i="16"/>
  <c r="CT45" i="16" s="1"/>
  <c r="DK66" i="16"/>
  <c r="DG66" i="16"/>
  <c r="DI65" i="16"/>
  <c r="S21" i="10"/>
  <c r="T45" i="10"/>
  <c r="T30" i="10"/>
  <c r="S13" i="26"/>
  <c r="T13" i="10"/>
  <c r="S4" i="31"/>
  <c r="S7" i="18"/>
  <c r="T8" i="10"/>
  <c r="T4" i="10"/>
  <c r="T5" i="10"/>
  <c r="S46" i="26"/>
  <c r="S46" i="27" s="1"/>
  <c r="S9" i="33"/>
  <c r="S9" i="31"/>
  <c r="S12" i="18"/>
  <c r="AF67" i="16"/>
  <c r="AZ67" i="16" s="1"/>
  <c r="P62" i="17"/>
  <c r="R38" i="33"/>
  <c r="R43" i="33"/>
  <c r="S45" i="26"/>
  <c r="S45" i="27" s="1"/>
  <c r="S8" i="33"/>
  <c r="S11" i="18"/>
  <c r="S8" i="31"/>
  <c r="S10" i="10"/>
  <c r="R47" i="26"/>
  <c r="R48" i="26" s="1"/>
  <c r="R48" i="27" s="1"/>
  <c r="R13" i="18"/>
  <c r="R10" i="31"/>
  <c r="R32" i="26"/>
  <c r="K31" i="23"/>
  <c r="K28" i="33"/>
  <c r="BW44" i="16"/>
  <c r="CX45" i="16" s="1"/>
  <c r="DC65" i="16"/>
  <c r="DH19" i="16"/>
  <c r="U57" i="26"/>
  <c r="Z44" i="16"/>
  <c r="AT44" i="16" s="1"/>
  <c r="U50" i="26"/>
  <c r="BO67" i="16"/>
  <c r="DK43" i="16"/>
  <c r="S58" i="26"/>
  <c r="S56" i="33"/>
  <c r="S51" i="26"/>
  <c r="S51" i="27" s="1"/>
  <c r="S26" i="33"/>
  <c r="S26" i="31"/>
  <c r="S29" i="18"/>
  <c r="BU66" i="16"/>
  <c r="CV67" i="16" s="1"/>
  <c r="R13" i="27"/>
  <c r="R16" i="26"/>
  <c r="R30" i="27"/>
  <c r="S21" i="18"/>
  <c r="S18" i="31"/>
  <c r="T31" i="10"/>
  <c r="T44" i="10"/>
  <c r="S62" i="33"/>
  <c r="S65" i="18"/>
  <c r="S62" i="31"/>
  <c r="T62" i="10"/>
  <c r="S44" i="31"/>
  <c r="S47" i="18"/>
  <c r="T61" i="10"/>
  <c r="S51" i="10"/>
  <c r="T56" i="10"/>
  <c r="T43" i="10"/>
  <c r="S15" i="26"/>
  <c r="Q47" i="27"/>
  <c r="BU242" i="16"/>
  <c r="CV242" i="16"/>
  <c r="M68" i="23"/>
  <c r="M65" i="33"/>
  <c r="AL44" i="16"/>
  <c r="BF44" i="16" s="1"/>
  <c r="CP45" i="16" s="1"/>
  <c r="CH67" i="16"/>
  <c r="R36" i="26"/>
  <c r="BU110" i="16"/>
  <c r="CV110" i="16"/>
  <c r="T26" i="10"/>
  <c r="S16" i="18"/>
  <c r="S13" i="31"/>
  <c r="T17" i="10"/>
  <c r="T38" i="10"/>
  <c r="S14" i="26"/>
  <c r="S14" i="27" s="1"/>
  <c r="T18" i="10"/>
  <c r="S8" i="18"/>
  <c r="T9" i="10"/>
  <c r="S5" i="31"/>
  <c r="S30" i="26"/>
  <c r="S30" i="27" s="1"/>
  <c r="BP264" i="16"/>
  <c r="CL264" i="16"/>
  <c r="BX264" i="16"/>
  <c r="CY265" i="16" s="1"/>
  <c r="T63" i="10"/>
  <c r="S31" i="31"/>
  <c r="S34" i="18"/>
  <c r="K19" i="32"/>
  <c r="O51" i="32"/>
  <c r="Q37" i="32"/>
  <c r="K41" i="32"/>
  <c r="K20" i="32"/>
  <c r="Q10" i="32"/>
  <c r="Q69" i="20"/>
  <c r="Q62" i="17" s="1"/>
  <c r="Q63" i="32"/>
  <c r="K53" i="32"/>
  <c r="P3" i="32"/>
  <c r="R5" i="32"/>
  <c r="BP441" i="16"/>
  <c r="CL441" i="16"/>
  <c r="BX441" i="16"/>
  <c r="CL330" i="16"/>
  <c r="BP330" i="16"/>
  <c r="BX330" i="16"/>
  <c r="CY331" i="16" s="1"/>
  <c r="CL396" i="16"/>
  <c r="BX396" i="16"/>
  <c r="CY397" i="16" s="1"/>
  <c r="BP396" i="16"/>
  <c r="AE67" i="16"/>
  <c r="AY67" i="16" s="1"/>
  <c r="R44" i="32"/>
  <c r="K27" i="32"/>
  <c r="CY461" i="16"/>
  <c r="T68" i="20" s="1"/>
  <c r="S56" i="32"/>
  <c r="Q4" i="32"/>
  <c r="S8" i="32"/>
  <c r="K28" i="32"/>
  <c r="R18" i="32"/>
  <c r="S55" i="32"/>
  <c r="AC44" i="16"/>
  <c r="AW44" i="16" s="1"/>
  <c r="CE45" i="16" s="1"/>
  <c r="P51" i="20"/>
  <c r="P53" i="20" s="1"/>
  <c r="P45" i="32"/>
  <c r="BN44" i="16"/>
  <c r="CJ45" i="16" s="1"/>
  <c r="R13" i="32"/>
  <c r="S9" i="32"/>
  <c r="DE43" i="16"/>
  <c r="R34" i="21"/>
  <c r="R31" i="32"/>
  <c r="S62" i="32"/>
  <c r="K14" i="32"/>
  <c r="K15" i="32"/>
  <c r="S25" i="32"/>
  <c r="R7" i="32"/>
  <c r="Q30" i="32"/>
  <c r="L69" i="32"/>
  <c r="K70" i="32"/>
  <c r="S26" i="32"/>
  <c r="BO329" i="16"/>
  <c r="CK329" i="16"/>
  <c r="BV329" i="16"/>
  <c r="CW330" i="16" s="1"/>
  <c r="BX308" i="16"/>
  <c r="CY309" i="16" s="1"/>
  <c r="BP308" i="16"/>
  <c r="CL308" i="16"/>
  <c r="R61" i="32"/>
  <c r="CU264" i="16"/>
  <c r="BT264" i="16"/>
  <c r="AK67" i="16"/>
  <c r="BE67" i="16" s="1"/>
  <c r="M65" i="32"/>
  <c r="Q43" i="32"/>
  <c r="DD43" i="16"/>
  <c r="R12" i="32"/>
  <c r="O21" i="32"/>
  <c r="K39" i="32"/>
  <c r="P17" i="32"/>
  <c r="AG44" i="16"/>
  <c r="BA44" i="16" s="1"/>
  <c r="DB66" i="16"/>
  <c r="CY220" i="16"/>
  <c r="BX220" i="16"/>
  <c r="BN111" i="16"/>
  <c r="CJ111" i="16"/>
  <c r="BR111" i="16"/>
  <c r="CK460" i="16"/>
  <c r="S32" i="20" s="1"/>
  <c r="CL286" i="16"/>
  <c r="BP286" i="16"/>
  <c r="BX286" i="16"/>
  <c r="CY287" i="16" s="1"/>
  <c r="CX307" i="16"/>
  <c r="BW307" i="16"/>
  <c r="BT418" i="16"/>
  <c r="CU418" i="16"/>
  <c r="BO263" i="16"/>
  <c r="CK263" i="16"/>
  <c r="BV263" i="16"/>
  <c r="CW264" i="16" s="1"/>
  <c r="BV352" i="16"/>
  <c r="CW353" i="16" s="1"/>
  <c r="CK352" i="16"/>
  <c r="BO352" i="16"/>
  <c r="BU440" i="16"/>
  <c r="CV440" i="16"/>
  <c r="CV89" i="16"/>
  <c r="BU89" i="16"/>
  <c r="AO67" i="16"/>
  <c r="BI67" i="16" s="1"/>
  <c r="AB67" i="16"/>
  <c r="AV67" i="16" s="1"/>
  <c r="CN67" i="16"/>
  <c r="S43" i="31"/>
  <c r="DG43" i="16"/>
  <c r="S66" i="18"/>
  <c r="S63" i="31"/>
  <c r="K20" i="31"/>
  <c r="AF44" i="16"/>
  <c r="AZ44" i="16" s="1"/>
  <c r="Y44" i="16"/>
  <c r="AS44" i="16" s="1"/>
  <c r="AE44" i="16"/>
  <c r="AY44" i="16" s="1"/>
  <c r="CG45" i="16" s="1"/>
  <c r="U12" i="31"/>
  <c r="CX460" i="16"/>
  <c r="S67" i="20" s="1"/>
  <c r="BO286" i="16"/>
  <c r="CK286" i="16"/>
  <c r="BV286" i="16"/>
  <c r="CW287" i="16" s="1"/>
  <c r="BV175" i="16"/>
  <c r="CW176" i="16" s="1"/>
  <c r="BO175" i="16"/>
  <c r="CK175" i="16"/>
  <c r="CR419" i="16"/>
  <c r="BQ419" i="16"/>
  <c r="AA67" i="16"/>
  <c r="AU67" i="16" s="1"/>
  <c r="AL67" i="16"/>
  <c r="BF67" i="16" s="1"/>
  <c r="AI67" i="16"/>
  <c r="BC67" i="16" s="1"/>
  <c r="AG67" i="16"/>
  <c r="BA67" i="16" s="1"/>
  <c r="K14" i="31"/>
  <c r="K15" i="31"/>
  <c r="CO44" i="16"/>
  <c r="DF43" i="16"/>
  <c r="DI19" i="16"/>
  <c r="J76" i="18"/>
  <c r="J78" i="18" s="1"/>
  <c r="K41" i="31"/>
  <c r="DJ66" i="16"/>
  <c r="R51" i="31"/>
  <c r="S37" i="31"/>
  <c r="BQ44" i="16"/>
  <c r="CR45" i="16" s="1"/>
  <c r="AH44" i="16"/>
  <c r="BB44" i="16" s="1"/>
  <c r="AN44" i="16"/>
  <c r="BH44" i="16" s="1"/>
  <c r="AK44" i="16"/>
  <c r="BE44" i="16" s="1"/>
  <c r="AI44" i="16"/>
  <c r="BC44" i="16" s="1"/>
  <c r="CM45" i="16" s="1"/>
  <c r="U7" i="31"/>
  <c r="S45" i="31"/>
  <c r="K70" i="31"/>
  <c r="CU439" i="16"/>
  <c r="BT439" i="16"/>
  <c r="CL418" i="16"/>
  <c r="BP418" i="16"/>
  <c r="BX418" i="16"/>
  <c r="CY419" i="16" s="1"/>
  <c r="BN395" i="16"/>
  <c r="CJ395" i="16"/>
  <c r="BR395" i="16"/>
  <c r="CS396" i="16" s="1"/>
  <c r="BR219" i="16"/>
  <c r="CS220" i="16" s="1"/>
  <c r="BN219" i="16"/>
  <c r="CJ219" i="16"/>
  <c r="CU111" i="16"/>
  <c r="BT111" i="16"/>
  <c r="BW154" i="16"/>
  <c r="CX154" i="16"/>
  <c r="CU241" i="16"/>
  <c r="BT241" i="16"/>
  <c r="BM351" i="16"/>
  <c r="CI351" i="16"/>
  <c r="BS351" i="16"/>
  <c r="CT352" i="16" s="1"/>
  <c r="BW263" i="16"/>
  <c r="CX263" i="16"/>
  <c r="CU395" i="16"/>
  <c r="BT395" i="16"/>
  <c r="CU307" i="16"/>
  <c r="BT307" i="16"/>
  <c r="BW417" i="16"/>
  <c r="CX417" i="16"/>
  <c r="M65" i="31"/>
  <c r="L69" i="31"/>
  <c r="U3" i="31"/>
  <c r="Z67" i="16"/>
  <c r="AT67" i="16" s="1"/>
  <c r="AC67" i="16"/>
  <c r="AW67" i="16" s="1"/>
  <c r="AD67" i="16"/>
  <c r="AX67" i="16" s="1"/>
  <c r="K19" i="31"/>
  <c r="DD66" i="16"/>
  <c r="DH66" i="16" s="1"/>
  <c r="S61" i="31"/>
  <c r="AA44" i="16"/>
  <c r="AU44" i="16" s="1"/>
  <c r="CD45" i="16" s="1"/>
  <c r="S17" i="31"/>
  <c r="S30" i="31"/>
  <c r="K53" i="31"/>
  <c r="CX396" i="16"/>
  <c r="BW396" i="16"/>
  <c r="CU374" i="16"/>
  <c r="BT374" i="16"/>
  <c r="CV176" i="16"/>
  <c r="BU176" i="16"/>
  <c r="BW198" i="16"/>
  <c r="CX198" i="16"/>
  <c r="CX351" i="16"/>
  <c r="BW351" i="16"/>
  <c r="CW132" i="16"/>
  <c r="BV132" i="16"/>
  <c r="CS88" i="16"/>
  <c r="BR88" i="16"/>
  <c r="AN67" i="16"/>
  <c r="BH67" i="16" s="1"/>
  <c r="AJ67" i="16"/>
  <c r="BD67" i="16" s="1"/>
  <c r="Y67" i="16"/>
  <c r="AS67" i="16" s="1"/>
  <c r="AH67" i="16"/>
  <c r="BB67" i="16" s="1"/>
  <c r="AM67" i="16"/>
  <c r="BG67" i="16" s="1"/>
  <c r="K27" i="31"/>
  <c r="S56" i="31"/>
  <c r="K39" i="31"/>
  <c r="K28" i="31"/>
  <c r="S38" i="31"/>
  <c r="S55" i="31"/>
  <c r="AO44" i="16"/>
  <c r="BI44" i="16" s="1"/>
  <c r="AB44" i="16"/>
  <c r="AV44" i="16" s="1"/>
  <c r="AD44" i="16"/>
  <c r="AX44" i="16" s="1"/>
  <c r="CF45" i="16" s="1"/>
  <c r="AJ44" i="16"/>
  <c r="BD44" i="16" s="1"/>
  <c r="AM44" i="16"/>
  <c r="BG44" i="16" s="1"/>
  <c r="BW45" i="16" s="1"/>
  <c r="R21" i="31"/>
  <c r="BU263" i="16"/>
  <c r="CV263" i="16"/>
  <c r="CR374" i="16"/>
  <c r="BQ374" i="16"/>
  <c r="BU373" i="16"/>
  <c r="CV373" i="16"/>
  <c r="BW241" i="16"/>
  <c r="CX241" i="16"/>
  <c r="CV351" i="16"/>
  <c r="BU351" i="16"/>
  <c r="BV197" i="16"/>
  <c r="CW198" i="16" s="1"/>
  <c r="CK197" i="16"/>
  <c r="BO197" i="16"/>
  <c r="BT175" i="16"/>
  <c r="CU175" i="16"/>
  <c r="BR307" i="16"/>
  <c r="CS308" i="16" s="1"/>
  <c r="BN307" i="16"/>
  <c r="CJ307" i="16"/>
  <c r="BP176" i="16"/>
  <c r="CL176" i="16"/>
  <c r="BX176" i="16"/>
  <c r="CY177" i="16" s="1"/>
  <c r="BU330" i="16"/>
  <c r="CV330" i="16"/>
  <c r="R64" i="23"/>
  <c r="R64" i="21"/>
  <c r="P54" i="21"/>
  <c r="K63" i="26"/>
  <c r="K73" i="23"/>
  <c r="CJ373" i="16"/>
  <c r="BR373" i="16"/>
  <c r="CS374" i="16" s="1"/>
  <c r="BN373" i="16"/>
  <c r="S65" i="21"/>
  <c r="S65" i="23"/>
  <c r="J27" i="26"/>
  <c r="J27" i="28" s="1"/>
  <c r="J20" i="28"/>
  <c r="P47" i="28"/>
  <c r="P48" i="17"/>
  <c r="P47" i="29"/>
  <c r="J6" i="27"/>
  <c r="J6" i="29"/>
  <c r="K52" i="25"/>
  <c r="K30" i="18"/>
  <c r="K30" i="21"/>
  <c r="T61" i="13"/>
  <c r="S51" i="13"/>
  <c r="S46" i="18"/>
  <c r="CK395" i="16"/>
  <c r="BO395" i="16"/>
  <c r="BV395" i="16"/>
  <c r="CW396" i="16" s="1"/>
  <c r="DC458" i="16"/>
  <c r="Q3" i="20"/>
  <c r="Q3" i="33" s="1"/>
  <c r="O54" i="17"/>
  <c r="BV89" i="16"/>
  <c r="CK89" i="16"/>
  <c r="BO89" i="16"/>
  <c r="L40" i="10"/>
  <c r="L40" i="33" s="1"/>
  <c r="L46" i="10"/>
  <c r="L46" i="33" s="1"/>
  <c r="L57" i="10"/>
  <c r="L57" i="33" s="1"/>
  <c r="K23" i="26"/>
  <c r="L39" i="10"/>
  <c r="L39" i="33" s="1"/>
  <c r="K42" i="23"/>
  <c r="O16" i="28"/>
  <c r="O16" i="29"/>
  <c r="DB459" i="16"/>
  <c r="R4" i="20"/>
  <c r="R4" i="33" s="1"/>
  <c r="CV133" i="16"/>
  <c r="BU133" i="16"/>
  <c r="L60" i="27"/>
  <c r="L60" i="29"/>
  <c r="K52" i="26"/>
  <c r="K52" i="28" s="1"/>
  <c r="K30" i="23"/>
  <c r="K53" i="29"/>
  <c r="K53" i="27"/>
  <c r="J27" i="25"/>
  <c r="J20" i="29"/>
  <c r="J20" i="27"/>
  <c r="R41" i="23"/>
  <c r="R15" i="17"/>
  <c r="R15" i="28" s="1"/>
  <c r="R41" i="21"/>
  <c r="CR220" i="16"/>
  <c r="BQ220" i="16"/>
  <c r="S20" i="18"/>
  <c r="T45" i="13"/>
  <c r="S21" i="13"/>
  <c r="T30" i="13"/>
  <c r="T17" i="13"/>
  <c r="S33" i="18"/>
  <c r="K37" i="27"/>
  <c r="AV460" i="16"/>
  <c r="DJ20" i="16"/>
  <c r="DK20" i="16"/>
  <c r="BT21" i="16"/>
  <c r="DE20" i="16"/>
  <c r="BE460" i="16"/>
  <c r="CO21" i="16"/>
  <c r="CO461" i="16" s="1"/>
  <c r="T57" i="20" s="1"/>
  <c r="J40" i="27"/>
  <c r="J40" i="29"/>
  <c r="J41" i="25"/>
  <c r="CR88" i="16"/>
  <c r="BQ88" i="16"/>
  <c r="BO441" i="16"/>
  <c r="CK441" i="16"/>
  <c r="CU132" i="16"/>
  <c r="BT132" i="16"/>
  <c r="P25" i="17"/>
  <c r="R16" i="23"/>
  <c r="R16" i="21"/>
  <c r="R14" i="17"/>
  <c r="BU418" i="16"/>
  <c r="CV418" i="16"/>
  <c r="CI374" i="16"/>
  <c r="BS374" i="16"/>
  <c r="CT375" i="16" s="1"/>
  <c r="BM374" i="16"/>
  <c r="K19" i="25"/>
  <c r="L27" i="13"/>
  <c r="L19" i="13"/>
  <c r="K17" i="18"/>
  <c r="K17" i="21"/>
  <c r="BX460" i="16"/>
  <c r="S50" i="20" s="1"/>
  <c r="R20" i="20"/>
  <c r="R22" i="20" s="1"/>
  <c r="CV307" i="16"/>
  <c r="BU307" i="16"/>
  <c r="Q13" i="17"/>
  <c r="Q7" i="21"/>
  <c r="Q7" i="23"/>
  <c r="CK21" i="16"/>
  <c r="BV21" i="16"/>
  <c r="BO460" i="16"/>
  <c r="S19" i="20" s="1"/>
  <c r="U45" i="25"/>
  <c r="K24" i="26"/>
  <c r="K24" i="28" s="1"/>
  <c r="L49" i="10"/>
  <c r="L49" i="33" s="1"/>
  <c r="L59" i="10"/>
  <c r="L59" i="33" s="1"/>
  <c r="K44" i="23"/>
  <c r="L41" i="10"/>
  <c r="L41" i="33" s="1"/>
  <c r="Q27" i="17"/>
  <c r="S11" i="21"/>
  <c r="S11" i="23"/>
  <c r="S45" i="17"/>
  <c r="N11" i="28"/>
  <c r="N11" i="29"/>
  <c r="J21" i="26"/>
  <c r="J21" i="28" s="1"/>
  <c r="J26" i="26"/>
  <c r="J19" i="28"/>
  <c r="K35" i="13"/>
  <c r="CJ460" i="16"/>
  <c r="S31" i="20" s="1"/>
  <c r="S31" i="33" s="1"/>
  <c r="R10" i="27"/>
  <c r="R11" i="25"/>
  <c r="CR264" i="16"/>
  <c r="BQ264" i="16"/>
  <c r="J54" i="27"/>
  <c r="J54" i="29"/>
  <c r="J65" i="25"/>
  <c r="J55" i="25"/>
  <c r="CX220" i="16"/>
  <c r="BW220" i="16"/>
  <c r="CX21" i="16"/>
  <c r="BW460" i="16"/>
  <c r="S49" i="20" s="1"/>
  <c r="CR21" i="16"/>
  <c r="L62" i="26"/>
  <c r="L62" i="28" s="1"/>
  <c r="L72" i="23"/>
  <c r="P26" i="17"/>
  <c r="P21" i="17"/>
  <c r="K62" i="29"/>
  <c r="K62" i="27"/>
  <c r="BO21" i="16"/>
  <c r="DD20" i="16"/>
  <c r="CG21" i="16"/>
  <c r="CG461" i="16" s="1"/>
  <c r="T27" i="20" s="1"/>
  <c r="AY460" i="16"/>
  <c r="DJ459" i="16"/>
  <c r="DK459" i="16"/>
  <c r="CR286" i="16"/>
  <c r="BQ286" i="16"/>
  <c r="R20" i="17"/>
  <c r="CR66" i="16"/>
  <c r="BQ66" i="16"/>
  <c r="CJ153" i="16"/>
  <c r="BR153" i="16"/>
  <c r="CS154" i="16" s="1"/>
  <c r="BN153" i="16"/>
  <c r="O64" i="17"/>
  <c r="CJ197" i="16"/>
  <c r="BR197" i="16"/>
  <c r="CS198" i="16" s="1"/>
  <c r="BN197" i="16"/>
  <c r="CB67" i="16"/>
  <c r="DC66" i="16"/>
  <c r="CU197" i="16"/>
  <c r="BT197" i="16"/>
  <c r="CR154" i="16"/>
  <c r="BQ154" i="16"/>
  <c r="M66" i="17"/>
  <c r="CX440" i="16"/>
  <c r="BW440" i="16"/>
  <c r="Q46" i="23"/>
  <c r="Q46" i="21"/>
  <c r="J21" i="25"/>
  <c r="J26" i="25"/>
  <c r="J19" i="29"/>
  <c r="J19" i="27"/>
  <c r="R15" i="27"/>
  <c r="R16" i="25"/>
  <c r="CI264" i="16"/>
  <c r="BS264" i="16"/>
  <c r="CT265" i="16" s="1"/>
  <c r="BM264" i="16"/>
  <c r="S58" i="21"/>
  <c r="S58" i="23"/>
  <c r="S57" i="17"/>
  <c r="S57" i="28" s="1"/>
  <c r="S28" i="21"/>
  <c r="S50" i="17"/>
  <c r="S28" i="23"/>
  <c r="R10" i="21"/>
  <c r="R10" i="23"/>
  <c r="R10" i="20"/>
  <c r="R10" i="33" s="1"/>
  <c r="R44" i="17"/>
  <c r="S59" i="17"/>
  <c r="J34" i="27"/>
  <c r="J34" i="29"/>
  <c r="CR111" i="16"/>
  <c r="BQ111" i="16"/>
  <c r="Q14" i="28"/>
  <c r="Q14" i="29"/>
  <c r="BO418" i="16"/>
  <c r="BV418" i="16"/>
  <c r="CW419" i="16" s="1"/>
  <c r="CK418" i="16"/>
  <c r="N38" i="17"/>
  <c r="T50" i="27"/>
  <c r="CV197" i="16"/>
  <c r="BU197" i="16"/>
  <c r="CV219" i="16"/>
  <c r="BU219" i="16"/>
  <c r="N64" i="17"/>
  <c r="S52" i="17"/>
  <c r="CU352" i="16"/>
  <c r="BT352" i="16"/>
  <c r="O11" i="17"/>
  <c r="O8" i="28"/>
  <c r="O8" i="29"/>
  <c r="BS286" i="16"/>
  <c r="CT287" i="16" s="1"/>
  <c r="CI286" i="16"/>
  <c r="BM286" i="16"/>
  <c r="CJ241" i="16"/>
  <c r="BR241" i="16"/>
  <c r="CS242" i="16" s="1"/>
  <c r="BN241" i="16"/>
  <c r="CI306" i="16"/>
  <c r="BS306" i="16"/>
  <c r="CT307" i="16" s="1"/>
  <c r="BM306" i="16"/>
  <c r="K23" i="25"/>
  <c r="L57" i="13"/>
  <c r="K42" i="18"/>
  <c r="L40" i="13"/>
  <c r="L46" i="13"/>
  <c r="K42" i="21"/>
  <c r="J38" i="27"/>
  <c r="J38" i="29"/>
  <c r="DI458" i="16"/>
  <c r="Q34" i="20"/>
  <c r="Q33" i="21"/>
  <c r="Q33" i="23"/>
  <c r="L72" i="18"/>
  <c r="L62" i="25"/>
  <c r="L72" i="21"/>
  <c r="P33" i="17"/>
  <c r="R50" i="28"/>
  <c r="R50" i="29"/>
  <c r="CR176" i="16"/>
  <c r="BQ176" i="16"/>
  <c r="CI241" i="16"/>
  <c r="BS241" i="16"/>
  <c r="CT242" i="16" s="1"/>
  <c r="BM241" i="16"/>
  <c r="CU89" i="16"/>
  <c r="BT89" i="16"/>
  <c r="J64" i="29"/>
  <c r="J64" i="27"/>
  <c r="K20" i="26"/>
  <c r="L28" i="10"/>
  <c r="L20" i="10"/>
  <c r="L20" i="33" s="1"/>
  <c r="K18" i="23"/>
  <c r="U44" i="26"/>
  <c r="U8" i="26"/>
  <c r="V3" i="10"/>
  <c r="V7" i="10"/>
  <c r="V12" i="10"/>
  <c r="L50" i="13"/>
  <c r="L33" i="13"/>
  <c r="K23" i="18"/>
  <c r="K23" i="21"/>
  <c r="Q47" i="17"/>
  <c r="Q13" i="21"/>
  <c r="Q13" i="23"/>
  <c r="CS21" i="16"/>
  <c r="CS461" i="16" s="1"/>
  <c r="T62" i="20" s="1"/>
  <c r="BR460" i="16"/>
  <c r="S44" i="20" s="1"/>
  <c r="S44" i="33" s="1"/>
  <c r="S57" i="25"/>
  <c r="S58" i="18"/>
  <c r="BV307" i="16"/>
  <c r="CW308" i="16" s="1"/>
  <c r="CK307" i="16"/>
  <c r="BO307" i="16"/>
  <c r="CB44" i="16"/>
  <c r="DC43" i="16"/>
  <c r="S61" i="17"/>
  <c r="S59" i="23"/>
  <c r="S59" i="21"/>
  <c r="S58" i="17"/>
  <c r="U9" i="25"/>
  <c r="V25" i="13"/>
  <c r="U15" i="18"/>
  <c r="V3" i="13"/>
  <c r="V4" i="13"/>
  <c r="U6" i="18"/>
  <c r="U8" i="25"/>
  <c r="V7" i="13"/>
  <c r="V12" i="13"/>
  <c r="U10" i="18"/>
  <c r="U10" i="13"/>
  <c r="U44" i="25"/>
  <c r="S48" i="18"/>
  <c r="T63" i="13"/>
  <c r="CR132" i="16"/>
  <c r="BQ132" i="16"/>
  <c r="CU286" i="16"/>
  <c r="BT286" i="16"/>
  <c r="Q9" i="28"/>
  <c r="Q9" i="29"/>
  <c r="CV395" i="16"/>
  <c r="BU395" i="16"/>
  <c r="R52" i="20"/>
  <c r="U46" i="25"/>
  <c r="BV111" i="16"/>
  <c r="CK111" i="16"/>
  <c r="BO111" i="16"/>
  <c r="K63" i="25"/>
  <c r="K73" i="18"/>
  <c r="K73" i="21"/>
  <c r="K38" i="25"/>
  <c r="K56" i="18"/>
  <c r="K56" i="21"/>
  <c r="CQ21" i="16"/>
  <c r="CQ461" i="16" s="1"/>
  <c r="T59" i="20" s="1"/>
  <c r="BW21" i="16"/>
  <c r="BG460" i="16"/>
  <c r="S41" i="20" s="1"/>
  <c r="CM21" i="16"/>
  <c r="CM461" i="16" s="1"/>
  <c r="T55" i="20" s="1"/>
  <c r="T55" i="33" s="1"/>
  <c r="BC460" i="16"/>
  <c r="DF20" i="16"/>
  <c r="DG20" i="16"/>
  <c r="CC21" i="16"/>
  <c r="CC461" i="16" s="1"/>
  <c r="T8" i="20" s="1"/>
  <c r="AT460" i="16"/>
  <c r="DB20" i="16"/>
  <c r="AS459" i="16"/>
  <c r="DC19" i="16"/>
  <c r="CB20" i="16"/>
  <c r="CB460" i="16" s="1"/>
  <c r="S7" i="20" s="1"/>
  <c r="S7" i="33" s="1"/>
  <c r="BN21" i="16"/>
  <c r="CD21" i="16"/>
  <c r="CD461" i="16" s="1"/>
  <c r="T9" i="20" s="1"/>
  <c r="AU460" i="16"/>
  <c r="S5" i="20" s="1"/>
  <c r="S5" i="33" s="1"/>
  <c r="Q37" i="17"/>
  <c r="Q16" i="27"/>
  <c r="CX176" i="16"/>
  <c r="BW176" i="16"/>
  <c r="CL21" i="16"/>
  <c r="CL461" i="16" s="1"/>
  <c r="T33" i="20" s="1"/>
  <c r="BP460" i="16"/>
  <c r="BX21" i="16"/>
  <c r="CY22" i="16" s="1"/>
  <c r="S29" i="21"/>
  <c r="S51" i="17"/>
  <c r="S29" i="23"/>
  <c r="BR352" i="16"/>
  <c r="CS353" i="16" s="1"/>
  <c r="CJ352" i="16"/>
  <c r="BN352" i="16"/>
  <c r="CX330" i="16"/>
  <c r="BW330" i="16"/>
  <c r="CK154" i="16"/>
  <c r="BV154" i="16"/>
  <c r="CW155" i="16" s="1"/>
  <c r="BO154" i="16"/>
  <c r="BX154" i="16"/>
  <c r="CY155" i="16" s="1"/>
  <c r="CL154" i="16"/>
  <c r="BP154" i="16"/>
  <c r="Q36" i="27"/>
  <c r="I41" i="27"/>
  <c r="I41" i="29"/>
  <c r="DG459" i="16"/>
  <c r="R37" i="20"/>
  <c r="R37" i="33" s="1"/>
  <c r="DF459" i="16"/>
  <c r="DE459" i="16"/>
  <c r="R39" i="20"/>
  <c r="O48" i="28"/>
  <c r="O48" i="29"/>
  <c r="CU66" i="16"/>
  <c r="BT66" i="16"/>
  <c r="N34" i="17"/>
  <c r="N6" i="17"/>
  <c r="CT19" i="16"/>
  <c r="CT459" i="16" s="1"/>
  <c r="R63" i="20" s="1"/>
  <c r="R63" i="33" s="1"/>
  <c r="BS458" i="16"/>
  <c r="Q45" i="20" s="1"/>
  <c r="Q45" i="33" s="1"/>
  <c r="Q32" i="27"/>
  <c r="Q39" i="25"/>
  <c r="CV153" i="16"/>
  <c r="BU153" i="16"/>
  <c r="CI176" i="16"/>
  <c r="BS176" i="16"/>
  <c r="CT177" i="16" s="1"/>
  <c r="BM176" i="16"/>
  <c r="J65" i="26"/>
  <c r="J54" i="28"/>
  <c r="J55" i="26"/>
  <c r="J55" i="28" s="1"/>
  <c r="R57" i="29"/>
  <c r="R57" i="27"/>
  <c r="P48" i="23"/>
  <c r="P48" i="21"/>
  <c r="CV21" i="16"/>
  <c r="BU460" i="16"/>
  <c r="S47" i="20" s="1"/>
  <c r="T8" i="27"/>
  <c r="T44" i="27"/>
  <c r="J41" i="26"/>
  <c r="J41" i="28" s="1"/>
  <c r="J40" i="28"/>
  <c r="BQ440" i="16"/>
  <c r="CR440" i="16"/>
  <c r="Y21" i="16"/>
  <c r="AF21" i="16"/>
  <c r="AZ21" i="16" s="1"/>
  <c r="AI21" i="16"/>
  <c r="BC21" i="16" s="1"/>
  <c r="AM21" i="16"/>
  <c r="BG21" i="16" s="1"/>
  <c r="AN21" i="16"/>
  <c r="BH21" i="16" s="1"/>
  <c r="BH461" i="16" s="1"/>
  <c r="Z21" i="16"/>
  <c r="AT21" i="16" s="1"/>
  <c r="AC21" i="16"/>
  <c r="AW21" i="16" s="1"/>
  <c r="AJ21" i="16"/>
  <c r="BD21" i="16" s="1"/>
  <c r="AB21" i="16"/>
  <c r="AV21" i="16" s="1"/>
  <c r="AO21" i="16"/>
  <c r="BI21" i="16" s="1"/>
  <c r="BI461" i="16" s="1"/>
  <c r="AE21" i="16"/>
  <c r="AY21" i="16" s="1"/>
  <c r="AG21" i="16"/>
  <c r="BA21" i="16" s="1"/>
  <c r="BA461" i="16" s="1"/>
  <c r="AA21" i="16"/>
  <c r="AU21" i="16" s="1"/>
  <c r="AL21" i="16"/>
  <c r="BF21" i="16" s="1"/>
  <c r="AH21" i="16"/>
  <c r="BB21" i="16" s="1"/>
  <c r="BB461" i="16" s="1"/>
  <c r="AS20" i="16"/>
  <c r="AK21" i="16"/>
  <c r="BE21" i="16" s="1"/>
  <c r="AD21" i="16"/>
  <c r="AX21" i="16" s="1"/>
  <c r="BF460" i="16"/>
  <c r="S40" i="20" s="1"/>
  <c r="BU21" i="16"/>
  <c r="CP21" i="16"/>
  <c r="CP461" i="16" s="1"/>
  <c r="T58" i="20" s="1"/>
  <c r="Q19" i="17"/>
  <c r="CI218" i="16"/>
  <c r="BS218" i="16"/>
  <c r="CT219" i="16" s="1"/>
  <c r="BM218" i="16"/>
  <c r="CL133" i="16"/>
  <c r="BX133" i="16"/>
  <c r="BP133" i="16"/>
  <c r="CJ265" i="16"/>
  <c r="BR265" i="16"/>
  <c r="BN265" i="16"/>
  <c r="P6" i="23"/>
  <c r="P6" i="21"/>
  <c r="P8" i="17"/>
  <c r="R8" i="23"/>
  <c r="R30" i="17"/>
  <c r="R8" i="21"/>
  <c r="M41" i="17"/>
  <c r="M39" i="28"/>
  <c r="M39" i="29"/>
  <c r="M68" i="18"/>
  <c r="M68" i="21"/>
  <c r="L50" i="10"/>
  <c r="L50" i="33" s="1"/>
  <c r="L33" i="10"/>
  <c r="K23" i="23"/>
  <c r="P10" i="28"/>
  <c r="P10" i="29"/>
  <c r="CV286" i="16"/>
  <c r="BU286" i="16"/>
  <c r="K20" i="25"/>
  <c r="L28" i="13"/>
  <c r="L20" i="13"/>
  <c r="K18" i="18"/>
  <c r="K18" i="21"/>
  <c r="CU155" i="16"/>
  <c r="BT155" i="16"/>
  <c r="K35" i="10"/>
  <c r="K35" i="33" s="1"/>
  <c r="S58" i="25"/>
  <c r="S59" i="18"/>
  <c r="CX133" i="16"/>
  <c r="BW133" i="16"/>
  <c r="CR330" i="16"/>
  <c r="BQ330" i="16"/>
  <c r="R58" i="27"/>
  <c r="R58" i="29"/>
  <c r="R46" i="28"/>
  <c r="R46" i="29"/>
  <c r="O23" i="20"/>
  <c r="O32" i="17"/>
  <c r="O24" i="21"/>
  <c r="O24" i="23"/>
  <c r="Q40" i="23"/>
  <c r="Q40" i="21"/>
  <c r="Q10" i="17"/>
  <c r="Q33" i="17"/>
  <c r="Q23" i="17"/>
  <c r="CI19" i="16"/>
  <c r="CI459" i="16" s="1"/>
  <c r="R30" i="20" s="1"/>
  <c r="R30" i="33" s="1"/>
  <c r="BS19" i="16"/>
  <c r="BM458" i="16"/>
  <c r="Q17" i="20" s="1"/>
  <c r="Q17" i="33" s="1"/>
  <c r="BM19" i="16"/>
  <c r="CR308" i="16"/>
  <c r="BQ308" i="16"/>
  <c r="O40" i="17"/>
  <c r="CX88" i="16"/>
  <c r="BW88" i="16"/>
  <c r="K19" i="26"/>
  <c r="L19" i="10"/>
  <c r="L19" i="33" s="1"/>
  <c r="L27" i="10"/>
  <c r="L27" i="33" s="1"/>
  <c r="K17" i="23"/>
  <c r="S64" i="18"/>
  <c r="Q44" i="28"/>
  <c r="Q44" i="29"/>
  <c r="T56" i="13"/>
  <c r="S15" i="25"/>
  <c r="T43" i="13"/>
  <c r="S41" i="18"/>
  <c r="S60" i="17"/>
  <c r="V5" i="13"/>
  <c r="V8" i="13"/>
  <c r="U13" i="25"/>
  <c r="R24" i="18"/>
  <c r="R32" i="25"/>
  <c r="R51" i="28"/>
  <c r="R51" i="29"/>
  <c r="R46" i="23"/>
  <c r="R46" i="21"/>
  <c r="V31" i="13"/>
  <c r="CN21" i="16"/>
  <c r="CN461" i="16" s="1"/>
  <c r="T56" i="20" s="1"/>
  <c r="BQ21" i="16"/>
  <c r="BD460" i="16"/>
  <c r="S38" i="20" s="1"/>
  <c r="S38" i="32" s="1"/>
  <c r="AX460" i="16"/>
  <c r="S13" i="20" s="1"/>
  <c r="S13" i="33" s="1"/>
  <c r="CF21" i="16"/>
  <c r="CF461" i="16" s="1"/>
  <c r="T26" i="20" s="1"/>
  <c r="BR285" i="16"/>
  <c r="CS286" i="16" s="1"/>
  <c r="CJ285" i="16"/>
  <c r="BN285" i="16"/>
  <c r="P16" i="17"/>
  <c r="P13" i="28"/>
  <c r="P13" i="29"/>
  <c r="BR177" i="16"/>
  <c r="CJ177" i="16"/>
  <c r="BN177" i="16"/>
  <c r="S12" i="21"/>
  <c r="S12" i="23"/>
  <c r="S46" i="17"/>
  <c r="U51" i="25"/>
  <c r="CW21" i="16"/>
  <c r="BV460" i="16"/>
  <c r="S48" i="20" s="1"/>
  <c r="S48" i="25"/>
  <c r="R47" i="23"/>
  <c r="R47" i="21"/>
  <c r="CV460" i="16"/>
  <c r="S65" i="20" s="1"/>
  <c r="CK219" i="16"/>
  <c r="BV219" i="16"/>
  <c r="CW220" i="16" s="1"/>
  <c r="BO219" i="16"/>
  <c r="J76" i="21"/>
  <c r="J78" i="21" s="1"/>
  <c r="K22" i="13"/>
  <c r="K22" i="18"/>
  <c r="L48" i="13"/>
  <c r="L32" i="13"/>
  <c r="K22" i="21"/>
  <c r="Q30" i="28"/>
  <c r="Q30" i="29"/>
  <c r="O28" i="17"/>
  <c r="P35" i="20"/>
  <c r="P53" i="17"/>
  <c r="R15" i="21"/>
  <c r="R9" i="17"/>
  <c r="R15" i="23"/>
  <c r="CU21" i="16"/>
  <c r="BT460" i="16"/>
  <c r="S46" i="20" s="1"/>
  <c r="BN440" i="16"/>
  <c r="BR440" i="16"/>
  <c r="CS441" i="16" s="1"/>
  <c r="CJ440" i="16"/>
  <c r="O54" i="21"/>
  <c r="O53" i="20"/>
  <c r="O36" i="17"/>
  <c r="O54" i="23"/>
  <c r="N36" i="28"/>
  <c r="N36" i="29"/>
  <c r="CU220" i="16"/>
  <c r="BT220" i="16"/>
  <c r="BX353" i="16"/>
  <c r="CL353" i="16"/>
  <c r="BP353" i="16"/>
  <c r="BQ396" i="16"/>
  <c r="CR396" i="16"/>
  <c r="Q11" i="27"/>
  <c r="CR242" i="16"/>
  <c r="BQ242" i="16"/>
  <c r="R14" i="20"/>
  <c r="DD459" i="16"/>
  <c r="V9" i="13"/>
  <c r="V18" i="13"/>
  <c r="U30" i="25"/>
  <c r="CJ329" i="16"/>
  <c r="BR329" i="16"/>
  <c r="CS330" i="16" s="1"/>
  <c r="BN329" i="16"/>
  <c r="K38" i="26"/>
  <c r="K38" i="28" s="1"/>
  <c r="K56" i="23"/>
  <c r="K24" i="25"/>
  <c r="L59" i="13"/>
  <c r="K44" i="18"/>
  <c r="L49" i="13"/>
  <c r="K44" i="21"/>
  <c r="L41" i="13"/>
  <c r="BX375" i="16"/>
  <c r="CL375" i="16"/>
  <c r="BP375" i="16"/>
  <c r="CI395" i="16"/>
  <c r="BS395" i="16"/>
  <c r="CT396" i="16" s="1"/>
  <c r="BM395" i="16"/>
  <c r="N32" i="28"/>
  <c r="N32" i="29"/>
  <c r="N39" i="17"/>
  <c r="P20" i="21"/>
  <c r="P21" i="20"/>
  <c r="P21" i="33" s="1"/>
  <c r="P20" i="23"/>
  <c r="U50" i="25"/>
  <c r="CX286" i="16"/>
  <c r="BW286" i="16"/>
  <c r="P39" i="27"/>
  <c r="BS329" i="16"/>
  <c r="CT330" i="16" s="1"/>
  <c r="CI329" i="16"/>
  <c r="BM329" i="16"/>
  <c r="R45" i="28"/>
  <c r="R45" i="29"/>
  <c r="J76" i="23"/>
  <c r="J78" i="23" s="1"/>
  <c r="L32" i="10"/>
  <c r="L32" i="33" s="1"/>
  <c r="L48" i="10"/>
  <c r="L48" i="33" s="1"/>
  <c r="K22" i="10"/>
  <c r="K22" i="33" s="1"/>
  <c r="K22" i="23"/>
  <c r="U9" i="26"/>
  <c r="V25" i="10"/>
  <c r="V37" i="10"/>
  <c r="T11" i="26"/>
  <c r="R54" i="18"/>
  <c r="R36" i="25"/>
  <c r="K31" i="18"/>
  <c r="K31" i="21"/>
  <c r="R21" i="23"/>
  <c r="R21" i="21"/>
  <c r="T55" i="13"/>
  <c r="S40" i="18"/>
  <c r="S10" i="25"/>
  <c r="T38" i="13"/>
  <c r="T37" i="13"/>
  <c r="Q66" i="21"/>
  <c r="Q66" i="23"/>
  <c r="CX375" i="16"/>
  <c r="BW375" i="16"/>
  <c r="R24" i="17"/>
  <c r="N55" i="17"/>
  <c r="N65" i="17"/>
  <c r="BS198" i="16"/>
  <c r="CT199" i="16" s="1"/>
  <c r="CI198" i="16"/>
  <c r="BM198" i="16"/>
  <c r="T47" i="25"/>
  <c r="BR417" i="16"/>
  <c r="CS418" i="16" s="1"/>
  <c r="CJ417" i="16"/>
  <c r="BN417" i="16"/>
  <c r="CU460" i="16"/>
  <c r="S64" i="20" s="1"/>
  <c r="CK374" i="16"/>
  <c r="BV374" i="16"/>
  <c r="CW375" i="16" s="1"/>
  <c r="BO374" i="16"/>
  <c r="BS88" i="16"/>
  <c r="CT89" i="16" s="1"/>
  <c r="CI88" i="16"/>
  <c r="BM88" i="16"/>
  <c r="BS440" i="16"/>
  <c r="CT441" i="16" s="1"/>
  <c r="CI440" i="16"/>
  <c r="BM440" i="16"/>
  <c r="CH21" i="16"/>
  <c r="CH461" i="16" s="1"/>
  <c r="T28" i="20" s="1"/>
  <c r="AZ460" i="16"/>
  <c r="S15" i="20" s="1"/>
  <c r="BP21" i="16"/>
  <c r="CE21" i="16"/>
  <c r="CE461" i="16" s="1"/>
  <c r="T25" i="20" s="1"/>
  <c r="T25" i="33" s="1"/>
  <c r="AW460" i="16"/>
  <c r="S12" i="20" s="1"/>
  <c r="S12" i="33" s="1"/>
  <c r="DH458" i="16"/>
  <c r="CR352" i="16"/>
  <c r="BQ352" i="16"/>
  <c r="CR196" i="16"/>
  <c r="CR460" i="16" s="1"/>
  <c r="S61" i="20" s="1"/>
  <c r="S61" i="32" s="1"/>
  <c r="BQ196" i="16"/>
  <c r="BQ460" i="16" s="1"/>
  <c r="S43" i="20" s="1"/>
  <c r="S43" i="32" s="1"/>
  <c r="U10" i="26"/>
  <c r="V55" i="10"/>
  <c r="Q15" i="29"/>
  <c r="CJ21" i="16"/>
  <c r="BN460" i="16"/>
  <c r="S18" i="20" s="1"/>
  <c r="S18" i="33" s="1"/>
  <c r="BR21" i="16"/>
  <c r="BS153" i="16"/>
  <c r="CT154" i="16" s="1"/>
  <c r="CI153" i="16"/>
  <c r="BM153" i="16"/>
  <c r="CU331" i="16"/>
  <c r="BT331" i="16"/>
  <c r="BM417" i="16"/>
  <c r="CI417" i="16"/>
  <c r="BS417" i="16"/>
  <c r="CT418" i="16" s="1"/>
  <c r="P63" i="17"/>
  <c r="U25" i="31" l="1"/>
  <c r="U14" i="25"/>
  <c r="V26" i="13"/>
  <c r="V51" i="25" s="1"/>
  <c r="DI89" i="16"/>
  <c r="BP45" i="16"/>
  <c r="DH89" i="16"/>
  <c r="BV242" i="16"/>
  <c r="CW243" i="16" s="1"/>
  <c r="BO242" i="16"/>
  <c r="CK242" i="16"/>
  <c r="CY462" i="16"/>
  <c r="U68" i="20" s="1"/>
  <c r="BO45" i="16"/>
  <c r="BS45" i="16"/>
  <c r="CW461" i="16"/>
  <c r="T66" i="20" s="1"/>
  <c r="BX45" i="16"/>
  <c r="CI45" i="16"/>
  <c r="BU67" i="16"/>
  <c r="BQ45" i="16"/>
  <c r="BP243" i="16"/>
  <c r="BX243" i="16"/>
  <c r="CL243" i="16"/>
  <c r="CK45" i="16"/>
  <c r="DB44" i="16"/>
  <c r="BV45" i="16"/>
  <c r="BR45" i="16"/>
  <c r="L70" i="10"/>
  <c r="L70" i="33" s="1"/>
  <c r="CW440" i="16"/>
  <c r="BV440" i="16"/>
  <c r="BU45" i="16"/>
  <c r="Q70" i="20"/>
  <c r="Q63" i="17" s="1"/>
  <c r="CH45" i="16"/>
  <c r="S58" i="28"/>
  <c r="R39" i="26"/>
  <c r="U62" i="13"/>
  <c r="U44" i="13"/>
  <c r="CC45" i="16"/>
  <c r="V9" i="26"/>
  <c r="T46" i="26"/>
  <c r="T46" i="27" s="1"/>
  <c r="T9" i="33"/>
  <c r="T12" i="18"/>
  <c r="T9" i="31"/>
  <c r="BU111" i="16"/>
  <c r="CV111" i="16"/>
  <c r="T58" i="26"/>
  <c r="T56" i="33"/>
  <c r="S43" i="33"/>
  <c r="U62" i="10"/>
  <c r="T44" i="31"/>
  <c r="T47" i="18"/>
  <c r="S47" i="26"/>
  <c r="S10" i="31"/>
  <c r="S13" i="18"/>
  <c r="T45" i="26"/>
  <c r="T45" i="27" s="1"/>
  <c r="T8" i="33"/>
  <c r="T10" i="10"/>
  <c r="T11" i="18"/>
  <c r="T8" i="31"/>
  <c r="U63" i="10"/>
  <c r="V50" i="26"/>
  <c r="BP265" i="16"/>
  <c r="BX265" i="16"/>
  <c r="CL265" i="16"/>
  <c r="S32" i="26"/>
  <c r="V57" i="26"/>
  <c r="BM45" i="16"/>
  <c r="L36" i="23"/>
  <c r="L33" i="33"/>
  <c r="L31" i="23"/>
  <c r="L28" i="33"/>
  <c r="AK45" i="16"/>
  <c r="BE45" i="16" s="1"/>
  <c r="T18" i="31"/>
  <c r="U44" i="10"/>
  <c r="T21" i="18"/>
  <c r="U31" i="10"/>
  <c r="U45" i="10"/>
  <c r="U30" i="10"/>
  <c r="T21" i="10"/>
  <c r="S36" i="26"/>
  <c r="U18" i="10"/>
  <c r="U9" i="10"/>
  <c r="T5" i="31"/>
  <c r="T8" i="18"/>
  <c r="T30" i="26"/>
  <c r="T30" i="27" s="1"/>
  <c r="S61" i="33"/>
  <c r="V10" i="26"/>
  <c r="T62" i="33"/>
  <c r="T65" i="18"/>
  <c r="T62" i="31"/>
  <c r="S13" i="27"/>
  <c r="S16" i="26"/>
  <c r="DI43" i="16"/>
  <c r="P54" i="23"/>
  <c r="P51" i="33"/>
  <c r="T15" i="26"/>
  <c r="U56" i="10"/>
  <c r="U43" i="10"/>
  <c r="T51" i="26"/>
  <c r="T51" i="27" s="1"/>
  <c r="T26" i="33"/>
  <c r="T29" i="18"/>
  <c r="T26" i="31"/>
  <c r="S38" i="33"/>
  <c r="T31" i="31"/>
  <c r="T34" i="18"/>
  <c r="DG44" i="16"/>
  <c r="DB67" i="16"/>
  <c r="DE44" i="16"/>
  <c r="DH43" i="16"/>
  <c r="DJ67" i="16"/>
  <c r="DD67" i="16"/>
  <c r="BU243" i="16"/>
  <c r="CV243" i="16"/>
  <c r="T51" i="10"/>
  <c r="U61" i="10"/>
  <c r="R47" i="27"/>
  <c r="U8" i="10"/>
  <c r="U4" i="10"/>
  <c r="U5" i="10"/>
  <c r="U13" i="10"/>
  <c r="T13" i="26"/>
  <c r="T4" i="31"/>
  <c r="T7" i="18"/>
  <c r="T14" i="26"/>
  <c r="T14" i="27" s="1"/>
  <c r="T13" i="31"/>
  <c r="U17" i="10"/>
  <c r="T16" i="18"/>
  <c r="U26" i="10"/>
  <c r="U38" i="10"/>
  <c r="S12" i="32"/>
  <c r="L49" i="32"/>
  <c r="L48" i="32"/>
  <c r="S13" i="32"/>
  <c r="Q17" i="32"/>
  <c r="L28" i="32"/>
  <c r="S7" i="32"/>
  <c r="L40" i="32"/>
  <c r="L27" i="32"/>
  <c r="BP397" i="16"/>
  <c r="CL397" i="16"/>
  <c r="BX397" i="16"/>
  <c r="BX331" i="16"/>
  <c r="BP331" i="16"/>
  <c r="CL331" i="16"/>
  <c r="S18" i="32"/>
  <c r="T25" i="32"/>
  <c r="S5" i="32"/>
  <c r="T8" i="32"/>
  <c r="L33" i="32"/>
  <c r="S31" i="32"/>
  <c r="CK461" i="16"/>
  <c r="T32" i="20" s="1"/>
  <c r="AN45" i="16"/>
  <c r="BH45" i="16" s="1"/>
  <c r="R4" i="32"/>
  <c r="DF67" i="16"/>
  <c r="DK67" i="16"/>
  <c r="L41" i="32"/>
  <c r="L59" i="32"/>
  <c r="K22" i="32"/>
  <c r="R30" i="32"/>
  <c r="Q45" i="32"/>
  <c r="T9" i="32"/>
  <c r="S44" i="32"/>
  <c r="L50" i="32"/>
  <c r="L39" i="32"/>
  <c r="L57" i="32"/>
  <c r="R10" i="32"/>
  <c r="K35" i="32"/>
  <c r="DE67" i="16"/>
  <c r="CU265" i="16"/>
  <c r="BT265" i="16"/>
  <c r="CL309" i="16"/>
  <c r="BP309" i="16"/>
  <c r="BX309" i="16"/>
  <c r="BO330" i="16"/>
  <c r="CK330" i="16"/>
  <c r="BV330" i="16"/>
  <c r="CW331" i="16" s="1"/>
  <c r="P51" i="32"/>
  <c r="T55" i="32"/>
  <c r="P21" i="32"/>
  <c r="L32" i="32"/>
  <c r="T26" i="32"/>
  <c r="T56" i="32"/>
  <c r="L20" i="32"/>
  <c r="R69" i="20"/>
  <c r="R70" i="20" s="1"/>
  <c r="R63" i="32"/>
  <c r="R37" i="32"/>
  <c r="T62" i="32"/>
  <c r="L46" i="32"/>
  <c r="CN45" i="16"/>
  <c r="L19" i="32"/>
  <c r="AA45" i="16"/>
  <c r="AU45" i="16" s="1"/>
  <c r="Q3" i="32"/>
  <c r="P36" i="17"/>
  <c r="P36" i="29" s="1"/>
  <c r="DJ44" i="16"/>
  <c r="DC67" i="16"/>
  <c r="CY221" i="16"/>
  <c r="BX221" i="16"/>
  <c r="L41" i="31"/>
  <c r="L59" i="31"/>
  <c r="K22" i="31"/>
  <c r="T66" i="18"/>
  <c r="T63" i="31"/>
  <c r="V3" i="31"/>
  <c r="L33" i="31"/>
  <c r="L39" i="31"/>
  <c r="L57" i="31"/>
  <c r="T17" i="31"/>
  <c r="BN308" i="16"/>
  <c r="CJ308" i="16"/>
  <c r="BR308" i="16"/>
  <c r="CS309" i="16" s="1"/>
  <c r="BO198" i="16"/>
  <c r="CK198" i="16"/>
  <c r="BV198" i="16"/>
  <c r="CW199" i="16" s="1"/>
  <c r="CV374" i="16"/>
  <c r="BU374" i="16"/>
  <c r="BU264" i="16"/>
  <c r="CV264" i="16"/>
  <c r="BW199" i="16"/>
  <c r="CX199" i="16"/>
  <c r="BT396" i="16"/>
  <c r="CU396" i="16"/>
  <c r="BP419" i="16"/>
  <c r="BX419" i="16"/>
  <c r="CL419" i="16"/>
  <c r="CK264" i="16"/>
  <c r="BV264" i="16"/>
  <c r="CW265" i="16" s="1"/>
  <c r="BO264" i="16"/>
  <c r="T37" i="31"/>
  <c r="T55" i="31"/>
  <c r="BT45" i="16"/>
  <c r="L50" i="31"/>
  <c r="L46" i="31"/>
  <c r="CX461" i="16"/>
  <c r="T67" i="20" s="1"/>
  <c r="T30" i="31"/>
  <c r="AF45" i="16"/>
  <c r="AZ45" i="16" s="1"/>
  <c r="AG45" i="16"/>
  <c r="BA45" i="16" s="1"/>
  <c r="S51" i="31"/>
  <c r="CS89" i="16"/>
  <c r="BR89" i="16"/>
  <c r="BU177" i="16"/>
  <c r="CV177" i="16"/>
  <c r="T38" i="31"/>
  <c r="L49" i="31"/>
  <c r="L48" i="31"/>
  <c r="CQ45" i="16"/>
  <c r="L28" i="31"/>
  <c r="DG67" i="16"/>
  <c r="DH67" i="16" s="1"/>
  <c r="BN45" i="16"/>
  <c r="V12" i="31"/>
  <c r="V25" i="31"/>
  <c r="DF44" i="16"/>
  <c r="CO45" i="16"/>
  <c r="L40" i="31"/>
  <c r="R15" i="29"/>
  <c r="DK44" i="16"/>
  <c r="L19" i="31"/>
  <c r="S21" i="31"/>
  <c r="DD44" i="16"/>
  <c r="AI45" i="16"/>
  <c r="BC45" i="16" s="1"/>
  <c r="AO45" i="16"/>
  <c r="BI45" i="16" s="1"/>
  <c r="Z45" i="16"/>
  <c r="AT45" i="16" s="1"/>
  <c r="AB45" i="16"/>
  <c r="AV45" i="16" s="1"/>
  <c r="AJ45" i="16"/>
  <c r="BD45" i="16" s="1"/>
  <c r="T61" i="31"/>
  <c r="BX177" i="16"/>
  <c r="CL177" i="16"/>
  <c r="BP177" i="16"/>
  <c r="CX242" i="16"/>
  <c r="BW242" i="16"/>
  <c r="BT308" i="16"/>
  <c r="CU308" i="16"/>
  <c r="CI352" i="16"/>
  <c r="BM352" i="16"/>
  <c r="BS352" i="16"/>
  <c r="CT353" i="16" s="1"/>
  <c r="CX155" i="16"/>
  <c r="BW155" i="16"/>
  <c r="BN220" i="16"/>
  <c r="BR220" i="16"/>
  <c r="CS221" i="16" s="1"/>
  <c r="CJ220" i="16"/>
  <c r="CJ396" i="16"/>
  <c r="BN396" i="16"/>
  <c r="BR396" i="16"/>
  <c r="CS397" i="16" s="1"/>
  <c r="CU440" i="16"/>
  <c r="BT440" i="16"/>
  <c r="CK176" i="16"/>
  <c r="BO176" i="16"/>
  <c r="BV176" i="16"/>
  <c r="CW177" i="16" s="1"/>
  <c r="BV287" i="16"/>
  <c r="CK287" i="16"/>
  <c r="BO287" i="16"/>
  <c r="BU441" i="16"/>
  <c r="CV441" i="16"/>
  <c r="BT419" i="16"/>
  <c r="CU419" i="16"/>
  <c r="CL287" i="16"/>
  <c r="BP287" i="16"/>
  <c r="BX287" i="16"/>
  <c r="CU461" i="16"/>
  <c r="T64" i="20" s="1"/>
  <c r="L32" i="31"/>
  <c r="T56" i="31"/>
  <c r="L20" i="31"/>
  <c r="DH20" i="16"/>
  <c r="K35" i="31"/>
  <c r="AH45" i="16"/>
  <c r="BB45" i="16" s="1"/>
  <c r="AD45" i="16"/>
  <c r="AX45" i="16" s="1"/>
  <c r="AL45" i="16"/>
  <c r="BF45" i="16" s="1"/>
  <c r="CR375" i="16"/>
  <c r="BQ375" i="16"/>
  <c r="BW352" i="16"/>
  <c r="CX352" i="16"/>
  <c r="BW397" i="16"/>
  <c r="CX397" i="16"/>
  <c r="T43" i="31"/>
  <c r="V7" i="31"/>
  <c r="L27" i="31"/>
  <c r="T45" i="31"/>
  <c r="Y45" i="16"/>
  <c r="AS45" i="16" s="1"/>
  <c r="AC45" i="16"/>
  <c r="AW45" i="16" s="1"/>
  <c r="AE45" i="16"/>
  <c r="AY45" i="16" s="1"/>
  <c r="AM45" i="16"/>
  <c r="BG45" i="16" s="1"/>
  <c r="BU331" i="16"/>
  <c r="CV331" i="16"/>
  <c r="BT176" i="16"/>
  <c r="CU176" i="16"/>
  <c r="BU352" i="16"/>
  <c r="CV352" i="16"/>
  <c r="CW133" i="16"/>
  <c r="BV133" i="16"/>
  <c r="BT375" i="16"/>
  <c r="CU375" i="16"/>
  <c r="CX418" i="16"/>
  <c r="BW418" i="16"/>
  <c r="BW264" i="16"/>
  <c r="CX264" i="16"/>
  <c r="CU242" i="16"/>
  <c r="BT242" i="16"/>
  <c r="CK353" i="16"/>
  <c r="BV353" i="16"/>
  <c r="BO353" i="16"/>
  <c r="CX308" i="16"/>
  <c r="BW308" i="16"/>
  <c r="R33" i="17"/>
  <c r="S64" i="23"/>
  <c r="S64" i="21"/>
  <c r="S9" i="17"/>
  <c r="S15" i="21"/>
  <c r="S15" i="23"/>
  <c r="CI441" i="16"/>
  <c r="BS441" i="16"/>
  <c r="BM441" i="16"/>
  <c r="T15" i="25"/>
  <c r="U43" i="13"/>
  <c r="U56" i="13"/>
  <c r="T41" i="18"/>
  <c r="L34" i="10"/>
  <c r="L34" i="33" s="1"/>
  <c r="L35" i="23"/>
  <c r="R19" i="17"/>
  <c r="S52" i="20"/>
  <c r="M66" i="13"/>
  <c r="L51" i="18"/>
  <c r="L51" i="21"/>
  <c r="S16" i="21"/>
  <c r="S16" i="23"/>
  <c r="S14" i="17"/>
  <c r="O34" i="17"/>
  <c r="O6" i="17"/>
  <c r="K54" i="26"/>
  <c r="K38" i="23"/>
  <c r="CF22" i="16"/>
  <c r="CF462" i="16" s="1"/>
  <c r="U26" i="20" s="1"/>
  <c r="AX461" i="16"/>
  <c r="T13" i="20" s="1"/>
  <c r="T13" i="33" s="1"/>
  <c r="CP22" i="16"/>
  <c r="CP462" i="16" s="1"/>
  <c r="U58" i="20" s="1"/>
  <c r="BU22" i="16"/>
  <c r="BF461" i="16"/>
  <c r="T40" i="20" s="1"/>
  <c r="AT461" i="16"/>
  <c r="CC22" i="16"/>
  <c r="CC462" i="16" s="1"/>
  <c r="U8" i="20" s="1"/>
  <c r="DB21" i="16"/>
  <c r="Q48" i="23"/>
  <c r="Q48" i="21"/>
  <c r="CU67" i="16"/>
  <c r="BT67" i="16"/>
  <c r="R40" i="21"/>
  <c r="R40" i="23"/>
  <c r="R10" i="17"/>
  <c r="CL155" i="16"/>
  <c r="BX155" i="16"/>
  <c r="BP155" i="16"/>
  <c r="T11" i="21"/>
  <c r="T45" i="17"/>
  <c r="T11" i="23"/>
  <c r="CR133" i="16"/>
  <c r="BQ133" i="16"/>
  <c r="V10" i="13"/>
  <c r="V10" i="18"/>
  <c r="V44" i="25"/>
  <c r="U9" i="27"/>
  <c r="T65" i="21"/>
  <c r="T65" i="23"/>
  <c r="V8" i="26"/>
  <c r="L62" i="29"/>
  <c r="L62" i="27"/>
  <c r="R44" i="28"/>
  <c r="R44" i="29"/>
  <c r="J21" i="27"/>
  <c r="J21" i="29"/>
  <c r="S46" i="21"/>
  <c r="S46" i="23"/>
  <c r="J65" i="27"/>
  <c r="J65" i="29"/>
  <c r="J66" i="25"/>
  <c r="J67" i="25"/>
  <c r="S45" i="28"/>
  <c r="S45" i="29"/>
  <c r="M67" i="10"/>
  <c r="L52" i="23"/>
  <c r="BT461" i="16"/>
  <c r="T46" i="20" s="1"/>
  <c r="CU22" i="16"/>
  <c r="T33" i="18"/>
  <c r="CR221" i="16"/>
  <c r="BQ221" i="16"/>
  <c r="J27" i="29"/>
  <c r="J27" i="27"/>
  <c r="K25" i="26"/>
  <c r="K25" i="28" s="1"/>
  <c r="K23" i="28"/>
  <c r="Q6" i="23"/>
  <c r="Q6" i="21"/>
  <c r="Q8" i="17"/>
  <c r="T28" i="21"/>
  <c r="T50" i="17"/>
  <c r="T28" i="23"/>
  <c r="CJ418" i="16"/>
  <c r="BN418" i="16"/>
  <c r="BR418" i="16"/>
  <c r="CS419" i="16" s="1"/>
  <c r="S10" i="27"/>
  <c r="S11" i="25"/>
  <c r="R36" i="27"/>
  <c r="U50" i="27"/>
  <c r="M67" i="13"/>
  <c r="L52" i="18"/>
  <c r="L52" i="21"/>
  <c r="S41" i="23"/>
  <c r="S41" i="21"/>
  <c r="S15" i="17"/>
  <c r="S15" i="28" s="1"/>
  <c r="T51" i="13"/>
  <c r="U61" i="13"/>
  <c r="T46" i="18"/>
  <c r="K21" i="26"/>
  <c r="K21" i="28" s="1"/>
  <c r="K26" i="26"/>
  <c r="K19" i="28"/>
  <c r="BS20" i="16"/>
  <c r="CI20" i="16"/>
  <c r="CI460" i="16" s="1"/>
  <c r="S30" i="20" s="1"/>
  <c r="S30" i="33" s="1"/>
  <c r="BM459" i="16"/>
  <c r="R17" i="20" s="1"/>
  <c r="R17" i="33" s="1"/>
  <c r="BM20" i="16"/>
  <c r="Q40" i="17"/>
  <c r="CO22" i="16"/>
  <c r="CO462" i="16" s="1"/>
  <c r="U57" i="20" s="1"/>
  <c r="BE461" i="16"/>
  <c r="BT22" i="16"/>
  <c r="DE21" i="16"/>
  <c r="Q39" i="27"/>
  <c r="R23" i="17"/>
  <c r="CX177" i="16"/>
  <c r="BW177" i="16"/>
  <c r="DC459" i="16"/>
  <c r="R3" i="20"/>
  <c r="R3" i="33" s="1"/>
  <c r="K63" i="27"/>
  <c r="K63" i="29"/>
  <c r="K64" i="25"/>
  <c r="U8" i="27"/>
  <c r="BR242" i="16"/>
  <c r="CS243" i="16" s="1"/>
  <c r="CJ242" i="16"/>
  <c r="BN242" i="16"/>
  <c r="CU353" i="16"/>
  <c r="BT353" i="16"/>
  <c r="R47" i="17"/>
  <c r="R13" i="23"/>
  <c r="R13" i="21"/>
  <c r="K54" i="25"/>
  <c r="K38" i="18"/>
  <c r="K38" i="21"/>
  <c r="K26" i="25"/>
  <c r="K21" i="25"/>
  <c r="K19" i="27"/>
  <c r="K19" i="29"/>
  <c r="T59" i="17"/>
  <c r="S32" i="25"/>
  <c r="S24" i="18"/>
  <c r="L59" i="26"/>
  <c r="L59" i="28" s="1"/>
  <c r="L60" i="23"/>
  <c r="P64" i="17"/>
  <c r="BS154" i="16"/>
  <c r="CT155" i="16" s="1"/>
  <c r="CI154" i="16"/>
  <c r="BM154" i="16"/>
  <c r="S21" i="21"/>
  <c r="S21" i="23"/>
  <c r="BP461" i="16"/>
  <c r="BX22" i="16"/>
  <c r="CY23" i="16" s="1"/>
  <c r="CY463" i="16" s="1"/>
  <c r="V68" i="20" s="1"/>
  <c r="CL22" i="16"/>
  <c r="CL462" i="16" s="1"/>
  <c r="U33" i="20" s="1"/>
  <c r="BV375" i="16"/>
  <c r="CK375" i="16"/>
  <c r="BO375" i="16"/>
  <c r="T48" i="25"/>
  <c r="N66" i="17"/>
  <c r="T40" i="18"/>
  <c r="U55" i="13"/>
  <c r="T10" i="25"/>
  <c r="U37" i="13"/>
  <c r="U38" i="13"/>
  <c r="K33" i="26"/>
  <c r="K23" i="10"/>
  <c r="K23" i="33" s="1"/>
  <c r="K25" i="23"/>
  <c r="CX287" i="16"/>
  <c r="BW287" i="16"/>
  <c r="BM396" i="16"/>
  <c r="CI396" i="16"/>
  <c r="BS396" i="16"/>
  <c r="CT397" i="16" s="1"/>
  <c r="O36" i="28"/>
  <c r="O36" i="29"/>
  <c r="K33" i="25"/>
  <c r="K25" i="18"/>
  <c r="K23" i="13"/>
  <c r="K25" i="21"/>
  <c r="P16" i="28"/>
  <c r="P16" i="29"/>
  <c r="T29" i="21"/>
  <c r="T51" i="17"/>
  <c r="T29" i="23"/>
  <c r="CR22" i="16"/>
  <c r="R32" i="27"/>
  <c r="R39" i="25"/>
  <c r="V45" i="25"/>
  <c r="S15" i="27"/>
  <c r="S16" i="25"/>
  <c r="L52" i="26"/>
  <c r="L52" i="28" s="1"/>
  <c r="L30" i="23"/>
  <c r="CX89" i="16"/>
  <c r="BW89" i="16"/>
  <c r="Q20" i="21"/>
  <c r="Q20" i="23"/>
  <c r="Q21" i="20"/>
  <c r="Q21" i="33" s="1"/>
  <c r="CR331" i="16"/>
  <c r="BQ331" i="16"/>
  <c r="L31" i="18"/>
  <c r="L31" i="21"/>
  <c r="M68" i="10"/>
  <c r="L53" i="23"/>
  <c r="CV22" i="16"/>
  <c r="BU461" i="16"/>
  <c r="T47" i="20" s="1"/>
  <c r="CB21" i="16"/>
  <c r="CB461" i="16" s="1"/>
  <c r="T7" i="20" s="1"/>
  <c r="T7" i="33" s="1"/>
  <c r="AS460" i="16"/>
  <c r="DC20" i="16"/>
  <c r="BQ22" i="16"/>
  <c r="CN22" i="16"/>
  <c r="CN462" i="16" s="1"/>
  <c r="U56" i="20" s="1"/>
  <c r="BD461" i="16"/>
  <c r="T38" i="20" s="1"/>
  <c r="T38" i="33" s="1"/>
  <c r="CQ22" i="16"/>
  <c r="CQ462" i="16" s="1"/>
  <c r="U59" i="20" s="1"/>
  <c r="BW22" i="16"/>
  <c r="BG461" i="16"/>
  <c r="T41" i="20" s="1"/>
  <c r="CV461" i="16"/>
  <c r="T65" i="20" s="1"/>
  <c r="DI459" i="16"/>
  <c r="BR22" i="16"/>
  <c r="BN461" i="16"/>
  <c r="T18" i="20" s="1"/>
  <c r="T18" i="33" s="1"/>
  <c r="CJ22" i="16"/>
  <c r="CX22" i="16"/>
  <c r="BW461" i="16"/>
  <c r="T49" i="20" s="1"/>
  <c r="K38" i="29"/>
  <c r="K38" i="27"/>
  <c r="BU396" i="16"/>
  <c r="CV396" i="16"/>
  <c r="CU287" i="16"/>
  <c r="BT287" i="16"/>
  <c r="U44" i="27"/>
  <c r="V15" i="18"/>
  <c r="V9" i="25"/>
  <c r="CK308" i="16"/>
  <c r="BV308" i="16"/>
  <c r="CW309" i="16" s="1"/>
  <c r="BO308" i="16"/>
  <c r="S57" i="29"/>
  <c r="S57" i="27"/>
  <c r="L36" i="18"/>
  <c r="L36" i="21"/>
  <c r="U11" i="26"/>
  <c r="K27" i="26"/>
  <c r="K27" i="28" s="1"/>
  <c r="K20" i="28"/>
  <c r="BS242" i="16"/>
  <c r="CT243" i="16" s="1"/>
  <c r="CI242" i="16"/>
  <c r="BM242" i="16"/>
  <c r="M46" i="13"/>
  <c r="L23" i="25"/>
  <c r="M57" i="13"/>
  <c r="M40" i="13"/>
  <c r="L42" i="18"/>
  <c r="L42" i="21"/>
  <c r="L59" i="25"/>
  <c r="L60" i="18"/>
  <c r="L60" i="21"/>
  <c r="N67" i="17"/>
  <c r="BV419" i="16"/>
  <c r="CK419" i="16"/>
  <c r="BO419" i="16"/>
  <c r="R16" i="27"/>
  <c r="Q51" i="20"/>
  <c r="Q51" i="33" s="1"/>
  <c r="CJ154" i="16"/>
  <c r="BR154" i="16"/>
  <c r="CS155" i="16" s="1"/>
  <c r="BN154" i="16"/>
  <c r="CR287" i="16"/>
  <c r="BQ287" i="16"/>
  <c r="S14" i="20"/>
  <c r="DD460" i="16"/>
  <c r="P28" i="17"/>
  <c r="J55" i="27"/>
  <c r="J55" i="29"/>
  <c r="K76" i="21"/>
  <c r="K78" i="21" s="1"/>
  <c r="L22" i="18"/>
  <c r="L22" i="13"/>
  <c r="M32" i="13"/>
  <c r="M48" i="13"/>
  <c r="L22" i="21"/>
  <c r="CI375" i="16"/>
  <c r="BS375" i="16"/>
  <c r="BM375" i="16"/>
  <c r="R14" i="28"/>
  <c r="R14" i="29"/>
  <c r="J41" i="27"/>
  <c r="J41" i="29"/>
  <c r="DE460" i="16"/>
  <c r="S39" i="20"/>
  <c r="U63" i="13"/>
  <c r="T48" i="18"/>
  <c r="R7" i="23"/>
  <c r="R13" i="17"/>
  <c r="R7" i="21"/>
  <c r="L52" i="10"/>
  <c r="L52" i="33" s="1"/>
  <c r="M64" i="10"/>
  <c r="M64" i="33" s="1"/>
  <c r="L49" i="23"/>
  <c r="S36" i="25"/>
  <c r="S54" i="18"/>
  <c r="K52" i="27"/>
  <c r="K52" i="29"/>
  <c r="P48" i="28"/>
  <c r="P48" i="29"/>
  <c r="P38" i="17"/>
  <c r="CI330" i="16"/>
  <c r="BS330" i="16"/>
  <c r="CT331" i="16" s="1"/>
  <c r="BM330" i="16"/>
  <c r="K24" i="27"/>
  <c r="K24" i="29"/>
  <c r="P54" i="17"/>
  <c r="BV220" i="16"/>
  <c r="CW221" i="16" s="1"/>
  <c r="CK220" i="16"/>
  <c r="BO220" i="16"/>
  <c r="V30" i="25"/>
  <c r="R33" i="21"/>
  <c r="R33" i="23"/>
  <c r="R34" i="20"/>
  <c r="CV287" i="16"/>
  <c r="BU287" i="16"/>
  <c r="Q21" i="17"/>
  <c r="Q26" i="17"/>
  <c r="CH22" i="16"/>
  <c r="CH462" i="16" s="1"/>
  <c r="U28" i="20" s="1"/>
  <c r="AZ461" i="16"/>
  <c r="T15" i="20" s="1"/>
  <c r="BP22" i="16"/>
  <c r="BS177" i="16"/>
  <c r="CI177" i="16"/>
  <c r="BM177" i="16"/>
  <c r="BV155" i="16"/>
  <c r="CK155" i="16"/>
  <c r="BO155" i="16"/>
  <c r="BR353" i="16"/>
  <c r="CJ353" i="16"/>
  <c r="BN353" i="16"/>
  <c r="S51" i="28"/>
  <c r="S51" i="29"/>
  <c r="S8" i="23"/>
  <c r="S8" i="21"/>
  <c r="S30" i="17"/>
  <c r="T58" i="21"/>
  <c r="T57" i="17"/>
  <c r="T57" i="28" s="1"/>
  <c r="T58" i="23"/>
  <c r="V14" i="25"/>
  <c r="M50" i="10"/>
  <c r="M50" i="33" s="1"/>
  <c r="M33" i="10"/>
  <c r="L23" i="23"/>
  <c r="Q35" i="20"/>
  <c r="Q53" i="17"/>
  <c r="M47" i="13"/>
  <c r="M58" i="13"/>
  <c r="L43" i="18"/>
  <c r="L43" i="21"/>
  <c r="CI287" i="16"/>
  <c r="BS287" i="16"/>
  <c r="BM287" i="16"/>
  <c r="O11" i="28"/>
  <c r="O11" i="29"/>
  <c r="CV220" i="16"/>
  <c r="BU220" i="16"/>
  <c r="CX221" i="16"/>
  <c r="BW221" i="16"/>
  <c r="S34" i="21"/>
  <c r="S34" i="23"/>
  <c r="Q13" i="28"/>
  <c r="Q16" i="17"/>
  <c r="Q13" i="29"/>
  <c r="L52" i="25"/>
  <c r="L30" i="18"/>
  <c r="L30" i="21"/>
  <c r="CR89" i="16"/>
  <c r="BQ89" i="16"/>
  <c r="CI418" i="16"/>
  <c r="BM418" i="16"/>
  <c r="BS418" i="16"/>
  <c r="CT419" i="16" s="1"/>
  <c r="BR461" i="16"/>
  <c r="T44" i="20" s="1"/>
  <c r="T44" i="33" s="1"/>
  <c r="CS22" i="16"/>
  <c r="CS462" i="16" s="1"/>
  <c r="U62" i="20" s="1"/>
  <c r="N39" i="28"/>
  <c r="N41" i="17"/>
  <c r="N39" i="29"/>
  <c r="V46" i="25"/>
  <c r="CR243" i="16"/>
  <c r="BQ243" i="16"/>
  <c r="CU221" i="16"/>
  <c r="BT221" i="16"/>
  <c r="Q25" i="17"/>
  <c r="M50" i="13"/>
  <c r="M33" i="13"/>
  <c r="L23" i="18"/>
  <c r="L23" i="21"/>
  <c r="P8" i="28"/>
  <c r="P11" i="17"/>
  <c r="P8" i="29"/>
  <c r="T60" i="17"/>
  <c r="CD22" i="16"/>
  <c r="CD462" i="16" s="1"/>
  <c r="U9" i="20" s="1"/>
  <c r="AU461" i="16"/>
  <c r="T5" i="20" s="1"/>
  <c r="T5" i="33" s="1"/>
  <c r="BN22" i="16"/>
  <c r="AV461" i="16"/>
  <c r="DJ21" i="16"/>
  <c r="DK21" i="16"/>
  <c r="AA22" i="16"/>
  <c r="AU22" i="16" s="1"/>
  <c r="AD22" i="16"/>
  <c r="AX22" i="16" s="1"/>
  <c r="AG22" i="16"/>
  <c r="BA22" i="16" s="1"/>
  <c r="BA462" i="16" s="1"/>
  <c r="AO22" i="16"/>
  <c r="BI22" i="16" s="1"/>
  <c r="BI462" i="16" s="1"/>
  <c r="AS21" i="16"/>
  <c r="AE22" i="16"/>
  <c r="AY22" i="16" s="1"/>
  <c r="AH22" i="16"/>
  <c r="BB22" i="16" s="1"/>
  <c r="BB462" i="16" s="1"/>
  <c r="AK22" i="16"/>
  <c r="BE22" i="16" s="1"/>
  <c r="AL22" i="16"/>
  <c r="BF22" i="16" s="1"/>
  <c r="AN22" i="16"/>
  <c r="BH22" i="16" s="1"/>
  <c r="BH462" i="16" s="1"/>
  <c r="AI22" i="16"/>
  <c r="BC22" i="16" s="1"/>
  <c r="AM22" i="16"/>
  <c r="BG22" i="16" s="1"/>
  <c r="AJ22" i="16"/>
  <c r="BD22" i="16" s="1"/>
  <c r="Z22" i="16"/>
  <c r="AT22" i="16" s="1"/>
  <c r="AB22" i="16"/>
  <c r="AV22" i="16" s="1"/>
  <c r="Y22" i="16"/>
  <c r="AF22" i="16"/>
  <c r="AZ22" i="16" s="1"/>
  <c r="AC22" i="16"/>
  <c r="AW22" i="16" s="1"/>
  <c r="R66" i="21"/>
  <c r="R66" i="23"/>
  <c r="T12" i="23"/>
  <c r="T12" i="21"/>
  <c r="T46" i="17"/>
  <c r="S24" i="17"/>
  <c r="R37" i="17"/>
  <c r="V6" i="18"/>
  <c r="V8" i="25"/>
  <c r="CI307" i="16"/>
  <c r="BS307" i="16"/>
  <c r="CT308" i="16" s="1"/>
  <c r="BM307" i="16"/>
  <c r="S50" i="28"/>
  <c r="S50" i="29"/>
  <c r="CU198" i="16"/>
  <c r="BT198" i="16"/>
  <c r="CJ198" i="16"/>
  <c r="BR198" i="16"/>
  <c r="CS199" i="16" s="1"/>
  <c r="BN198" i="16"/>
  <c r="CR67" i="16"/>
  <c r="BQ67" i="16"/>
  <c r="R27" i="17"/>
  <c r="CK22" i="16"/>
  <c r="BV22" i="16"/>
  <c r="BO461" i="16"/>
  <c r="T19" i="20" s="1"/>
  <c r="R11" i="27"/>
  <c r="M59" i="10"/>
  <c r="M59" i="33" s="1"/>
  <c r="M49" i="10"/>
  <c r="M49" i="33" s="1"/>
  <c r="L24" i="26"/>
  <c r="L24" i="28" s="1"/>
  <c r="L44" i="23"/>
  <c r="CV308" i="16"/>
  <c r="BU308" i="16"/>
  <c r="CV419" i="16"/>
  <c r="BU419" i="16"/>
  <c r="O55" i="17"/>
  <c r="O65" i="17"/>
  <c r="CJ461" i="16"/>
  <c r="T31" i="20" s="1"/>
  <c r="T31" i="33" s="1"/>
  <c r="CR197" i="16"/>
  <c r="CR461" i="16" s="1"/>
  <c r="T61" i="20" s="1"/>
  <c r="T61" i="33" s="1"/>
  <c r="BQ197" i="16"/>
  <c r="CR353" i="16"/>
  <c r="BQ353" i="16"/>
  <c r="S20" i="17"/>
  <c r="BS89" i="16"/>
  <c r="CI89" i="16"/>
  <c r="BM89" i="16"/>
  <c r="BS199" i="16"/>
  <c r="CI199" i="16"/>
  <c r="BM199" i="16"/>
  <c r="T58" i="18"/>
  <c r="T57" i="25"/>
  <c r="M66" i="10"/>
  <c r="L51" i="23"/>
  <c r="P32" i="17"/>
  <c r="P23" i="20"/>
  <c r="P24" i="23"/>
  <c r="P24" i="21"/>
  <c r="M49" i="13"/>
  <c r="L44" i="18"/>
  <c r="M59" i="13"/>
  <c r="L24" i="25"/>
  <c r="L44" i="21"/>
  <c r="L62" i="18"/>
  <c r="L61" i="25"/>
  <c r="L62" i="21"/>
  <c r="CJ330" i="16"/>
  <c r="BR330" i="16"/>
  <c r="CS331" i="16" s="1"/>
  <c r="BN330" i="16"/>
  <c r="DH459" i="16"/>
  <c r="CR397" i="16"/>
  <c r="BQ397" i="16"/>
  <c r="O38" i="17"/>
  <c r="BR441" i="16"/>
  <c r="BN441" i="16"/>
  <c r="CJ441" i="16"/>
  <c r="R9" i="28"/>
  <c r="R9" i="29"/>
  <c r="L35" i="18"/>
  <c r="L34" i="13"/>
  <c r="L35" i="21"/>
  <c r="S46" i="28"/>
  <c r="S46" i="29"/>
  <c r="CJ286" i="16"/>
  <c r="BR286" i="16"/>
  <c r="CS287" i="16" s="1"/>
  <c r="BN286" i="16"/>
  <c r="T59" i="21"/>
  <c r="T58" i="17"/>
  <c r="T59" i="23"/>
  <c r="T59" i="18"/>
  <c r="T58" i="25"/>
  <c r="K76" i="23"/>
  <c r="K78" i="23" s="1"/>
  <c r="M48" i="10"/>
  <c r="M48" i="33" s="1"/>
  <c r="M32" i="10"/>
  <c r="M32" i="33" s="1"/>
  <c r="L22" i="10"/>
  <c r="L22" i="33" s="1"/>
  <c r="L22" i="23"/>
  <c r="CR309" i="16"/>
  <c r="BQ309" i="16"/>
  <c r="BS459" i="16"/>
  <c r="R45" i="20" s="1"/>
  <c r="R45" i="33" s="1"/>
  <c r="CT20" i="16"/>
  <c r="CT460" i="16" s="1"/>
  <c r="S63" i="20" s="1"/>
  <c r="S63" i="33" s="1"/>
  <c r="Q10" i="28"/>
  <c r="Q10" i="29"/>
  <c r="O32" i="28"/>
  <c r="O39" i="17"/>
  <c r="O32" i="29"/>
  <c r="S58" i="29"/>
  <c r="S58" i="27"/>
  <c r="K27" i="25"/>
  <c r="K20" i="27"/>
  <c r="K20" i="29"/>
  <c r="R30" i="28"/>
  <c r="R30" i="29"/>
  <c r="BS219" i="16"/>
  <c r="CT220" i="16" s="1"/>
  <c r="CI219" i="16"/>
  <c r="BM219" i="16"/>
  <c r="DD21" i="16"/>
  <c r="CG22" i="16"/>
  <c r="CG462" i="16" s="1"/>
  <c r="U27" i="20" s="1"/>
  <c r="AY461" i="16"/>
  <c r="BO22" i="16"/>
  <c r="AW461" i="16"/>
  <c r="T12" i="20" s="1"/>
  <c r="T12" i="33" s="1"/>
  <c r="CE22" i="16"/>
  <c r="CE462" i="16" s="1"/>
  <c r="U25" i="20" s="1"/>
  <c r="U25" i="33" s="1"/>
  <c r="BC461" i="16"/>
  <c r="DG21" i="16"/>
  <c r="DF21" i="16"/>
  <c r="CM22" i="16"/>
  <c r="CM462" i="16" s="1"/>
  <c r="U55" i="20" s="1"/>
  <c r="U55" i="33" s="1"/>
  <c r="BQ441" i="16"/>
  <c r="CR441" i="16"/>
  <c r="J65" i="28"/>
  <c r="J66" i="26"/>
  <c r="J66" i="28" s="1"/>
  <c r="J67" i="26"/>
  <c r="J67" i="28" s="1"/>
  <c r="CV154" i="16"/>
  <c r="BU154" i="16"/>
  <c r="CX331" i="16"/>
  <c r="BW331" i="16"/>
  <c r="BX461" i="16"/>
  <c r="T50" i="20" s="1"/>
  <c r="S20" i="20"/>
  <c r="S22" i="20" s="1"/>
  <c r="S44" i="17"/>
  <c r="S10" i="23"/>
  <c r="S10" i="20"/>
  <c r="S10" i="33" s="1"/>
  <c r="S10" i="21"/>
  <c r="S4" i="20"/>
  <c r="S4" i="33" s="1"/>
  <c r="DB460" i="16"/>
  <c r="S37" i="20"/>
  <c r="S37" i="33" s="1"/>
  <c r="DF460" i="16"/>
  <c r="DG460" i="16"/>
  <c r="T61" i="17"/>
  <c r="U47" i="25"/>
  <c r="V13" i="25"/>
  <c r="V28" i="18"/>
  <c r="V50" i="25"/>
  <c r="S47" i="21"/>
  <c r="S47" i="23"/>
  <c r="Q47" i="28"/>
  <c r="Q48" i="17"/>
  <c r="Q47" i="29"/>
  <c r="L53" i="18"/>
  <c r="M68" i="13"/>
  <c r="L53" i="21"/>
  <c r="V44" i="26"/>
  <c r="CR177" i="16"/>
  <c r="BQ177" i="16"/>
  <c r="P40" i="17"/>
  <c r="L70" i="13"/>
  <c r="L52" i="13"/>
  <c r="L49" i="18"/>
  <c r="M64" i="13"/>
  <c r="L49" i="21"/>
  <c r="K25" i="25"/>
  <c r="K23" i="27"/>
  <c r="K23" i="29"/>
  <c r="CV198" i="16"/>
  <c r="BU198" i="16"/>
  <c r="BS265" i="16"/>
  <c r="CI265" i="16"/>
  <c r="BM265" i="16"/>
  <c r="J28" i="25"/>
  <c r="J26" i="29"/>
  <c r="J26" i="27"/>
  <c r="BW441" i="16"/>
  <c r="CX441" i="16"/>
  <c r="CR155" i="16"/>
  <c r="BQ155" i="16"/>
  <c r="T52" i="17"/>
  <c r="CR265" i="16"/>
  <c r="BQ265" i="16"/>
  <c r="J28" i="26"/>
  <c r="J28" i="28" s="1"/>
  <c r="J26" i="28"/>
  <c r="L61" i="26"/>
  <c r="L61" i="28" s="1"/>
  <c r="L62" i="23"/>
  <c r="BV461" i="16"/>
  <c r="T48" i="20" s="1"/>
  <c r="CW22" i="16"/>
  <c r="CU133" i="16"/>
  <c r="BT133" i="16"/>
  <c r="DI20" i="16"/>
  <c r="DJ460" i="16"/>
  <c r="DK460" i="16"/>
  <c r="T20" i="18"/>
  <c r="U30" i="13"/>
  <c r="U45" i="13"/>
  <c r="T21" i="13"/>
  <c r="U17" i="13"/>
  <c r="DC44" i="16"/>
  <c r="CB45" i="16"/>
  <c r="L23" i="26"/>
  <c r="M57" i="10"/>
  <c r="M57" i="33" s="1"/>
  <c r="M46" i="10"/>
  <c r="M46" i="33" s="1"/>
  <c r="M40" i="10"/>
  <c r="M40" i="33" s="1"/>
  <c r="L42" i="23"/>
  <c r="M58" i="10"/>
  <c r="M58" i="33" s="1"/>
  <c r="M47" i="10"/>
  <c r="M47" i="33" s="1"/>
  <c r="L43" i="23"/>
  <c r="BV396" i="16"/>
  <c r="CW397" i="16" s="1"/>
  <c r="CK396" i="16"/>
  <c r="BO396" i="16"/>
  <c r="T64" i="18"/>
  <c r="BR374" i="16"/>
  <c r="CS375" i="16" s="1"/>
  <c r="CJ374" i="16"/>
  <c r="BN374" i="16"/>
  <c r="K64" i="26"/>
  <c r="K64" i="28" s="1"/>
  <c r="K63" i="28"/>
  <c r="DI67" i="16" l="1"/>
  <c r="BV243" i="16"/>
  <c r="CK243" i="16"/>
  <c r="BO243" i="16"/>
  <c r="P36" i="28"/>
  <c r="L73" i="23"/>
  <c r="L63" i="26"/>
  <c r="L64" i="26" s="1"/>
  <c r="L64" i="28" s="1"/>
  <c r="T58" i="28"/>
  <c r="DF45" i="16"/>
  <c r="V62" i="13"/>
  <c r="V44" i="13"/>
  <c r="CW462" i="16"/>
  <c r="U66" i="20" s="1"/>
  <c r="V11" i="26"/>
  <c r="DE45" i="16"/>
  <c r="DH44" i="16"/>
  <c r="T38" i="32"/>
  <c r="CW441" i="16"/>
  <c r="BV441" i="16"/>
  <c r="U51" i="26"/>
  <c r="U51" i="27" s="1"/>
  <c r="U26" i="33"/>
  <c r="U26" i="31"/>
  <c r="U29" i="18"/>
  <c r="T13" i="27"/>
  <c r="T16" i="26"/>
  <c r="T32" i="26"/>
  <c r="U34" i="18"/>
  <c r="U31" i="31"/>
  <c r="S47" i="27"/>
  <c r="U62" i="33"/>
  <c r="U65" i="18"/>
  <c r="U62" i="31"/>
  <c r="U14" i="26"/>
  <c r="U14" i="27" s="1"/>
  <c r="V38" i="10"/>
  <c r="U16" i="18"/>
  <c r="U13" i="31"/>
  <c r="V17" i="10"/>
  <c r="V26" i="10"/>
  <c r="U51" i="10"/>
  <c r="V61" i="10"/>
  <c r="M69" i="23"/>
  <c r="M66" i="33"/>
  <c r="M71" i="23"/>
  <c r="M68" i="33"/>
  <c r="R62" i="17"/>
  <c r="DB45" i="16"/>
  <c r="DI44" i="16"/>
  <c r="V30" i="10"/>
  <c r="V45" i="10"/>
  <c r="U21" i="10"/>
  <c r="U5" i="31"/>
  <c r="U8" i="18"/>
  <c r="U30" i="26"/>
  <c r="V9" i="10"/>
  <c r="V18" i="10"/>
  <c r="S48" i="26"/>
  <c r="S48" i="27" s="1"/>
  <c r="T36" i="26"/>
  <c r="U58" i="26"/>
  <c r="U56" i="33"/>
  <c r="V63" i="10"/>
  <c r="V62" i="10"/>
  <c r="U44" i="31"/>
  <c r="U47" i="18"/>
  <c r="T47" i="26"/>
  <c r="T47" i="27" s="1"/>
  <c r="T10" i="31"/>
  <c r="T13" i="18"/>
  <c r="U45" i="26"/>
  <c r="U45" i="27" s="1"/>
  <c r="U8" i="33"/>
  <c r="U10" i="10"/>
  <c r="U8" i="31"/>
  <c r="U11" i="18"/>
  <c r="V44" i="10"/>
  <c r="U18" i="31"/>
  <c r="V31" i="10"/>
  <c r="U21" i="18"/>
  <c r="M36" i="23"/>
  <c r="M33" i="33"/>
  <c r="S15" i="29"/>
  <c r="M70" i="23"/>
  <c r="M67" i="33"/>
  <c r="DD45" i="16"/>
  <c r="V43" i="10"/>
  <c r="V56" i="10"/>
  <c r="U15" i="26"/>
  <c r="V8" i="10"/>
  <c r="U4" i="31"/>
  <c r="V4" i="10"/>
  <c r="V5" i="10"/>
  <c r="U13" i="26"/>
  <c r="U7" i="18"/>
  <c r="V13" i="10"/>
  <c r="U46" i="26"/>
  <c r="U46" i="27" s="1"/>
  <c r="U9" i="33"/>
  <c r="U9" i="31"/>
  <c r="U12" i="18"/>
  <c r="S39" i="26"/>
  <c r="L70" i="32"/>
  <c r="M68" i="32"/>
  <c r="T12" i="32"/>
  <c r="S63" i="32"/>
  <c r="M59" i="32"/>
  <c r="U62" i="32"/>
  <c r="M58" i="32"/>
  <c r="M48" i="32"/>
  <c r="Q51" i="32"/>
  <c r="M57" i="32"/>
  <c r="T18" i="32"/>
  <c r="T7" i="32"/>
  <c r="K23" i="32"/>
  <c r="DI21" i="16"/>
  <c r="M67" i="32"/>
  <c r="U8" i="32"/>
  <c r="M66" i="32"/>
  <c r="DJ45" i="16"/>
  <c r="T61" i="32"/>
  <c r="M64" i="32"/>
  <c r="S37" i="32"/>
  <c r="S10" i="32"/>
  <c r="R45" i="32"/>
  <c r="L34" i="32"/>
  <c r="T5" i="32"/>
  <c r="M33" i="32"/>
  <c r="T44" i="32"/>
  <c r="M47" i="32"/>
  <c r="M32" i="32"/>
  <c r="Q21" i="32"/>
  <c r="U55" i="32"/>
  <c r="DK45" i="16"/>
  <c r="T13" i="32"/>
  <c r="DC45" i="16"/>
  <c r="CK331" i="16"/>
  <c r="BO331" i="16"/>
  <c r="BV331" i="16"/>
  <c r="M49" i="32"/>
  <c r="U9" i="32"/>
  <c r="M50" i="32"/>
  <c r="L22" i="32"/>
  <c r="M46" i="32"/>
  <c r="R3" i="32"/>
  <c r="R17" i="32"/>
  <c r="U26" i="32"/>
  <c r="U56" i="32"/>
  <c r="L52" i="32"/>
  <c r="S4" i="32"/>
  <c r="U25" i="32"/>
  <c r="T31" i="32"/>
  <c r="M40" i="32"/>
  <c r="S30" i="32"/>
  <c r="DG45" i="16"/>
  <c r="L34" i="31"/>
  <c r="M32" i="31"/>
  <c r="U56" i="31"/>
  <c r="T21" i="31"/>
  <c r="U43" i="31"/>
  <c r="BT441" i="16"/>
  <c r="CU441" i="16"/>
  <c r="L52" i="31"/>
  <c r="M33" i="31"/>
  <c r="M47" i="31"/>
  <c r="M40" i="31"/>
  <c r="U37" i="31"/>
  <c r="M67" i="31"/>
  <c r="M66" i="31"/>
  <c r="BW309" i="16"/>
  <c r="CX309" i="16"/>
  <c r="BW265" i="16"/>
  <c r="CX265" i="16"/>
  <c r="BU353" i="16"/>
  <c r="CV353" i="16"/>
  <c r="CU397" i="16"/>
  <c r="BT397" i="16"/>
  <c r="BU265" i="16"/>
  <c r="CV265" i="16"/>
  <c r="BR309" i="16"/>
  <c r="BN309" i="16"/>
  <c r="CJ309" i="16"/>
  <c r="U17" i="31"/>
  <c r="M64" i="31"/>
  <c r="U66" i="18"/>
  <c r="U63" i="31"/>
  <c r="U55" i="31"/>
  <c r="T51" i="31"/>
  <c r="BT177" i="16"/>
  <c r="CU177" i="16"/>
  <c r="CX353" i="16"/>
  <c r="BW353" i="16"/>
  <c r="BR397" i="16"/>
  <c r="CJ397" i="16"/>
  <c r="BN397" i="16"/>
  <c r="BN221" i="16"/>
  <c r="CJ221" i="16"/>
  <c r="BR221" i="16"/>
  <c r="BM353" i="16"/>
  <c r="CI353" i="16"/>
  <c r="BS353" i="16"/>
  <c r="CX243" i="16"/>
  <c r="BW243" i="16"/>
  <c r="M49" i="31"/>
  <c r="M58" i="31"/>
  <c r="L22" i="31"/>
  <c r="M46" i="31"/>
  <c r="CX462" i="16"/>
  <c r="U67" i="20" s="1"/>
  <c r="U38" i="31"/>
  <c r="CU462" i="16"/>
  <c r="U64" i="20" s="1"/>
  <c r="U45" i="31"/>
  <c r="U30" i="31"/>
  <c r="L70" i="31"/>
  <c r="M68" i="31"/>
  <c r="M59" i="31"/>
  <c r="M50" i="31"/>
  <c r="M48" i="31"/>
  <c r="DH460" i="16"/>
  <c r="M57" i="31"/>
  <c r="K23" i="31"/>
  <c r="U61" i="31"/>
  <c r="BT243" i="16"/>
  <c r="CU243" i="16"/>
  <c r="CX419" i="16"/>
  <c r="BW419" i="16"/>
  <c r="BO177" i="16"/>
  <c r="BV177" i="16"/>
  <c r="CK177" i="16"/>
  <c r="BT309" i="16"/>
  <c r="CU309" i="16"/>
  <c r="BV265" i="16"/>
  <c r="CK265" i="16"/>
  <c r="BO265" i="16"/>
  <c r="BU375" i="16"/>
  <c r="CV375" i="16"/>
  <c r="BO199" i="16"/>
  <c r="BV199" i="16"/>
  <c r="CK199" i="16"/>
  <c r="S33" i="17"/>
  <c r="T64" i="21"/>
  <c r="T64" i="23"/>
  <c r="U33" i="18"/>
  <c r="L63" i="25"/>
  <c r="L73" i="18"/>
  <c r="L73" i="21"/>
  <c r="CK23" i="16"/>
  <c r="BO462" i="16"/>
  <c r="U19" i="20" s="1"/>
  <c r="BV23" i="16"/>
  <c r="L33" i="26"/>
  <c r="L23" i="10"/>
  <c r="L23" i="33" s="1"/>
  <c r="L25" i="23"/>
  <c r="CJ287" i="16"/>
  <c r="BR287" i="16"/>
  <c r="BN287" i="16"/>
  <c r="CJ331" i="16"/>
  <c r="BR331" i="16"/>
  <c r="BN331" i="16"/>
  <c r="M61" i="25"/>
  <c r="M62" i="18"/>
  <c r="M62" i="21"/>
  <c r="CR198" i="16"/>
  <c r="CR462" i="16" s="1"/>
  <c r="U61" i="20" s="1"/>
  <c r="U61" i="33" s="1"/>
  <c r="BQ198" i="16"/>
  <c r="BQ462" i="16" s="1"/>
  <c r="U43" i="20" s="1"/>
  <c r="U43" i="33" s="1"/>
  <c r="V8" i="27"/>
  <c r="CF23" i="16"/>
  <c r="CF463" i="16" s="1"/>
  <c r="V26" i="20" s="1"/>
  <c r="AX462" i="16"/>
  <c r="U13" i="20" s="1"/>
  <c r="U13" i="33" s="1"/>
  <c r="P11" i="28"/>
  <c r="P11" i="29"/>
  <c r="Q16" i="28"/>
  <c r="Q16" i="29"/>
  <c r="M60" i="25"/>
  <c r="M61" i="18"/>
  <c r="M61" i="21"/>
  <c r="P55" i="17"/>
  <c r="P65" i="17"/>
  <c r="R13" i="28"/>
  <c r="R16" i="17"/>
  <c r="R13" i="29"/>
  <c r="BR155" i="16"/>
  <c r="CJ155" i="16"/>
  <c r="BN155" i="16"/>
  <c r="Q53" i="20"/>
  <c r="Q36" i="17"/>
  <c r="Q54" i="21"/>
  <c r="Q54" i="23"/>
  <c r="L59" i="27"/>
  <c r="L59" i="29"/>
  <c r="CI243" i="16"/>
  <c r="BS243" i="16"/>
  <c r="BM243" i="16"/>
  <c r="CJ462" i="16"/>
  <c r="U31" i="20" s="1"/>
  <c r="U31" i="33" s="1"/>
  <c r="CV462" i="16"/>
  <c r="U65" i="20" s="1"/>
  <c r="Q32" i="17"/>
  <c r="Q23" i="20"/>
  <c r="Q24" i="21"/>
  <c r="Q24" i="23"/>
  <c r="S16" i="27"/>
  <c r="K34" i="25"/>
  <c r="K26" i="18"/>
  <c r="K76" i="18" s="1"/>
  <c r="K78" i="18" s="1"/>
  <c r="K26" i="21"/>
  <c r="L15" i="13"/>
  <c r="K6" i="25"/>
  <c r="L14" i="13"/>
  <c r="U10" i="25"/>
  <c r="V55" i="13"/>
  <c r="U40" i="18"/>
  <c r="V37" i="13"/>
  <c r="V38" i="13"/>
  <c r="T20" i="20"/>
  <c r="BX462" i="16"/>
  <c r="U50" i="20" s="1"/>
  <c r="R20" i="21"/>
  <c r="R21" i="20"/>
  <c r="R21" i="33" s="1"/>
  <c r="R20" i="23"/>
  <c r="T36" i="25"/>
  <c r="T54" i="18"/>
  <c r="BN419" i="16"/>
  <c r="CJ419" i="16"/>
  <c r="BR419" i="16"/>
  <c r="R10" i="28"/>
  <c r="R10" i="29"/>
  <c r="U60" i="17"/>
  <c r="L35" i="10"/>
  <c r="L35" i="33" s="1"/>
  <c r="L53" i="26"/>
  <c r="L53" i="28" s="1"/>
  <c r="L37" i="23"/>
  <c r="S9" i="28"/>
  <c r="S9" i="29"/>
  <c r="V45" i="13"/>
  <c r="U21" i="13"/>
  <c r="U20" i="18"/>
  <c r="V30" i="13"/>
  <c r="V17" i="13"/>
  <c r="CV199" i="16"/>
  <c r="BU199" i="16"/>
  <c r="M67" i="18"/>
  <c r="M69" i="13"/>
  <c r="M67" i="21"/>
  <c r="DD461" i="16"/>
  <c r="T14" i="20"/>
  <c r="O66" i="17"/>
  <c r="O67" i="17"/>
  <c r="CV309" i="16"/>
  <c r="BU309" i="16"/>
  <c r="CI308" i="16"/>
  <c r="BS308" i="16"/>
  <c r="CT309" i="16" s="1"/>
  <c r="BM308" i="16"/>
  <c r="T46" i="28"/>
  <c r="T46" i="29"/>
  <c r="BQ23" i="16"/>
  <c r="BD462" i="16"/>
  <c r="U38" i="20" s="1"/>
  <c r="U38" i="33" s="1"/>
  <c r="CN23" i="16"/>
  <c r="CN463" i="16" s="1"/>
  <c r="V56" i="20" s="1"/>
  <c r="AU462" i="16"/>
  <c r="U5" i="20" s="1"/>
  <c r="U5" i="33" s="1"/>
  <c r="CD23" i="16"/>
  <c r="CD463" i="16" s="1"/>
  <c r="V9" i="20" s="1"/>
  <c r="BN23" i="16"/>
  <c r="Q28" i="17"/>
  <c r="S19" i="17"/>
  <c r="BV309" i="16"/>
  <c r="CK309" i="16"/>
  <c r="BO309" i="16"/>
  <c r="S3" i="20"/>
  <c r="S3" i="33" s="1"/>
  <c r="DC460" i="16"/>
  <c r="BQ461" i="16"/>
  <c r="T43" i="20" s="1"/>
  <c r="T43" i="33" s="1"/>
  <c r="BS155" i="16"/>
  <c r="CI155" i="16"/>
  <c r="BM155" i="16"/>
  <c r="S32" i="27"/>
  <c r="S39" i="25"/>
  <c r="M70" i="18"/>
  <c r="M70" i="21"/>
  <c r="DB461" i="16"/>
  <c r="T4" i="20"/>
  <c r="T4" i="33" s="1"/>
  <c r="M60" i="26"/>
  <c r="M60" i="28" s="1"/>
  <c r="M61" i="23"/>
  <c r="N64" i="10"/>
  <c r="N64" i="33" s="1"/>
  <c r="M52" i="10"/>
  <c r="M52" i="33" s="1"/>
  <c r="M49" i="23"/>
  <c r="T24" i="18"/>
  <c r="T32" i="25"/>
  <c r="M71" i="18"/>
  <c r="M71" i="21"/>
  <c r="V50" i="27"/>
  <c r="U48" i="25"/>
  <c r="U58" i="21"/>
  <c r="U58" i="23"/>
  <c r="U57" i="17"/>
  <c r="U57" i="28" s="1"/>
  <c r="U28" i="21"/>
  <c r="U28" i="23"/>
  <c r="U50" i="17"/>
  <c r="U52" i="17"/>
  <c r="CI220" i="16"/>
  <c r="BS220" i="16"/>
  <c r="CT221" i="16" s="1"/>
  <c r="BM220" i="16"/>
  <c r="N66" i="10"/>
  <c r="M51" i="23"/>
  <c r="M52" i="18"/>
  <c r="N67" i="13"/>
  <c r="M52" i="21"/>
  <c r="P34" i="17"/>
  <c r="P6" i="17"/>
  <c r="T57" i="27"/>
  <c r="T57" i="29"/>
  <c r="T34" i="23"/>
  <c r="T34" i="21"/>
  <c r="CK462" i="16"/>
  <c r="U32" i="20" s="1"/>
  <c r="CU199" i="16"/>
  <c r="BT199" i="16"/>
  <c r="AN23" i="16"/>
  <c r="BH23" i="16" s="1"/>
  <c r="BH463" i="16" s="1"/>
  <c r="AA23" i="16"/>
  <c r="AU23" i="16" s="1"/>
  <c r="AU463" i="16" s="1"/>
  <c r="V5" i="20" s="1"/>
  <c r="AJ23" i="16"/>
  <c r="BD23" i="16" s="1"/>
  <c r="BD463" i="16" s="1"/>
  <c r="V38" i="20" s="1"/>
  <c r="Z23" i="16"/>
  <c r="AT23" i="16" s="1"/>
  <c r="Y23" i="16"/>
  <c r="AS23" i="16" s="1"/>
  <c r="AF23" i="16"/>
  <c r="AZ23" i="16" s="1"/>
  <c r="AZ463" i="16" s="1"/>
  <c r="V15" i="20" s="1"/>
  <c r="AL23" i="16"/>
  <c r="BF23" i="16" s="1"/>
  <c r="BF463" i="16" s="1"/>
  <c r="V40" i="20" s="1"/>
  <c r="AC23" i="16"/>
  <c r="AW23" i="16" s="1"/>
  <c r="AW463" i="16" s="1"/>
  <c r="V12" i="20" s="1"/>
  <c r="V12" i="33" s="1"/>
  <c r="AH23" i="16"/>
  <c r="BB23" i="16" s="1"/>
  <c r="BB463" i="16" s="1"/>
  <c r="AI23" i="16"/>
  <c r="BC23" i="16" s="1"/>
  <c r="AE23" i="16"/>
  <c r="AY23" i="16" s="1"/>
  <c r="AM23" i="16"/>
  <c r="BG23" i="16" s="1"/>
  <c r="BG463" i="16" s="1"/>
  <c r="V41" i="20" s="1"/>
  <c r="AK23" i="16"/>
  <c r="BE23" i="16" s="1"/>
  <c r="AG23" i="16"/>
  <c r="BA23" i="16" s="1"/>
  <c r="BA463" i="16" s="1"/>
  <c r="AB23" i="16"/>
  <c r="AV23" i="16" s="1"/>
  <c r="AD23" i="16"/>
  <c r="AX23" i="16" s="1"/>
  <c r="AX463" i="16" s="1"/>
  <c r="V13" i="20" s="1"/>
  <c r="AS22" i="16"/>
  <c r="AO23" i="16"/>
  <c r="BI23" i="16" s="1"/>
  <c r="BI463" i="16" s="1"/>
  <c r="BG462" i="16"/>
  <c r="U41" i="20" s="1"/>
  <c r="CQ23" i="16"/>
  <c r="CQ463" i="16" s="1"/>
  <c r="V59" i="20" s="1"/>
  <c r="BW23" i="16"/>
  <c r="CO23" i="16"/>
  <c r="CO463" i="16" s="1"/>
  <c r="V57" i="20" s="1"/>
  <c r="DE22" i="16"/>
  <c r="BE462" i="16"/>
  <c r="BT23" i="16"/>
  <c r="T8" i="23"/>
  <c r="T8" i="21"/>
  <c r="T30" i="17"/>
  <c r="CI419" i="16"/>
  <c r="BM419" i="16"/>
  <c r="BS419" i="16"/>
  <c r="CV221" i="16"/>
  <c r="BU221" i="16"/>
  <c r="S30" i="28"/>
  <c r="S30" i="29"/>
  <c r="T20" i="17"/>
  <c r="R35" i="20"/>
  <c r="R53" i="17"/>
  <c r="S36" i="27"/>
  <c r="L37" i="26"/>
  <c r="L37" i="28" s="1"/>
  <c r="L53" i="10"/>
  <c r="L53" i="33" s="1"/>
  <c r="L55" i="23"/>
  <c r="S23" i="17"/>
  <c r="M35" i="18"/>
  <c r="M34" i="13"/>
  <c r="M35" i="21"/>
  <c r="L23" i="29"/>
  <c r="L23" i="27"/>
  <c r="L25" i="25"/>
  <c r="CS23" i="16"/>
  <c r="CS463" i="16" s="1"/>
  <c r="V62" i="20" s="1"/>
  <c r="BR462" i="16"/>
  <c r="U44" i="20" s="1"/>
  <c r="U44" i="33" s="1"/>
  <c r="T24" i="17"/>
  <c r="U58" i="17"/>
  <c r="U59" i="21"/>
  <c r="U59" i="23"/>
  <c r="T10" i="23"/>
  <c r="T10" i="20"/>
  <c r="T10" i="33" s="1"/>
  <c r="T10" i="21"/>
  <c r="T44" i="17"/>
  <c r="K40" i="25"/>
  <c r="K33" i="27"/>
  <c r="K33" i="29"/>
  <c r="U57" i="25"/>
  <c r="U58" i="18"/>
  <c r="BR243" i="16"/>
  <c r="CJ243" i="16"/>
  <c r="BN243" i="16"/>
  <c r="BT462" i="16"/>
  <c r="U46" i="20" s="1"/>
  <c r="CU23" i="16"/>
  <c r="CT21" i="16"/>
  <c r="CT461" i="16" s="1"/>
  <c r="T63" i="20" s="1"/>
  <c r="T63" i="33" s="1"/>
  <c r="BS460" i="16"/>
  <c r="S45" i="20" s="1"/>
  <c r="S45" i="33" s="1"/>
  <c r="S11" i="27"/>
  <c r="Q11" i="17"/>
  <c r="Q8" i="28"/>
  <c r="Q8" i="29"/>
  <c r="T52" i="20"/>
  <c r="J66" i="27"/>
  <c r="J66" i="29"/>
  <c r="T14" i="17"/>
  <c r="T16" i="23"/>
  <c r="T16" i="21"/>
  <c r="S14" i="28"/>
  <c r="S14" i="29"/>
  <c r="S37" i="17"/>
  <c r="R26" i="17"/>
  <c r="R21" i="17"/>
  <c r="U58" i="25"/>
  <c r="U59" i="18"/>
  <c r="BV397" i="16"/>
  <c r="CK397" i="16"/>
  <c r="BO397" i="16"/>
  <c r="N65" i="10"/>
  <c r="M50" i="23"/>
  <c r="L25" i="26"/>
  <c r="L25" i="28" s="1"/>
  <c r="L23" i="28"/>
  <c r="J28" i="29"/>
  <c r="J28" i="27"/>
  <c r="R48" i="23"/>
  <c r="R48" i="21"/>
  <c r="R51" i="20"/>
  <c r="R51" i="33" s="1"/>
  <c r="T58" i="27"/>
  <c r="T58" i="29"/>
  <c r="L61" i="27"/>
  <c r="L61" i="29"/>
  <c r="M61" i="26"/>
  <c r="M61" i="28" s="1"/>
  <c r="M62" i="23"/>
  <c r="AW462" i="16"/>
  <c r="U12" i="20" s="1"/>
  <c r="U12" i="33" s="1"/>
  <c r="CE23" i="16"/>
  <c r="CE463" i="16" s="1"/>
  <c r="V25" i="20" s="1"/>
  <c r="V25" i="33" s="1"/>
  <c r="CC23" i="16"/>
  <c r="CC463" i="16" s="1"/>
  <c r="V8" i="20" s="1"/>
  <c r="AT462" i="16"/>
  <c r="DB22" i="16"/>
  <c r="DD22" i="16"/>
  <c r="CG23" i="16"/>
  <c r="CG463" i="16" s="1"/>
  <c r="V27" i="20" s="1"/>
  <c r="AY462" i="16"/>
  <c r="BO23" i="16"/>
  <c r="DJ461" i="16"/>
  <c r="DK461" i="16"/>
  <c r="M36" i="18"/>
  <c r="M36" i="21"/>
  <c r="T47" i="23"/>
  <c r="T47" i="21"/>
  <c r="L52" i="27"/>
  <c r="L52" i="29"/>
  <c r="N68" i="10"/>
  <c r="M53" i="23"/>
  <c r="N58" i="13"/>
  <c r="M43" i="18"/>
  <c r="N47" i="13"/>
  <c r="M43" i="21"/>
  <c r="V9" i="27"/>
  <c r="U61" i="17"/>
  <c r="T51" i="28"/>
  <c r="T51" i="29"/>
  <c r="CI397" i="16"/>
  <c r="BS397" i="16"/>
  <c r="BM397" i="16"/>
  <c r="K34" i="26"/>
  <c r="K34" i="28" s="1"/>
  <c r="K26" i="23"/>
  <c r="K6" i="26"/>
  <c r="K6" i="28" s="1"/>
  <c r="L15" i="10"/>
  <c r="L15" i="33" s="1"/>
  <c r="L14" i="10"/>
  <c r="L14" i="33" s="1"/>
  <c r="K28" i="25"/>
  <c r="K26" i="27"/>
  <c r="K26" i="29"/>
  <c r="K64" i="29"/>
  <c r="K64" i="27"/>
  <c r="R25" i="17"/>
  <c r="U59" i="17"/>
  <c r="K28" i="26"/>
  <c r="K28" i="28" s="1"/>
  <c r="K26" i="28"/>
  <c r="U45" i="17"/>
  <c r="U11" i="23"/>
  <c r="U11" i="21"/>
  <c r="T15" i="27"/>
  <c r="T16" i="25"/>
  <c r="R63" i="17"/>
  <c r="N47" i="10"/>
  <c r="N47" i="33" s="1"/>
  <c r="N58" i="10"/>
  <c r="N58" i="33" s="1"/>
  <c r="M43" i="23"/>
  <c r="Q48" i="28"/>
  <c r="Q48" i="29"/>
  <c r="S7" i="21"/>
  <c r="S7" i="23"/>
  <c r="S13" i="17"/>
  <c r="S44" i="28"/>
  <c r="S44" i="29"/>
  <c r="DF461" i="16"/>
  <c r="T37" i="20"/>
  <c r="T37" i="33" s="1"/>
  <c r="DG461" i="16"/>
  <c r="M34" i="10"/>
  <c r="M34" i="33" s="1"/>
  <c r="M35" i="23"/>
  <c r="CW23" i="16"/>
  <c r="BV462" i="16"/>
  <c r="U48" i="20" s="1"/>
  <c r="CH23" i="16"/>
  <c r="CH463" i="16" s="1"/>
  <c r="V28" i="20" s="1"/>
  <c r="BP23" i="16"/>
  <c r="BP463" i="16" s="1"/>
  <c r="V20" i="20" s="1"/>
  <c r="AZ462" i="16"/>
  <c r="U15" i="20" s="1"/>
  <c r="CP23" i="16"/>
  <c r="CP463" i="16" s="1"/>
  <c r="V58" i="20" s="1"/>
  <c r="BU23" i="16"/>
  <c r="BF462" i="16"/>
  <c r="U40" i="20" s="1"/>
  <c r="AS461" i="16"/>
  <c r="CB22" i="16"/>
  <c r="CB462" i="16" s="1"/>
  <c r="U7" i="20" s="1"/>
  <c r="U7" i="33" s="1"/>
  <c r="DC21" i="16"/>
  <c r="CJ23" i="16"/>
  <c r="BR23" i="16"/>
  <c r="BN462" i="16"/>
  <c r="U18" i="20" s="1"/>
  <c r="U18" i="33" s="1"/>
  <c r="N68" i="13"/>
  <c r="M53" i="18"/>
  <c r="M53" i="21"/>
  <c r="N65" i="13"/>
  <c r="M50" i="18"/>
  <c r="M50" i="21"/>
  <c r="CL23" i="16"/>
  <c r="CL463" i="16" s="1"/>
  <c r="V33" i="20" s="1"/>
  <c r="BX23" i="16"/>
  <c r="BP462" i="16"/>
  <c r="BS331" i="16"/>
  <c r="CI331" i="16"/>
  <c r="BM331" i="16"/>
  <c r="M69" i="10"/>
  <c r="M69" i="33" s="1"/>
  <c r="M67" i="23"/>
  <c r="M51" i="18"/>
  <c r="N66" i="13"/>
  <c r="M51" i="21"/>
  <c r="M60" i="18"/>
  <c r="M59" i="25"/>
  <c r="M60" i="21"/>
  <c r="T21" i="21"/>
  <c r="T21" i="23"/>
  <c r="T15" i="17"/>
  <c r="T15" i="28" s="1"/>
  <c r="T41" i="23"/>
  <c r="T41" i="21"/>
  <c r="R39" i="27"/>
  <c r="K40" i="26"/>
  <c r="K33" i="28"/>
  <c r="T10" i="27"/>
  <c r="T11" i="25"/>
  <c r="K54" i="27"/>
  <c r="K54" i="29"/>
  <c r="K65" i="25"/>
  <c r="K55" i="25"/>
  <c r="S33" i="21"/>
  <c r="S33" i="23"/>
  <c r="S34" i="20"/>
  <c r="V47" i="25"/>
  <c r="T45" i="28"/>
  <c r="T45" i="29"/>
  <c r="K65" i="26"/>
  <c r="K54" i="28"/>
  <c r="K55" i="26"/>
  <c r="K55" i="28" s="1"/>
  <c r="CJ375" i="16"/>
  <c r="BR375" i="16"/>
  <c r="BN375" i="16"/>
  <c r="M59" i="26"/>
  <c r="M59" i="28" s="1"/>
  <c r="M60" i="23"/>
  <c r="U48" i="18"/>
  <c r="V63" i="13"/>
  <c r="K25" i="27"/>
  <c r="K25" i="29"/>
  <c r="L37" i="25"/>
  <c r="L55" i="18"/>
  <c r="L53" i="13"/>
  <c r="L55" i="21"/>
  <c r="S10" i="17"/>
  <c r="S40" i="21"/>
  <c r="S40" i="23"/>
  <c r="S47" i="17"/>
  <c r="S13" i="21"/>
  <c r="S13" i="23"/>
  <c r="CV155" i="16"/>
  <c r="BU155" i="16"/>
  <c r="T9" i="17"/>
  <c r="T15" i="23"/>
  <c r="T15" i="21"/>
  <c r="DH21" i="16"/>
  <c r="K27" i="27"/>
  <c r="K27" i="29"/>
  <c r="O39" i="28"/>
  <c r="O41" i="17"/>
  <c r="O39" i="29"/>
  <c r="S66" i="21"/>
  <c r="S66" i="23"/>
  <c r="L37" i="18"/>
  <c r="L35" i="13"/>
  <c r="L53" i="25"/>
  <c r="L37" i="21"/>
  <c r="L24" i="27"/>
  <c r="L24" i="29"/>
  <c r="P32" i="28"/>
  <c r="P39" i="17"/>
  <c r="P32" i="29"/>
  <c r="S27" i="17"/>
  <c r="N67" i="10"/>
  <c r="M52" i="23"/>
  <c r="CJ199" i="16"/>
  <c r="BR199" i="16"/>
  <c r="BN199" i="16"/>
  <c r="AV462" i="16"/>
  <c r="DJ22" i="16"/>
  <c r="DK22" i="16"/>
  <c r="CM23" i="16"/>
  <c r="CM463" i="16" s="1"/>
  <c r="V55" i="20" s="1"/>
  <c r="V55" i="33" s="1"/>
  <c r="DG22" i="16"/>
  <c r="BC462" i="16"/>
  <c r="DF22" i="16"/>
  <c r="U46" i="17"/>
  <c r="U12" i="21"/>
  <c r="U12" i="23"/>
  <c r="U65" i="23"/>
  <c r="U65" i="21"/>
  <c r="Q54" i="17"/>
  <c r="CK221" i="16"/>
  <c r="BV221" i="16"/>
  <c r="BO221" i="16"/>
  <c r="DI460" i="16"/>
  <c r="L33" i="25"/>
  <c r="L25" i="18"/>
  <c r="L23" i="13"/>
  <c r="L25" i="21"/>
  <c r="M49" i="18"/>
  <c r="M52" i="13"/>
  <c r="N64" i="13"/>
  <c r="M49" i="21"/>
  <c r="CV397" i="16"/>
  <c r="BU397" i="16"/>
  <c r="CX23" i="16"/>
  <c r="BW462" i="16"/>
  <c r="U49" i="20" s="1"/>
  <c r="CR23" i="16"/>
  <c r="Q64" i="17"/>
  <c r="U15" i="25"/>
  <c r="U41" i="18"/>
  <c r="V56" i="13"/>
  <c r="V43" i="13"/>
  <c r="K21" i="29"/>
  <c r="K21" i="27"/>
  <c r="R47" i="28"/>
  <c r="R48" i="17"/>
  <c r="R47" i="29"/>
  <c r="R6" i="23"/>
  <c r="R6" i="21"/>
  <c r="R8" i="17"/>
  <c r="DE461" i="16"/>
  <c r="DI461" i="16" s="1"/>
  <c r="T39" i="20"/>
  <c r="CI21" i="16"/>
  <c r="CI461" i="16" s="1"/>
  <c r="T30" i="20" s="1"/>
  <c r="T30" i="33" s="1"/>
  <c r="BS21" i="16"/>
  <c r="BM460" i="16"/>
  <c r="S17" i="20" s="1"/>
  <c r="S17" i="33" s="1"/>
  <c r="BM21" i="16"/>
  <c r="U64" i="18"/>
  <c r="T50" i="28"/>
  <c r="T50" i="29"/>
  <c r="J67" i="29"/>
  <c r="J67" i="27"/>
  <c r="V44" i="27"/>
  <c r="BU462" i="16"/>
  <c r="U47" i="20" s="1"/>
  <c r="CV23" i="16"/>
  <c r="U29" i="23"/>
  <c r="U51" i="17"/>
  <c r="U29" i="21"/>
  <c r="M69" i="18"/>
  <c r="M69" i="21"/>
  <c r="V61" i="13"/>
  <c r="U46" i="18"/>
  <c r="U51" i="13"/>
  <c r="S69" i="20"/>
  <c r="R40" i="17"/>
  <c r="DH45" i="16" l="1"/>
  <c r="L63" i="28"/>
  <c r="DI45" i="16"/>
  <c r="T39" i="26"/>
  <c r="U58" i="28"/>
  <c r="T48" i="26"/>
  <c r="T48" i="27" s="1"/>
  <c r="CW463" i="16"/>
  <c r="V66" i="20" s="1"/>
  <c r="U16" i="26"/>
  <c r="U13" i="27"/>
  <c r="V51" i="10"/>
  <c r="U47" i="26"/>
  <c r="U48" i="26" s="1"/>
  <c r="U48" i="27" s="1"/>
  <c r="U10" i="31"/>
  <c r="U13" i="18"/>
  <c r="U30" i="27"/>
  <c r="U38" i="32"/>
  <c r="V30" i="26"/>
  <c r="V30" i="27" s="1"/>
  <c r="V5" i="33"/>
  <c r="V5" i="31"/>
  <c r="V8" i="18"/>
  <c r="V51" i="26"/>
  <c r="V51" i="27" s="1"/>
  <c r="V26" i="33"/>
  <c r="V29" i="18"/>
  <c r="V26" i="31"/>
  <c r="V15" i="26"/>
  <c r="V38" i="33"/>
  <c r="N71" i="23"/>
  <c r="N68" i="33"/>
  <c r="N68" i="23"/>
  <c r="N65" i="33"/>
  <c r="U43" i="32"/>
  <c r="V14" i="26"/>
  <c r="V14" i="27" s="1"/>
  <c r="V13" i="33"/>
  <c r="V16" i="18"/>
  <c r="V13" i="31"/>
  <c r="V13" i="26"/>
  <c r="V4" i="31"/>
  <c r="V7" i="18"/>
  <c r="V34" i="18"/>
  <c r="V31" i="31"/>
  <c r="V62" i="33"/>
  <c r="V62" i="31"/>
  <c r="V65" i="18"/>
  <c r="V18" i="31"/>
  <c r="V21" i="18"/>
  <c r="U36" i="26"/>
  <c r="V21" i="10"/>
  <c r="V45" i="26"/>
  <c r="V45" i="27" s="1"/>
  <c r="V8" i="33"/>
  <c r="V10" i="10"/>
  <c r="V8" i="31"/>
  <c r="V11" i="18"/>
  <c r="V44" i="31"/>
  <c r="V47" i="18"/>
  <c r="U32" i="26"/>
  <c r="CX463" i="16"/>
  <c r="V67" i="20" s="1"/>
  <c r="N70" i="23"/>
  <c r="N67" i="33"/>
  <c r="N69" i="23"/>
  <c r="N66" i="33"/>
  <c r="V58" i="26"/>
  <c r="V56" i="33"/>
  <c r="V46" i="26"/>
  <c r="V46" i="27" s="1"/>
  <c r="V9" i="33"/>
  <c r="V12" i="18"/>
  <c r="V9" i="31"/>
  <c r="U61" i="32"/>
  <c r="S17" i="32"/>
  <c r="T37" i="32"/>
  <c r="V8" i="32"/>
  <c r="T63" i="32"/>
  <c r="U44" i="32"/>
  <c r="V5" i="32"/>
  <c r="N67" i="32"/>
  <c r="U13" i="32"/>
  <c r="N47" i="32"/>
  <c r="V25" i="32"/>
  <c r="R51" i="32"/>
  <c r="V62" i="32"/>
  <c r="S3" i="32"/>
  <c r="V55" i="32"/>
  <c r="L15" i="32"/>
  <c r="V26" i="32"/>
  <c r="T30" i="32"/>
  <c r="N64" i="32"/>
  <c r="L23" i="32"/>
  <c r="L53" i="32"/>
  <c r="N66" i="32"/>
  <c r="N65" i="32"/>
  <c r="N68" i="32"/>
  <c r="U12" i="32"/>
  <c r="T10" i="32"/>
  <c r="M34" i="32"/>
  <c r="V13" i="32"/>
  <c r="V12" i="32"/>
  <c r="T4" i="32"/>
  <c r="V9" i="32"/>
  <c r="R21" i="32"/>
  <c r="V38" i="32"/>
  <c r="V56" i="32"/>
  <c r="M52" i="32"/>
  <c r="L35" i="32"/>
  <c r="U18" i="32"/>
  <c r="U7" i="32"/>
  <c r="N58" i="32"/>
  <c r="S45" i="32"/>
  <c r="T43" i="32"/>
  <c r="U5" i="32"/>
  <c r="M69" i="32"/>
  <c r="L14" i="32"/>
  <c r="U31" i="32"/>
  <c r="U51" i="31"/>
  <c r="V56" i="31"/>
  <c r="N65" i="31"/>
  <c r="M34" i="31"/>
  <c r="V66" i="18"/>
  <c r="V63" i="31"/>
  <c r="M69" i="31"/>
  <c r="L14" i="31"/>
  <c r="V61" i="31"/>
  <c r="N67" i="31"/>
  <c r="V30" i="31"/>
  <c r="N64" i="31"/>
  <c r="L23" i="31"/>
  <c r="L53" i="31"/>
  <c r="N66" i="31"/>
  <c r="N68" i="31"/>
  <c r="U21" i="31"/>
  <c r="V38" i="31"/>
  <c r="M52" i="31"/>
  <c r="L35" i="31"/>
  <c r="N58" i="31"/>
  <c r="V17" i="31"/>
  <c r="V48" i="18"/>
  <c r="V45" i="31"/>
  <c r="V37" i="31"/>
  <c r="V43" i="31"/>
  <c r="N47" i="31"/>
  <c r="DH22" i="16"/>
  <c r="CU463" i="16"/>
  <c r="V64" i="20" s="1"/>
  <c r="BT463" i="16"/>
  <c r="V46" i="20" s="1"/>
  <c r="BW463" i="16"/>
  <c r="V49" i="20" s="1"/>
  <c r="V55" i="31"/>
  <c r="L15" i="31"/>
  <c r="U51" i="28"/>
  <c r="U51" i="29"/>
  <c r="R48" i="28"/>
  <c r="R48" i="29"/>
  <c r="Q55" i="17"/>
  <c r="Q65" i="17"/>
  <c r="P39" i="28"/>
  <c r="P41" i="17"/>
  <c r="P39" i="29"/>
  <c r="L38" i="25"/>
  <c r="L56" i="18"/>
  <c r="L56" i="21"/>
  <c r="M41" i="13"/>
  <c r="M39" i="13"/>
  <c r="M59" i="27"/>
  <c r="M59" i="29"/>
  <c r="U10" i="23"/>
  <c r="U44" i="17"/>
  <c r="U10" i="21"/>
  <c r="U10" i="20"/>
  <c r="U10" i="33" s="1"/>
  <c r="L19" i="26"/>
  <c r="M15" i="10"/>
  <c r="M15" i="33" s="1"/>
  <c r="M19" i="10"/>
  <c r="M19" i="33" s="1"/>
  <c r="M27" i="10"/>
  <c r="M27" i="33" s="1"/>
  <c r="L6" i="26"/>
  <c r="L6" i="28" s="1"/>
  <c r="M14" i="10"/>
  <c r="M14" i="33" s="1"/>
  <c r="L17" i="23"/>
  <c r="V11" i="21"/>
  <c r="V45" i="17"/>
  <c r="V11" i="23"/>
  <c r="T37" i="17"/>
  <c r="M53" i="25"/>
  <c r="M37" i="18"/>
  <c r="M37" i="21"/>
  <c r="U24" i="17"/>
  <c r="DD23" i="16"/>
  <c r="AY463" i="16"/>
  <c r="V41" i="23"/>
  <c r="V41" i="21"/>
  <c r="V15" i="17"/>
  <c r="U30" i="17"/>
  <c r="U8" i="21"/>
  <c r="U8" i="23"/>
  <c r="V33" i="18"/>
  <c r="L17" i="18"/>
  <c r="M27" i="13"/>
  <c r="L19" i="25"/>
  <c r="M19" i="13"/>
  <c r="M15" i="13"/>
  <c r="M14" i="13"/>
  <c r="L6" i="25"/>
  <c r="L17" i="21"/>
  <c r="BS22" i="16"/>
  <c r="BM461" i="16"/>
  <c r="T17" i="20" s="1"/>
  <c r="T17" i="33" s="1"/>
  <c r="CI22" i="16"/>
  <c r="CI462" i="16" s="1"/>
  <c r="U30" i="20" s="1"/>
  <c r="U30" i="33" s="1"/>
  <c r="BM22" i="16"/>
  <c r="T23" i="17"/>
  <c r="U15" i="27"/>
  <c r="U16" i="25"/>
  <c r="U37" i="20"/>
  <c r="U37" i="33" s="1"/>
  <c r="DG462" i="16"/>
  <c r="DF462" i="16"/>
  <c r="K65" i="27"/>
  <c r="K65" i="29"/>
  <c r="K66" i="25"/>
  <c r="K67" i="25"/>
  <c r="K41" i="26"/>
  <c r="K41" i="28" s="1"/>
  <c r="K40" i="28"/>
  <c r="M62" i="26"/>
  <c r="M62" i="28" s="1"/>
  <c r="M70" i="10"/>
  <c r="M70" i="33" s="1"/>
  <c r="M72" i="23"/>
  <c r="DC461" i="16"/>
  <c r="T3" i="20"/>
  <c r="T3" i="33" s="1"/>
  <c r="U20" i="17"/>
  <c r="T40" i="23"/>
  <c r="T40" i="21"/>
  <c r="T10" i="17"/>
  <c r="V28" i="23"/>
  <c r="V28" i="21"/>
  <c r="V50" i="17"/>
  <c r="R36" i="17"/>
  <c r="R53" i="20"/>
  <c r="R54" i="23"/>
  <c r="R54" i="21"/>
  <c r="R28" i="17"/>
  <c r="U52" i="20"/>
  <c r="V59" i="17"/>
  <c r="V20" i="17"/>
  <c r="BS221" i="16"/>
  <c r="CI221" i="16"/>
  <c r="BM221" i="16"/>
  <c r="V59" i="23"/>
  <c r="V59" i="21"/>
  <c r="V58" i="17"/>
  <c r="DH461" i="16"/>
  <c r="K6" i="27"/>
  <c r="K6" i="29"/>
  <c r="CV463" i="16"/>
  <c r="V65" i="20" s="1"/>
  <c r="S21" i="20"/>
  <c r="S21" i="33" s="1"/>
  <c r="S20" i="21"/>
  <c r="S20" i="23"/>
  <c r="V46" i="18"/>
  <c r="V51" i="13"/>
  <c r="DJ462" i="16"/>
  <c r="DK462" i="16"/>
  <c r="L54" i="25"/>
  <c r="L38" i="18"/>
  <c r="L38" i="21"/>
  <c r="S10" i="28"/>
  <c r="S10" i="29"/>
  <c r="L37" i="27"/>
  <c r="L37" i="29"/>
  <c r="K65" i="28"/>
  <c r="K66" i="26"/>
  <c r="K66" i="28" s="1"/>
  <c r="K67" i="26"/>
  <c r="K67" i="28" s="1"/>
  <c r="V48" i="25"/>
  <c r="N69" i="18"/>
  <c r="N69" i="21"/>
  <c r="N68" i="18"/>
  <c r="N68" i="21"/>
  <c r="CJ463" i="16"/>
  <c r="V31" i="20" s="1"/>
  <c r="V31" i="33" s="1"/>
  <c r="N60" i="26"/>
  <c r="N60" i="28" s="1"/>
  <c r="N61" i="23"/>
  <c r="BO463" i="16"/>
  <c r="V19" i="20" s="1"/>
  <c r="U9" i="17"/>
  <c r="U15" i="23"/>
  <c r="U15" i="21"/>
  <c r="S48" i="23"/>
  <c r="S48" i="21"/>
  <c r="S51" i="20"/>
  <c r="S51" i="33" s="1"/>
  <c r="U57" i="29"/>
  <c r="U57" i="27"/>
  <c r="T13" i="21"/>
  <c r="T13" i="23"/>
  <c r="T47" i="17"/>
  <c r="U47" i="23"/>
  <c r="U47" i="21"/>
  <c r="L25" i="29"/>
  <c r="L25" i="27"/>
  <c r="R54" i="17"/>
  <c r="T27" i="17"/>
  <c r="CB23" i="16"/>
  <c r="CB463" i="16" s="1"/>
  <c r="V7" i="20" s="1"/>
  <c r="V7" i="33" s="1"/>
  <c r="DC22" i="16"/>
  <c r="AS462" i="16"/>
  <c r="BE463" i="16"/>
  <c r="DE23" i="16"/>
  <c r="DC23" i="16"/>
  <c r="AS463" i="16"/>
  <c r="T32" i="27"/>
  <c r="T39" i="25"/>
  <c r="M37" i="26"/>
  <c r="M37" i="28" s="1"/>
  <c r="M53" i="10"/>
  <c r="M53" i="33" s="1"/>
  <c r="M55" i="23"/>
  <c r="T7" i="23"/>
  <c r="T7" i="21"/>
  <c r="T13" i="17"/>
  <c r="S21" i="17"/>
  <c r="S26" i="17"/>
  <c r="BN463" i="16"/>
  <c r="V18" i="20" s="1"/>
  <c r="V18" i="33" s="1"/>
  <c r="U41" i="23"/>
  <c r="U41" i="21"/>
  <c r="U15" i="17"/>
  <c r="U15" i="28" s="1"/>
  <c r="BS309" i="16"/>
  <c r="CI309" i="16"/>
  <c r="BM309" i="16"/>
  <c r="U32" i="25"/>
  <c r="U24" i="18"/>
  <c r="V57" i="25"/>
  <c r="V58" i="18"/>
  <c r="M28" i="13"/>
  <c r="L20" i="25"/>
  <c r="M20" i="13"/>
  <c r="L18" i="18"/>
  <c r="L18" i="21"/>
  <c r="Q34" i="17"/>
  <c r="Q6" i="17"/>
  <c r="U34" i="21"/>
  <c r="U34" i="23"/>
  <c r="Q36" i="28"/>
  <c r="Q36" i="29"/>
  <c r="P66" i="17"/>
  <c r="P67" i="17"/>
  <c r="U16" i="23"/>
  <c r="U14" i="17"/>
  <c r="U16" i="21"/>
  <c r="CR199" i="16"/>
  <c r="CR463" i="16" s="1"/>
  <c r="V61" i="20" s="1"/>
  <c r="V61" i="33" s="1"/>
  <c r="BQ199" i="16"/>
  <c r="BQ463" i="16" s="1"/>
  <c r="V43" i="20" s="1"/>
  <c r="V43" i="33" s="1"/>
  <c r="M61" i="27"/>
  <c r="M61" i="29"/>
  <c r="L34" i="26"/>
  <c r="L34" i="28" s="1"/>
  <c r="L26" i="23"/>
  <c r="CK463" i="16"/>
  <c r="V32" i="20" s="1"/>
  <c r="L63" i="29"/>
  <c r="L63" i="27"/>
  <c r="L64" i="25"/>
  <c r="S62" i="17"/>
  <c r="S70" i="20"/>
  <c r="T33" i="21"/>
  <c r="T34" i="20"/>
  <c r="T33" i="23"/>
  <c r="R11" i="17"/>
  <c r="R8" i="28"/>
  <c r="R8" i="29"/>
  <c r="M55" i="18"/>
  <c r="M37" i="25"/>
  <c r="M53" i="13"/>
  <c r="M55" i="21"/>
  <c r="T9" i="28"/>
  <c r="T9" i="29"/>
  <c r="K55" i="27"/>
  <c r="K55" i="29"/>
  <c r="U21" i="23"/>
  <c r="U21" i="21"/>
  <c r="V60" i="17"/>
  <c r="O65" i="10"/>
  <c r="N50" i="23"/>
  <c r="T16" i="27"/>
  <c r="V52" i="17"/>
  <c r="T44" i="28"/>
  <c r="T44" i="29"/>
  <c r="DI22" i="16"/>
  <c r="AV463" i="16"/>
  <c r="DJ23" i="16"/>
  <c r="DK23" i="16"/>
  <c r="N70" i="18"/>
  <c r="N70" i="21"/>
  <c r="S39" i="27"/>
  <c r="T19" i="17"/>
  <c r="L54" i="26"/>
  <c r="L38" i="23"/>
  <c r="V10" i="25"/>
  <c r="V40" i="18"/>
  <c r="R16" i="28"/>
  <c r="R16" i="29"/>
  <c r="BV463" i="16"/>
  <c r="V48" i="20" s="1"/>
  <c r="U54" i="18"/>
  <c r="U36" i="25"/>
  <c r="U46" i="23"/>
  <c r="U46" i="21"/>
  <c r="L40" i="25"/>
  <c r="L33" i="27"/>
  <c r="L33" i="29"/>
  <c r="L53" i="27"/>
  <c r="L53" i="29"/>
  <c r="S35" i="20"/>
  <c r="S53" i="17"/>
  <c r="T11" i="27"/>
  <c r="U20" i="20"/>
  <c r="BX463" i="16"/>
  <c r="V50" i="20" s="1"/>
  <c r="BR463" i="16"/>
  <c r="V44" i="20" s="1"/>
  <c r="V44" i="33" s="1"/>
  <c r="S16" i="17"/>
  <c r="S13" i="28"/>
  <c r="S13" i="29"/>
  <c r="T15" i="29"/>
  <c r="U45" i="28"/>
  <c r="U45" i="29"/>
  <c r="L20" i="26"/>
  <c r="M20" i="10"/>
  <c r="M20" i="33" s="1"/>
  <c r="M28" i="10"/>
  <c r="L18" i="23"/>
  <c r="O65" i="13"/>
  <c r="N50" i="18"/>
  <c r="N50" i="21"/>
  <c r="Q11" i="28"/>
  <c r="Q11" i="29"/>
  <c r="K40" i="27"/>
  <c r="K40" i="29"/>
  <c r="K41" i="25"/>
  <c r="DF23" i="16"/>
  <c r="DG23" i="16"/>
  <c r="BC463" i="16"/>
  <c r="V8" i="23"/>
  <c r="V30" i="17"/>
  <c r="V8" i="21"/>
  <c r="S6" i="23"/>
  <c r="S8" i="17"/>
  <c r="S6" i="21"/>
  <c r="R32" i="17"/>
  <c r="R23" i="20"/>
  <c r="R24" i="21"/>
  <c r="R24" i="23"/>
  <c r="K34" i="27"/>
  <c r="K34" i="29"/>
  <c r="U22" i="20"/>
  <c r="V64" i="18"/>
  <c r="BS461" i="16"/>
  <c r="T45" i="20" s="1"/>
  <c r="T45" i="33" s="1"/>
  <c r="CT22" i="16"/>
  <c r="CT462" i="16" s="1"/>
  <c r="U63" i="20" s="1"/>
  <c r="U63" i="33" s="1"/>
  <c r="V58" i="25"/>
  <c r="V59" i="18"/>
  <c r="N67" i="18"/>
  <c r="N67" i="21"/>
  <c r="N69" i="13"/>
  <c r="L34" i="25"/>
  <c r="L26" i="18"/>
  <c r="L26" i="21"/>
  <c r="U46" i="28"/>
  <c r="U46" i="29"/>
  <c r="V57" i="17"/>
  <c r="V57" i="28" s="1"/>
  <c r="V58" i="21"/>
  <c r="V58" i="23"/>
  <c r="S47" i="28"/>
  <c r="S48" i="17"/>
  <c r="S47" i="29"/>
  <c r="N71" i="18"/>
  <c r="N71" i="21"/>
  <c r="BU463" i="16"/>
  <c r="V47" i="20" s="1"/>
  <c r="M53" i="26"/>
  <c r="M53" i="28" s="1"/>
  <c r="M37" i="23"/>
  <c r="R64" i="17"/>
  <c r="K28" i="27"/>
  <c r="K28" i="29"/>
  <c r="N60" i="25"/>
  <c r="N61" i="18"/>
  <c r="N61" i="21"/>
  <c r="U14" i="20"/>
  <c r="DD462" i="16"/>
  <c r="DB462" i="16"/>
  <c r="U4" i="20"/>
  <c r="U4" i="33" s="1"/>
  <c r="U58" i="27"/>
  <c r="U58" i="29"/>
  <c r="T14" i="28"/>
  <c r="T14" i="29"/>
  <c r="T66" i="23"/>
  <c r="T66" i="21"/>
  <c r="U64" i="21"/>
  <c r="U64" i="23"/>
  <c r="V65" i="21"/>
  <c r="V65" i="23"/>
  <c r="S25" i="17"/>
  <c r="L38" i="26"/>
  <c r="L38" i="28" s="1"/>
  <c r="L56" i="23"/>
  <c r="M41" i="10"/>
  <c r="M41" i="33" s="1"/>
  <c r="M39" i="10"/>
  <c r="M39" i="33" s="1"/>
  <c r="T30" i="28"/>
  <c r="T30" i="29"/>
  <c r="U39" i="20"/>
  <c r="DE462" i="16"/>
  <c r="V61" i="17"/>
  <c r="V16" i="23"/>
  <c r="V14" i="17"/>
  <c r="V16" i="21"/>
  <c r="V24" i="17"/>
  <c r="V9" i="17"/>
  <c r="V15" i="23"/>
  <c r="V15" i="21"/>
  <c r="DB23" i="16"/>
  <c r="AT463" i="16"/>
  <c r="U50" i="28"/>
  <c r="U50" i="29"/>
  <c r="N69" i="10"/>
  <c r="N69" i="33" s="1"/>
  <c r="N67" i="23"/>
  <c r="T46" i="23"/>
  <c r="T46" i="21"/>
  <c r="V46" i="17"/>
  <c r="V12" i="23"/>
  <c r="V12" i="21"/>
  <c r="M72" i="18"/>
  <c r="M70" i="13"/>
  <c r="M62" i="25"/>
  <c r="M72" i="21"/>
  <c r="V21" i="13"/>
  <c r="V20" i="18"/>
  <c r="T36" i="27"/>
  <c r="V15" i="25"/>
  <c r="V41" i="18"/>
  <c r="U10" i="27"/>
  <c r="U11" i="25"/>
  <c r="Q32" i="28"/>
  <c r="Q32" i="29"/>
  <c r="Q39" i="17"/>
  <c r="Q38" i="17"/>
  <c r="M60" i="29"/>
  <c r="M60" i="27"/>
  <c r="V51" i="17"/>
  <c r="V29" i="21"/>
  <c r="V29" i="23"/>
  <c r="T22" i="20"/>
  <c r="L40" i="26"/>
  <c r="L33" i="28"/>
  <c r="T69" i="20"/>
  <c r="S40" i="17"/>
  <c r="DH462" i="16" l="1"/>
  <c r="V15" i="28"/>
  <c r="U39" i="26"/>
  <c r="V58" i="28"/>
  <c r="M35" i="10"/>
  <c r="M35" i="33" s="1"/>
  <c r="V47" i="26"/>
  <c r="V47" i="27" s="1"/>
  <c r="V10" i="31"/>
  <c r="V13" i="18"/>
  <c r="V16" i="26"/>
  <c r="V13" i="27"/>
  <c r="V36" i="26"/>
  <c r="V32" i="26"/>
  <c r="M31" i="23"/>
  <c r="M28" i="33"/>
  <c r="O68" i="23"/>
  <c r="O65" i="33"/>
  <c r="U47" i="27"/>
  <c r="M70" i="32"/>
  <c r="N69" i="32"/>
  <c r="M20" i="32"/>
  <c r="T17" i="32"/>
  <c r="M14" i="32"/>
  <c r="M27" i="32"/>
  <c r="U4" i="32"/>
  <c r="U69" i="20"/>
  <c r="U62" i="17" s="1"/>
  <c r="U63" i="32"/>
  <c r="V18" i="32"/>
  <c r="T3" i="32"/>
  <c r="M15" i="32"/>
  <c r="M39" i="32"/>
  <c r="T51" i="20"/>
  <c r="T51" i="33" s="1"/>
  <c r="T45" i="32"/>
  <c r="V44" i="32"/>
  <c r="M53" i="32"/>
  <c r="M28" i="32"/>
  <c r="V7" i="32"/>
  <c r="S51" i="32"/>
  <c r="S21" i="32"/>
  <c r="U37" i="32"/>
  <c r="M19" i="32"/>
  <c r="M41" i="32"/>
  <c r="V43" i="32"/>
  <c r="V61" i="32"/>
  <c r="O65" i="32"/>
  <c r="V31" i="32"/>
  <c r="U30" i="32"/>
  <c r="U10" i="32"/>
  <c r="M70" i="31"/>
  <c r="M20" i="31"/>
  <c r="M14" i="31"/>
  <c r="V21" i="31"/>
  <c r="M15" i="31"/>
  <c r="M39" i="31"/>
  <c r="O65" i="31"/>
  <c r="N69" i="31"/>
  <c r="M27" i="31"/>
  <c r="M53" i="31"/>
  <c r="M28" i="31"/>
  <c r="V51" i="31"/>
  <c r="L76" i="21"/>
  <c r="L78" i="21" s="1"/>
  <c r="M19" i="31"/>
  <c r="M41" i="31"/>
  <c r="V64" i="23"/>
  <c r="V64" i="21"/>
  <c r="Q41" i="17"/>
  <c r="Q39" i="28"/>
  <c r="Q39" i="29"/>
  <c r="V46" i="21"/>
  <c r="V46" i="23"/>
  <c r="N62" i="26"/>
  <c r="N62" i="28" s="1"/>
  <c r="N72" i="23"/>
  <c r="V9" i="28"/>
  <c r="V9" i="29"/>
  <c r="M23" i="26"/>
  <c r="N40" i="10"/>
  <c r="N40" i="33" s="1"/>
  <c r="N46" i="10"/>
  <c r="N46" i="33" s="1"/>
  <c r="N57" i="10"/>
  <c r="N57" i="33" s="1"/>
  <c r="N39" i="10"/>
  <c r="N39" i="33" s="1"/>
  <c r="M42" i="23"/>
  <c r="L34" i="27"/>
  <c r="L34" i="29"/>
  <c r="V47" i="21"/>
  <c r="V47" i="23"/>
  <c r="DJ463" i="16"/>
  <c r="DK463" i="16"/>
  <c r="M56" i="18"/>
  <c r="M38" i="25"/>
  <c r="M56" i="21"/>
  <c r="V57" i="27"/>
  <c r="V57" i="29"/>
  <c r="DE463" i="16"/>
  <c r="V39" i="20"/>
  <c r="T8" i="17"/>
  <c r="T6" i="23"/>
  <c r="T6" i="21"/>
  <c r="T20" i="21"/>
  <c r="T21" i="20"/>
  <c r="T21" i="33" s="1"/>
  <c r="T20" i="23"/>
  <c r="DD463" i="16"/>
  <c r="V14" i="20"/>
  <c r="M23" i="25"/>
  <c r="N46" i="13"/>
  <c r="N57" i="13"/>
  <c r="N40" i="13"/>
  <c r="M42" i="18"/>
  <c r="N39" i="13"/>
  <c r="M42" i="21"/>
  <c r="L38" i="29"/>
  <c r="L38" i="27"/>
  <c r="Q66" i="17"/>
  <c r="Q67" i="17"/>
  <c r="L41" i="26"/>
  <c r="L41" i="28" s="1"/>
  <c r="L40" i="28"/>
  <c r="M62" i="27"/>
  <c r="M62" i="29"/>
  <c r="V14" i="28"/>
  <c r="V14" i="29"/>
  <c r="M24" i="26"/>
  <c r="M24" i="28" s="1"/>
  <c r="N59" i="10"/>
  <c r="N59" i="33" s="1"/>
  <c r="N49" i="10"/>
  <c r="N49" i="33" s="1"/>
  <c r="M44" i="23"/>
  <c r="N41" i="10"/>
  <c r="N41" i="33" s="1"/>
  <c r="N60" i="27"/>
  <c r="N60" i="29"/>
  <c r="N72" i="18"/>
  <c r="N62" i="25"/>
  <c r="N72" i="21"/>
  <c r="L65" i="26"/>
  <c r="L55" i="26"/>
  <c r="L55" i="28" s="1"/>
  <c r="L54" i="28"/>
  <c r="R11" i="28"/>
  <c r="R11" i="29"/>
  <c r="L27" i="25"/>
  <c r="L20" i="27"/>
  <c r="L20" i="29"/>
  <c r="DC463" i="16"/>
  <c r="V3" i="20"/>
  <c r="V3" i="33" s="1"/>
  <c r="V22" i="20"/>
  <c r="N27" i="10"/>
  <c r="N27" i="33" s="1"/>
  <c r="M19" i="26"/>
  <c r="N19" i="10"/>
  <c r="N19" i="33" s="1"/>
  <c r="M17" i="23"/>
  <c r="T33" i="17"/>
  <c r="M63" i="25"/>
  <c r="M73" i="18"/>
  <c r="M73" i="21"/>
  <c r="DI462" i="16"/>
  <c r="U7" i="23"/>
  <c r="U7" i="21"/>
  <c r="U13" i="17"/>
  <c r="S48" i="28"/>
  <c r="S48" i="29"/>
  <c r="R34" i="17"/>
  <c r="R6" i="17"/>
  <c r="S8" i="28"/>
  <c r="S11" i="17"/>
  <c r="S8" i="29"/>
  <c r="V30" i="28"/>
  <c r="V30" i="29"/>
  <c r="N33" i="10"/>
  <c r="N50" i="10"/>
  <c r="N50" i="33" s="1"/>
  <c r="M23" i="23"/>
  <c r="S63" i="17"/>
  <c r="M31" i="18"/>
  <c r="M31" i="21"/>
  <c r="S28" i="17"/>
  <c r="T39" i="27"/>
  <c r="T47" i="28"/>
  <c r="T48" i="17"/>
  <c r="T47" i="29"/>
  <c r="L54" i="29"/>
  <c r="L54" i="27"/>
  <c r="L65" i="25"/>
  <c r="L55" i="25"/>
  <c r="S23" i="20"/>
  <c r="S24" i="23"/>
  <c r="S32" i="17"/>
  <c r="S24" i="21"/>
  <c r="V27" i="17"/>
  <c r="R38" i="17"/>
  <c r="T10" i="28"/>
  <c r="T10" i="29"/>
  <c r="U15" i="29"/>
  <c r="CI23" i="16"/>
  <c r="CI463" i="16" s="1"/>
  <c r="V30" i="20" s="1"/>
  <c r="V30" i="33" s="1"/>
  <c r="BM462" i="16"/>
  <c r="U17" i="20" s="1"/>
  <c r="U17" i="33" s="1"/>
  <c r="BS23" i="16"/>
  <c r="BS463" i="16" s="1"/>
  <c r="V45" i="20" s="1"/>
  <c r="V45" i="33" s="1"/>
  <c r="BM23" i="16"/>
  <c r="BM463" i="16" s="1"/>
  <c r="V17" i="20" s="1"/>
  <c r="V17" i="33" s="1"/>
  <c r="L6" i="29"/>
  <c r="L6" i="27"/>
  <c r="L26" i="25"/>
  <c r="L19" i="29"/>
  <c r="L19" i="27"/>
  <c r="L21" i="25"/>
  <c r="L21" i="26"/>
  <c r="L21" i="28" s="1"/>
  <c r="L26" i="26"/>
  <c r="L19" i="28"/>
  <c r="U47" i="17"/>
  <c r="U13" i="23"/>
  <c r="U13" i="21"/>
  <c r="DB463" i="16"/>
  <c r="V4" i="20"/>
  <c r="V4" i="33" s="1"/>
  <c r="U66" i="23"/>
  <c r="U66" i="21"/>
  <c r="DG463" i="16"/>
  <c r="V37" i="20"/>
  <c r="V37" i="33" s="1"/>
  <c r="DF463" i="16"/>
  <c r="K41" i="27"/>
  <c r="K41" i="29"/>
  <c r="T21" i="17"/>
  <c r="T26" i="17"/>
  <c r="U14" i="28"/>
  <c r="U14" i="29"/>
  <c r="N33" i="13"/>
  <c r="M23" i="18"/>
  <c r="N50" i="13"/>
  <c r="M23" i="21"/>
  <c r="U32" i="27"/>
  <c r="U39" i="25"/>
  <c r="V21" i="21"/>
  <c r="V21" i="23"/>
  <c r="T16" i="17"/>
  <c r="T13" i="28"/>
  <c r="T13" i="29"/>
  <c r="M38" i="26"/>
  <c r="M38" i="28" s="1"/>
  <c r="M56" i="23"/>
  <c r="V52" i="20"/>
  <c r="U9" i="28"/>
  <c r="U9" i="29"/>
  <c r="U37" i="17"/>
  <c r="V50" i="28"/>
  <c r="V50" i="29"/>
  <c r="U16" i="27"/>
  <c r="M20" i="25"/>
  <c r="N20" i="13"/>
  <c r="M18" i="18"/>
  <c r="N28" i="13"/>
  <c r="M18" i="21"/>
  <c r="M53" i="27"/>
  <c r="M53" i="29"/>
  <c r="L76" i="23"/>
  <c r="L78" i="23" s="1"/>
  <c r="N48" i="10"/>
  <c r="N48" i="33" s="1"/>
  <c r="N32" i="10"/>
  <c r="N32" i="33" s="1"/>
  <c r="M22" i="10"/>
  <c r="M22" i="33" s="1"/>
  <c r="M22" i="23"/>
  <c r="U44" i="28"/>
  <c r="U44" i="29"/>
  <c r="V51" i="28"/>
  <c r="V51" i="29"/>
  <c r="U19" i="17"/>
  <c r="T48" i="23"/>
  <c r="T48" i="21"/>
  <c r="U33" i="17"/>
  <c r="S16" i="28"/>
  <c r="S16" i="29"/>
  <c r="L40" i="29"/>
  <c r="L40" i="27"/>
  <c r="L41" i="25"/>
  <c r="M37" i="27"/>
  <c r="M37" i="29"/>
  <c r="L64" i="27"/>
  <c r="L64" i="29"/>
  <c r="U3" i="20"/>
  <c r="U3" i="33" s="1"/>
  <c r="DC462" i="16"/>
  <c r="R55" i="17"/>
  <c r="R65" i="17"/>
  <c r="V54" i="18"/>
  <c r="V36" i="25"/>
  <c r="K66" i="27"/>
  <c r="K66" i="29"/>
  <c r="CT23" i="16"/>
  <c r="CT463" i="16" s="1"/>
  <c r="V63" i="20" s="1"/>
  <c r="V63" i="33" s="1"/>
  <c r="BS462" i="16"/>
  <c r="U45" i="20" s="1"/>
  <c r="U45" i="33" s="1"/>
  <c r="N48" i="13"/>
  <c r="M22" i="18"/>
  <c r="M22" i="13"/>
  <c r="N32" i="13"/>
  <c r="M22" i="21"/>
  <c r="DH23" i="16"/>
  <c r="V45" i="28"/>
  <c r="V45" i="29"/>
  <c r="N28" i="10"/>
  <c r="N20" i="10"/>
  <c r="N20" i="33" s="1"/>
  <c r="M20" i="26"/>
  <c r="M18" i="23"/>
  <c r="N49" i="13"/>
  <c r="M44" i="18"/>
  <c r="N59" i="13"/>
  <c r="M24" i="25"/>
  <c r="M44" i="21"/>
  <c r="N41" i="13"/>
  <c r="T70" i="20"/>
  <c r="T62" i="17"/>
  <c r="U11" i="27"/>
  <c r="V15" i="27"/>
  <c r="V15" i="29"/>
  <c r="V16" i="25"/>
  <c r="V32" i="25"/>
  <c r="V24" i="18"/>
  <c r="V46" i="28"/>
  <c r="V46" i="29"/>
  <c r="U23" i="17"/>
  <c r="L76" i="18"/>
  <c r="L78" i="18" s="1"/>
  <c r="V58" i="29"/>
  <c r="V58" i="27"/>
  <c r="R32" i="28"/>
  <c r="R32" i="29"/>
  <c r="R39" i="17"/>
  <c r="O68" i="18"/>
  <c r="O68" i="21"/>
  <c r="L27" i="26"/>
  <c r="L27" i="28" s="1"/>
  <c r="L20" i="28"/>
  <c r="S54" i="17"/>
  <c r="U36" i="27"/>
  <c r="V10" i="27"/>
  <c r="V11" i="25"/>
  <c r="T35" i="20"/>
  <c r="T53" i="17"/>
  <c r="DI23" i="16"/>
  <c r="V10" i="20"/>
  <c r="V10" i="33" s="1"/>
  <c r="V10" i="21"/>
  <c r="V10" i="23"/>
  <c r="V44" i="17"/>
  <c r="S36" i="17"/>
  <c r="S54" i="21"/>
  <c r="S54" i="23"/>
  <c r="S53" i="20"/>
  <c r="V34" i="23"/>
  <c r="V34" i="21"/>
  <c r="R36" i="28"/>
  <c r="R36" i="29"/>
  <c r="U27" i="17"/>
  <c r="M63" i="26"/>
  <c r="M73" i="23"/>
  <c r="K67" i="27"/>
  <c r="K67" i="29"/>
  <c r="U40" i="23"/>
  <c r="U10" i="17"/>
  <c r="U40" i="21"/>
  <c r="T25" i="17"/>
  <c r="U34" i="20"/>
  <c r="U33" i="23"/>
  <c r="U33" i="21"/>
  <c r="M17" i="18"/>
  <c r="M19" i="25"/>
  <c r="N19" i="13"/>
  <c r="N27" i="13"/>
  <c r="M17" i="21"/>
  <c r="M30" i="18"/>
  <c r="M52" i="25"/>
  <c r="M30" i="21"/>
  <c r="U30" i="28"/>
  <c r="U30" i="29"/>
  <c r="M35" i="13"/>
  <c r="M52" i="26"/>
  <c r="M52" i="28" s="1"/>
  <c r="M30" i="23"/>
  <c r="T54" i="21" l="1"/>
  <c r="M38" i="23"/>
  <c r="V48" i="26"/>
  <c r="V48" i="27" s="1"/>
  <c r="M54" i="26"/>
  <c r="M55" i="26" s="1"/>
  <c r="M55" i="28" s="1"/>
  <c r="U70" i="20"/>
  <c r="U63" i="17" s="1"/>
  <c r="V69" i="20"/>
  <c r="V70" i="20" s="1"/>
  <c r="V39" i="26"/>
  <c r="N31" i="23"/>
  <c r="N28" i="33"/>
  <c r="N36" i="23"/>
  <c r="N33" i="33"/>
  <c r="T53" i="20"/>
  <c r="T38" i="17" s="1"/>
  <c r="N27" i="32"/>
  <c r="N41" i="32"/>
  <c r="N33" i="32"/>
  <c r="V37" i="32"/>
  <c r="V17" i="32"/>
  <c r="N40" i="32"/>
  <c r="T51" i="32"/>
  <c r="M35" i="32"/>
  <c r="N19" i="32"/>
  <c r="N49" i="32"/>
  <c r="N48" i="32"/>
  <c r="N28" i="32"/>
  <c r="V51" i="20"/>
  <c r="V51" i="33" s="1"/>
  <c r="V45" i="32"/>
  <c r="N57" i="32"/>
  <c r="T54" i="23"/>
  <c r="N32" i="32"/>
  <c r="U45" i="32"/>
  <c r="N50" i="32"/>
  <c r="V4" i="32"/>
  <c r="U17" i="32"/>
  <c r="N39" i="32"/>
  <c r="N46" i="32"/>
  <c r="V10" i="32"/>
  <c r="N59" i="32"/>
  <c r="M22" i="32"/>
  <c r="V63" i="32"/>
  <c r="U3" i="32"/>
  <c r="N20" i="32"/>
  <c r="V30" i="32"/>
  <c r="V3" i="32"/>
  <c r="T21" i="32"/>
  <c r="T36" i="17"/>
  <c r="T36" i="28" s="1"/>
  <c r="N27" i="31"/>
  <c r="N41" i="31"/>
  <c r="N33" i="31"/>
  <c r="M35" i="31"/>
  <c r="N19" i="31"/>
  <c r="N49" i="31"/>
  <c r="N48" i="31"/>
  <c r="N28" i="31"/>
  <c r="N40" i="31"/>
  <c r="N32" i="31"/>
  <c r="N50" i="31"/>
  <c r="N70" i="10"/>
  <c r="N70" i="33" s="1"/>
  <c r="N57" i="31"/>
  <c r="DH463" i="16"/>
  <c r="M76" i="21"/>
  <c r="M78" i="21" s="1"/>
  <c r="N59" i="31"/>
  <c r="M22" i="31"/>
  <c r="N20" i="31"/>
  <c r="N70" i="13"/>
  <c r="N73" i="21" s="1"/>
  <c r="N39" i="31"/>
  <c r="N46" i="31"/>
  <c r="V13" i="21"/>
  <c r="V47" i="17"/>
  <c r="V13" i="23"/>
  <c r="R39" i="28"/>
  <c r="R41" i="17"/>
  <c r="R39" i="29"/>
  <c r="N44" i="18"/>
  <c r="O59" i="13"/>
  <c r="O49" i="13"/>
  <c r="N24" i="25"/>
  <c r="N44" i="21"/>
  <c r="R66" i="17"/>
  <c r="R67" i="17"/>
  <c r="U20" i="23"/>
  <c r="U20" i="21"/>
  <c r="U21" i="20"/>
  <c r="U21" i="33" s="1"/>
  <c r="S32" i="28"/>
  <c r="S32" i="29"/>
  <c r="S39" i="17"/>
  <c r="N52" i="26"/>
  <c r="N52" i="28" s="1"/>
  <c r="N30" i="23"/>
  <c r="V19" i="17"/>
  <c r="T11" i="17"/>
  <c r="T8" i="28"/>
  <c r="T8" i="29"/>
  <c r="O47" i="10"/>
  <c r="O47" i="33" s="1"/>
  <c r="O58" i="10"/>
  <c r="O58" i="33" s="1"/>
  <c r="N43" i="23"/>
  <c r="S38" i="17"/>
  <c r="T54" i="17"/>
  <c r="U25" i="17"/>
  <c r="O67" i="13"/>
  <c r="N52" i="18"/>
  <c r="N52" i="21"/>
  <c r="O66" i="13"/>
  <c r="N51" i="18"/>
  <c r="N51" i="21"/>
  <c r="V37" i="17"/>
  <c r="O68" i="13"/>
  <c r="N53" i="18"/>
  <c r="N53" i="21"/>
  <c r="T28" i="17"/>
  <c r="L28" i="26"/>
  <c r="L28" i="28" s="1"/>
  <c r="L26" i="28"/>
  <c r="O68" i="10"/>
  <c r="N53" i="23"/>
  <c r="L65" i="28"/>
  <c r="L66" i="26"/>
  <c r="L66" i="28" s="1"/>
  <c r="L67" i="26"/>
  <c r="L67" i="28" s="1"/>
  <c r="N59" i="25"/>
  <c r="N60" i="18"/>
  <c r="N60" i="21"/>
  <c r="O57" i="10"/>
  <c r="O57" i="33" s="1"/>
  <c r="O46" i="10"/>
  <c r="O46" i="33" s="1"/>
  <c r="O40" i="10"/>
  <c r="O40" i="33" s="1"/>
  <c r="N23" i="26"/>
  <c r="N42" i="23"/>
  <c r="M52" i="27"/>
  <c r="M52" i="29"/>
  <c r="M19" i="27"/>
  <c r="M26" i="25"/>
  <c r="M21" i="25"/>
  <c r="M19" i="29"/>
  <c r="U35" i="20"/>
  <c r="U53" i="17"/>
  <c r="U10" i="28"/>
  <c r="U10" i="29"/>
  <c r="V11" i="27"/>
  <c r="S55" i="17"/>
  <c r="S65" i="17"/>
  <c r="V32" i="27"/>
  <c r="V39" i="25"/>
  <c r="T63" i="17"/>
  <c r="M24" i="27"/>
  <c r="M24" i="29"/>
  <c r="N35" i="18"/>
  <c r="N34" i="13"/>
  <c r="N35" i="21"/>
  <c r="U48" i="23"/>
  <c r="U48" i="21"/>
  <c r="U51" i="20"/>
  <c r="U51" i="33" s="1"/>
  <c r="L41" i="29"/>
  <c r="L41" i="27"/>
  <c r="U40" i="17"/>
  <c r="N34" i="10"/>
  <c r="N34" i="33" s="1"/>
  <c r="N35" i="23"/>
  <c r="O50" i="13"/>
  <c r="O33" i="13"/>
  <c r="N23" i="18"/>
  <c r="N23" i="21"/>
  <c r="T16" i="28"/>
  <c r="T16" i="29"/>
  <c r="V40" i="23"/>
  <c r="V40" i="21"/>
  <c r="V10" i="17"/>
  <c r="V7" i="21"/>
  <c r="V7" i="23"/>
  <c r="V13" i="17"/>
  <c r="V20" i="21"/>
  <c r="V21" i="20"/>
  <c r="V21" i="33" s="1"/>
  <c r="V20" i="23"/>
  <c r="S34" i="17"/>
  <c r="S6" i="17"/>
  <c r="T48" i="28"/>
  <c r="T48" i="29"/>
  <c r="M63" i="27"/>
  <c r="M63" i="29"/>
  <c r="M64" i="25"/>
  <c r="M76" i="23"/>
  <c r="M78" i="23" s="1"/>
  <c r="M26" i="26"/>
  <c r="M21" i="26"/>
  <c r="M21" i="28" s="1"/>
  <c r="M19" i="28"/>
  <c r="O57" i="13"/>
  <c r="O46" i="13"/>
  <c r="N23" i="25"/>
  <c r="O40" i="13"/>
  <c r="N42" i="18"/>
  <c r="N42" i="21"/>
  <c r="O64" i="13"/>
  <c r="N52" i="13"/>
  <c r="N49" i="18"/>
  <c r="N49" i="21"/>
  <c r="DI463" i="16"/>
  <c r="N59" i="26"/>
  <c r="N59" i="28" s="1"/>
  <c r="N60" i="23"/>
  <c r="O32" i="13"/>
  <c r="O48" i="13"/>
  <c r="N22" i="18"/>
  <c r="N22" i="13"/>
  <c r="N22" i="21"/>
  <c r="S36" i="28"/>
  <c r="S36" i="29"/>
  <c r="O50" i="10"/>
  <c r="O50" i="33" s="1"/>
  <c r="O33" i="10"/>
  <c r="N23" i="23"/>
  <c r="U6" i="23"/>
  <c r="U8" i="17"/>
  <c r="U6" i="21"/>
  <c r="N31" i="18"/>
  <c r="N31" i="21"/>
  <c r="L21" i="27"/>
  <c r="L21" i="29"/>
  <c r="L65" i="29"/>
  <c r="L65" i="27"/>
  <c r="L66" i="25"/>
  <c r="L67" i="25"/>
  <c r="V6" i="23"/>
  <c r="V6" i="21"/>
  <c r="V8" i="17"/>
  <c r="L27" i="29"/>
  <c r="L27" i="27"/>
  <c r="N61" i="26"/>
  <c r="N61" i="28" s="1"/>
  <c r="N62" i="23"/>
  <c r="O58" i="13"/>
  <c r="O47" i="13"/>
  <c r="N43" i="18"/>
  <c r="N43" i="21"/>
  <c r="M54" i="25"/>
  <c r="M38" i="18"/>
  <c r="M38" i="21"/>
  <c r="V44" i="28"/>
  <c r="V44" i="29"/>
  <c r="V36" i="27"/>
  <c r="M33" i="26"/>
  <c r="M23" i="10"/>
  <c r="M23" i="33" s="1"/>
  <c r="M25" i="23"/>
  <c r="U39" i="27"/>
  <c r="V34" i="20"/>
  <c r="V33" i="23"/>
  <c r="V33" i="21"/>
  <c r="T40" i="17"/>
  <c r="O32" i="10"/>
  <c r="O32" i="33" s="1"/>
  <c r="N22" i="10"/>
  <c r="N22" i="33" s="1"/>
  <c r="O48" i="10"/>
  <c r="O48" i="33" s="1"/>
  <c r="N22" i="23"/>
  <c r="N24" i="26"/>
  <c r="N24" i="28" s="1"/>
  <c r="O59" i="10"/>
  <c r="O59" i="33" s="1"/>
  <c r="O49" i="10"/>
  <c r="O49" i="33" s="1"/>
  <c r="N44" i="23"/>
  <c r="V23" i="17"/>
  <c r="M25" i="26"/>
  <c r="M25" i="28" s="1"/>
  <c r="M23" i="28"/>
  <c r="N52" i="25"/>
  <c r="N30" i="18"/>
  <c r="N30" i="21"/>
  <c r="M64" i="26"/>
  <c r="M64" i="28" s="1"/>
  <c r="M63" i="28"/>
  <c r="V16" i="27"/>
  <c r="N61" i="25"/>
  <c r="N62" i="18"/>
  <c r="N62" i="21"/>
  <c r="M27" i="26"/>
  <c r="M27" i="28" s="1"/>
  <c r="M20" i="28"/>
  <c r="M25" i="18"/>
  <c r="M33" i="25"/>
  <c r="M23" i="13"/>
  <c r="M25" i="21"/>
  <c r="V66" i="21"/>
  <c r="V66" i="23"/>
  <c r="U26" i="17"/>
  <c r="U21" i="17"/>
  <c r="O66" i="10"/>
  <c r="N51" i="23"/>
  <c r="M20" i="27"/>
  <c r="M27" i="25"/>
  <c r="M20" i="29"/>
  <c r="N36" i="18"/>
  <c r="N36" i="21"/>
  <c r="U47" i="28"/>
  <c r="U48" i="17"/>
  <c r="U47" i="29"/>
  <c r="L26" i="29"/>
  <c r="L28" i="25"/>
  <c r="L26" i="27"/>
  <c r="V48" i="23"/>
  <c r="V48" i="21"/>
  <c r="L55" i="27"/>
  <c r="L55" i="29"/>
  <c r="S64" i="17"/>
  <c r="S11" i="28"/>
  <c r="S11" i="29"/>
  <c r="U16" i="17"/>
  <c r="U13" i="28"/>
  <c r="U13" i="29"/>
  <c r="V33" i="17"/>
  <c r="N62" i="27"/>
  <c r="N62" i="29"/>
  <c r="O67" i="10"/>
  <c r="N52" i="23"/>
  <c r="M23" i="27"/>
  <c r="M23" i="29"/>
  <c r="M25" i="25"/>
  <c r="T32" i="17"/>
  <c r="T23" i="20"/>
  <c r="T24" i="21"/>
  <c r="T24" i="23"/>
  <c r="M38" i="29"/>
  <c r="M38" i="27"/>
  <c r="N52" i="10"/>
  <c r="N52" i="33" s="1"/>
  <c r="O64" i="10"/>
  <c r="O64" i="33" s="1"/>
  <c r="N49" i="23"/>
  <c r="V36" i="17" l="1"/>
  <c r="V36" i="28" s="1"/>
  <c r="V62" i="17"/>
  <c r="M65" i="26"/>
  <c r="M65" i="28" s="1"/>
  <c r="T36" i="29"/>
  <c r="V53" i="20"/>
  <c r="V38" i="17" s="1"/>
  <c r="V54" i="23"/>
  <c r="N63" i="26"/>
  <c r="N63" i="28" s="1"/>
  <c r="N73" i="23"/>
  <c r="M54" i="28"/>
  <c r="V54" i="21"/>
  <c r="N63" i="25"/>
  <c r="O70" i="23"/>
  <c r="O67" i="33"/>
  <c r="O69" i="23"/>
  <c r="O66" i="33"/>
  <c r="O36" i="23"/>
  <c r="O33" i="33"/>
  <c r="O71" i="23"/>
  <c r="O68" i="33"/>
  <c r="O47" i="32"/>
  <c r="O48" i="32"/>
  <c r="O64" i="32"/>
  <c r="O50" i="32"/>
  <c r="M23" i="32"/>
  <c r="O58" i="32"/>
  <c r="O32" i="32"/>
  <c r="O46" i="32"/>
  <c r="O49" i="32"/>
  <c r="N22" i="32"/>
  <c r="O57" i="32"/>
  <c r="U51" i="32"/>
  <c r="N34" i="32"/>
  <c r="O67" i="32"/>
  <c r="U21" i="32"/>
  <c r="O59" i="32"/>
  <c r="N70" i="32"/>
  <c r="N52" i="32"/>
  <c r="O40" i="32"/>
  <c r="V21" i="32"/>
  <c r="O33" i="32"/>
  <c r="O68" i="32"/>
  <c r="O66" i="32"/>
  <c r="N73" i="18"/>
  <c r="V51" i="32"/>
  <c r="N22" i="31"/>
  <c r="O57" i="31"/>
  <c r="N34" i="31"/>
  <c r="O67" i="31"/>
  <c r="O59" i="31"/>
  <c r="N52" i="31"/>
  <c r="O40" i="31"/>
  <c r="O33" i="31"/>
  <c r="O68" i="31"/>
  <c r="O66" i="31"/>
  <c r="M23" i="31"/>
  <c r="O47" i="31"/>
  <c r="O48" i="31"/>
  <c r="O64" i="31"/>
  <c r="O50" i="31"/>
  <c r="N70" i="31"/>
  <c r="V36" i="29"/>
  <c r="O58" i="31"/>
  <c r="O32" i="31"/>
  <c r="O46" i="31"/>
  <c r="O49" i="31"/>
  <c r="U28" i="17"/>
  <c r="V25" i="17"/>
  <c r="P67" i="10"/>
  <c r="O52" i="23"/>
  <c r="O60" i="25"/>
  <c r="O61" i="18"/>
  <c r="O61" i="21"/>
  <c r="S66" i="17"/>
  <c r="S67" i="17"/>
  <c r="O69" i="18"/>
  <c r="O69" i="21"/>
  <c r="T55" i="17"/>
  <c r="T65" i="17"/>
  <c r="V26" i="17"/>
  <c r="V21" i="17"/>
  <c r="S41" i="17"/>
  <c r="S39" i="28"/>
  <c r="S39" i="29"/>
  <c r="T34" i="17"/>
  <c r="T6" i="17"/>
  <c r="U16" i="28"/>
  <c r="U16" i="29"/>
  <c r="U48" i="28"/>
  <c r="U48" i="29"/>
  <c r="M40" i="25"/>
  <c r="M33" i="29"/>
  <c r="M33" i="27"/>
  <c r="N33" i="26"/>
  <c r="N23" i="10"/>
  <c r="N23" i="33" s="1"/>
  <c r="N25" i="23"/>
  <c r="V35" i="20"/>
  <c r="V53" i="17"/>
  <c r="V8" i="28"/>
  <c r="V11" i="17"/>
  <c r="V8" i="29"/>
  <c r="M28" i="26"/>
  <c r="M28" i="28" s="1"/>
  <c r="M26" i="28"/>
  <c r="V24" i="23"/>
  <c r="V32" i="17"/>
  <c r="V23" i="20"/>
  <c r="V24" i="21"/>
  <c r="N53" i="26"/>
  <c r="N53" i="28" s="1"/>
  <c r="N35" i="10"/>
  <c r="N35" i="33" s="1"/>
  <c r="N37" i="23"/>
  <c r="V39" i="27"/>
  <c r="M21" i="27"/>
  <c r="M21" i="29"/>
  <c r="P64" i="10"/>
  <c r="P64" i="33" s="1"/>
  <c r="O52" i="10"/>
  <c r="O52" i="33" s="1"/>
  <c r="O49" i="23"/>
  <c r="O71" i="18"/>
  <c r="O71" i="21"/>
  <c r="T32" i="28"/>
  <c r="T32" i="29"/>
  <c r="T39" i="17"/>
  <c r="L28" i="27"/>
  <c r="L28" i="29"/>
  <c r="M66" i="26"/>
  <c r="M66" i="28" s="1"/>
  <c r="M27" i="27"/>
  <c r="M27" i="29"/>
  <c r="O34" i="10"/>
  <c r="O34" i="33" s="1"/>
  <c r="O35" i="23"/>
  <c r="M34" i="26"/>
  <c r="M34" i="28" s="1"/>
  <c r="M26" i="23"/>
  <c r="N15" i="10"/>
  <c r="N15" i="33" s="1"/>
  <c r="N14" i="10"/>
  <c r="N14" i="33" s="1"/>
  <c r="M6" i="26"/>
  <c r="M6" i="28" s="1"/>
  <c r="P65" i="13"/>
  <c r="O50" i="18"/>
  <c r="O50" i="21"/>
  <c r="L67" i="29"/>
  <c r="L67" i="27"/>
  <c r="P68" i="10"/>
  <c r="O53" i="23"/>
  <c r="O35" i="18"/>
  <c r="O34" i="13"/>
  <c r="O35" i="21"/>
  <c r="N37" i="25"/>
  <c r="N55" i="18"/>
  <c r="N53" i="13"/>
  <c r="N55" i="21"/>
  <c r="O60" i="18"/>
  <c r="O59" i="25"/>
  <c r="O60" i="21"/>
  <c r="V10" i="28"/>
  <c r="V10" i="29"/>
  <c r="O36" i="18"/>
  <c r="O36" i="21"/>
  <c r="U36" i="17"/>
  <c r="U53" i="20"/>
  <c r="U54" i="21"/>
  <c r="U54" i="23"/>
  <c r="N35" i="13"/>
  <c r="N53" i="25"/>
  <c r="N37" i="18"/>
  <c r="N37" i="21"/>
  <c r="U54" i="17"/>
  <c r="M28" i="25"/>
  <c r="M26" i="27"/>
  <c r="M26" i="29"/>
  <c r="O59" i="26"/>
  <c r="O59" i="28" s="1"/>
  <c r="O60" i="23"/>
  <c r="N59" i="29"/>
  <c r="N59" i="27"/>
  <c r="U64" i="17"/>
  <c r="O60" i="26"/>
  <c r="O60" i="28" s="1"/>
  <c r="O61" i="23"/>
  <c r="T11" i="28"/>
  <c r="T11" i="29"/>
  <c r="N24" i="29"/>
  <c r="N24" i="27"/>
  <c r="V47" i="28"/>
  <c r="V48" i="17"/>
  <c r="V47" i="29"/>
  <c r="N37" i="26"/>
  <c r="N37" i="28" s="1"/>
  <c r="N53" i="10"/>
  <c r="N53" i="33" s="1"/>
  <c r="N55" i="23"/>
  <c r="M34" i="25"/>
  <c r="M26" i="18"/>
  <c r="M76" i="18" s="1"/>
  <c r="M78" i="18" s="1"/>
  <c r="M26" i="21"/>
  <c r="N15" i="13"/>
  <c r="N14" i="13"/>
  <c r="M6" i="25"/>
  <c r="P66" i="10"/>
  <c r="O51" i="23"/>
  <c r="L66" i="27"/>
  <c r="L66" i="29"/>
  <c r="N23" i="27"/>
  <c r="N25" i="25"/>
  <c r="N23" i="29"/>
  <c r="T64" i="17"/>
  <c r="P47" i="10"/>
  <c r="P47" i="33" s="1"/>
  <c r="P58" i="10"/>
  <c r="P58" i="33" s="1"/>
  <c r="O43" i="23"/>
  <c r="O61" i="25"/>
  <c r="O62" i="18"/>
  <c r="O62" i="21"/>
  <c r="O61" i="26"/>
  <c r="O61" i="28" s="1"/>
  <c r="O62" i="23"/>
  <c r="U8" i="28"/>
  <c r="U11" i="17"/>
  <c r="U8" i="29"/>
  <c r="O51" i="18"/>
  <c r="P66" i="13"/>
  <c r="O51" i="21"/>
  <c r="P64" i="13"/>
  <c r="O52" i="13"/>
  <c r="O49" i="18"/>
  <c r="O49" i="21"/>
  <c r="O69" i="10"/>
  <c r="O69" i="33" s="1"/>
  <c r="O67" i="23"/>
  <c r="M25" i="27"/>
  <c r="M25" i="29"/>
  <c r="V40" i="17"/>
  <c r="N61" i="29"/>
  <c r="N61" i="27"/>
  <c r="N52" i="29"/>
  <c r="N52" i="27"/>
  <c r="M40" i="26"/>
  <c r="M33" i="28"/>
  <c r="M54" i="27"/>
  <c r="M54" i="29"/>
  <c r="M65" i="25"/>
  <c r="M55" i="25"/>
  <c r="N25" i="18"/>
  <c r="N33" i="25"/>
  <c r="N23" i="13"/>
  <c r="N25" i="21"/>
  <c r="O67" i="18"/>
  <c r="O69" i="13"/>
  <c r="O67" i="21"/>
  <c r="O43" i="18"/>
  <c r="P58" i="13"/>
  <c r="P47" i="13"/>
  <c r="O43" i="21"/>
  <c r="M64" i="27"/>
  <c r="M64" i="29"/>
  <c r="V16" i="17"/>
  <c r="V13" i="28"/>
  <c r="V13" i="29"/>
  <c r="O53" i="18"/>
  <c r="P68" i="13"/>
  <c r="O53" i="21"/>
  <c r="V63" i="17"/>
  <c r="N25" i="26"/>
  <c r="N25" i="28" s="1"/>
  <c r="N23" i="28"/>
  <c r="O70" i="18"/>
  <c r="O70" i="21"/>
  <c r="P65" i="10"/>
  <c r="O50" i="23"/>
  <c r="U23" i="20"/>
  <c r="U24" i="21"/>
  <c r="U32" i="17"/>
  <c r="U24" i="23"/>
  <c r="P67" i="13"/>
  <c r="O52" i="18"/>
  <c r="O52" i="21"/>
  <c r="N63" i="27" l="1"/>
  <c r="N64" i="26"/>
  <c r="N64" i="28" s="1"/>
  <c r="M67" i="26"/>
  <c r="M67" i="28" s="1"/>
  <c r="N63" i="29"/>
  <c r="N64" i="25"/>
  <c r="N64" i="29" s="1"/>
  <c r="P71" i="23"/>
  <c r="P68" i="33"/>
  <c r="P69" i="23"/>
  <c r="P66" i="33"/>
  <c r="P68" i="23"/>
  <c r="P65" i="33"/>
  <c r="P70" i="23"/>
  <c r="P67" i="33"/>
  <c r="P68" i="32"/>
  <c r="P47" i="32"/>
  <c r="O69" i="32"/>
  <c r="N15" i="32"/>
  <c r="N35" i="32"/>
  <c r="P67" i="32"/>
  <c r="P58" i="32"/>
  <c r="P66" i="32"/>
  <c r="N53" i="32"/>
  <c r="O34" i="32"/>
  <c r="P65" i="32"/>
  <c r="O52" i="32"/>
  <c r="N23" i="32"/>
  <c r="P64" i="32"/>
  <c r="N14" i="32"/>
  <c r="N23" i="31"/>
  <c r="P64" i="31"/>
  <c r="N14" i="31"/>
  <c r="P68" i="31"/>
  <c r="P47" i="31"/>
  <c r="O69" i="31"/>
  <c r="N15" i="31"/>
  <c r="N35" i="31"/>
  <c r="P67" i="31"/>
  <c r="P58" i="31"/>
  <c r="P66" i="31"/>
  <c r="N53" i="31"/>
  <c r="O34" i="31"/>
  <c r="P65" i="31"/>
  <c r="O52" i="31"/>
  <c r="P70" i="18"/>
  <c r="P70" i="21"/>
  <c r="V16" i="28"/>
  <c r="V16" i="29"/>
  <c r="N38" i="26"/>
  <c r="N38" i="28" s="1"/>
  <c r="N56" i="23"/>
  <c r="O41" i="10"/>
  <c r="O41" i="33" s="1"/>
  <c r="O39" i="10"/>
  <c r="O39" i="33" s="1"/>
  <c r="N54" i="25"/>
  <c r="N38" i="18"/>
  <c r="N38" i="21"/>
  <c r="U36" i="28"/>
  <c r="U36" i="29"/>
  <c r="T39" i="28"/>
  <c r="T41" i="17"/>
  <c r="T39" i="29"/>
  <c r="N54" i="26"/>
  <c r="N38" i="23"/>
  <c r="M40" i="27"/>
  <c r="M40" i="29"/>
  <c r="M41" i="25"/>
  <c r="T66" i="17"/>
  <c r="T67" i="17"/>
  <c r="M41" i="26"/>
  <c r="M41" i="28" s="1"/>
  <c r="M40" i="28"/>
  <c r="O37" i="25"/>
  <c r="O55" i="18"/>
  <c r="O53" i="13"/>
  <c r="O55" i="21"/>
  <c r="P60" i="26"/>
  <c r="P60" i="28" s="1"/>
  <c r="P61" i="23"/>
  <c r="M6" i="27"/>
  <c r="M6" i="29"/>
  <c r="N38" i="25"/>
  <c r="N56" i="18"/>
  <c r="N56" i="21"/>
  <c r="O41" i="13"/>
  <c r="O39" i="13"/>
  <c r="P50" i="18"/>
  <c r="Q65" i="13"/>
  <c r="P50" i="21"/>
  <c r="O62" i="25"/>
  <c r="O70" i="13"/>
  <c r="O72" i="18"/>
  <c r="O72" i="21"/>
  <c r="N40" i="25"/>
  <c r="N33" i="29"/>
  <c r="N33" i="27"/>
  <c r="O62" i="26"/>
  <c r="O62" i="28" s="1"/>
  <c r="O70" i="10"/>
  <c r="O70" i="33" s="1"/>
  <c r="O72" i="23"/>
  <c r="P67" i="18"/>
  <c r="P69" i="13"/>
  <c r="P67" i="21"/>
  <c r="O19" i="13"/>
  <c r="N19" i="25"/>
  <c r="N17" i="18"/>
  <c r="O27" i="13"/>
  <c r="O15" i="13"/>
  <c r="O14" i="13"/>
  <c r="N6" i="25"/>
  <c r="N17" i="21"/>
  <c r="M34" i="29"/>
  <c r="M34" i="27"/>
  <c r="U55" i="17"/>
  <c r="U65" i="17"/>
  <c r="O59" i="27"/>
  <c r="O59" i="29"/>
  <c r="P68" i="18"/>
  <c r="P68" i="21"/>
  <c r="V54" i="17"/>
  <c r="P71" i="18"/>
  <c r="P71" i="21"/>
  <c r="M55" i="29"/>
  <c r="M55" i="27"/>
  <c r="P69" i="18"/>
  <c r="P69" i="21"/>
  <c r="O15" i="10"/>
  <c r="O15" i="33" s="1"/>
  <c r="O27" i="10"/>
  <c r="O27" i="33" s="1"/>
  <c r="N19" i="26"/>
  <c r="O19" i="10"/>
  <c r="O19" i="33" s="1"/>
  <c r="O14" i="10"/>
  <c r="O14" i="33" s="1"/>
  <c r="N6" i="26"/>
  <c r="N6" i="28" s="1"/>
  <c r="N17" i="23"/>
  <c r="O37" i="26"/>
  <c r="O37" i="28" s="1"/>
  <c r="O53" i="10"/>
  <c r="O53" i="33" s="1"/>
  <c r="O55" i="23"/>
  <c r="V32" i="28"/>
  <c r="V39" i="17"/>
  <c r="V32" i="29"/>
  <c r="N34" i="26"/>
  <c r="N34" i="28" s="1"/>
  <c r="N26" i="23"/>
  <c r="U34" i="17"/>
  <c r="U6" i="17"/>
  <c r="N26" i="18"/>
  <c r="N34" i="25"/>
  <c r="N26" i="21"/>
  <c r="M65" i="29"/>
  <c r="M65" i="27"/>
  <c r="M66" i="25"/>
  <c r="M67" i="25"/>
  <c r="M28" i="29"/>
  <c r="M28" i="27"/>
  <c r="O53" i="25"/>
  <c r="O37" i="18"/>
  <c r="O37" i="21"/>
  <c r="N20" i="26"/>
  <c r="O20" i="10"/>
  <c r="O20" i="33" s="1"/>
  <c r="O28" i="10"/>
  <c r="N18" i="23"/>
  <c r="O53" i="26"/>
  <c r="O53" i="28" s="1"/>
  <c r="O37" i="23"/>
  <c r="P69" i="10"/>
  <c r="P69" i="33" s="1"/>
  <c r="P67" i="23"/>
  <c r="V11" i="28"/>
  <c r="V11" i="29"/>
  <c r="N40" i="26"/>
  <c r="N33" i="28"/>
  <c r="U32" i="28"/>
  <c r="U39" i="17"/>
  <c r="U32" i="29"/>
  <c r="V64" i="17"/>
  <c r="P61" i="18"/>
  <c r="P60" i="25"/>
  <c r="P61" i="21"/>
  <c r="U11" i="28"/>
  <c r="U11" i="29"/>
  <c r="O61" i="27"/>
  <c r="O61" i="29"/>
  <c r="Q65" i="10"/>
  <c r="P50" i="23"/>
  <c r="N25" i="27"/>
  <c r="N25" i="29"/>
  <c r="O20" i="13"/>
  <c r="O28" i="13"/>
  <c r="N18" i="18"/>
  <c r="N20" i="25"/>
  <c r="N18" i="21"/>
  <c r="V48" i="28"/>
  <c r="V48" i="29"/>
  <c r="N53" i="29"/>
  <c r="N53" i="27"/>
  <c r="U38" i="17"/>
  <c r="N37" i="27"/>
  <c r="N37" i="29"/>
  <c r="V34" i="17"/>
  <c r="V6" i="17"/>
  <c r="V28" i="17"/>
  <c r="O60" i="27"/>
  <c r="O60" i="29"/>
  <c r="N64" i="27" l="1"/>
  <c r="Q68" i="23"/>
  <c r="Q65" i="33"/>
  <c r="O31" i="23"/>
  <c r="O28" i="33"/>
  <c r="P69" i="32"/>
  <c r="O41" i="32"/>
  <c r="N76" i="23"/>
  <c r="N78" i="23" s="1"/>
  <c r="O14" i="32"/>
  <c r="Q65" i="32"/>
  <c r="O53" i="32"/>
  <c r="O28" i="32"/>
  <c r="O15" i="32"/>
  <c r="O19" i="32"/>
  <c r="O70" i="32"/>
  <c r="O20" i="32"/>
  <c r="O27" i="32"/>
  <c r="O39" i="32"/>
  <c r="O14" i="31"/>
  <c r="Q65" i="31"/>
  <c r="O53" i="31"/>
  <c r="O28" i="31"/>
  <c r="O15" i="31"/>
  <c r="O19" i="31"/>
  <c r="O70" i="31"/>
  <c r="O20" i="31"/>
  <c r="O27" i="31"/>
  <c r="O39" i="31"/>
  <c r="P69" i="31"/>
  <c r="O41" i="31"/>
  <c r="N41" i="26"/>
  <c r="N41" i="28" s="1"/>
  <c r="N40" i="28"/>
  <c r="O53" i="29"/>
  <c r="O53" i="27"/>
  <c r="N26" i="26"/>
  <c r="N21" i="26"/>
  <c r="N21" i="28" s="1"/>
  <c r="N19" i="28"/>
  <c r="P72" i="18"/>
  <c r="P62" i="25"/>
  <c r="P72" i="21"/>
  <c r="P49" i="13"/>
  <c r="O24" i="25"/>
  <c r="O44" i="18"/>
  <c r="P59" i="13"/>
  <c r="O44" i="21"/>
  <c r="P41" i="13"/>
  <c r="O37" i="27"/>
  <c r="O37" i="29"/>
  <c r="O31" i="18"/>
  <c r="O31" i="21"/>
  <c r="U41" i="17"/>
  <c r="U39" i="28"/>
  <c r="U39" i="29"/>
  <c r="M66" i="29"/>
  <c r="M66" i="27"/>
  <c r="N34" i="27"/>
  <c r="N34" i="29"/>
  <c r="O52" i="26"/>
  <c r="O52" i="28" s="1"/>
  <c r="O30" i="23"/>
  <c r="P49" i="10"/>
  <c r="P49" i="33" s="1"/>
  <c r="O24" i="26"/>
  <c r="O24" i="28" s="1"/>
  <c r="P59" i="10"/>
  <c r="P59" i="33" s="1"/>
  <c r="O44" i="23"/>
  <c r="P41" i="10"/>
  <c r="P41" i="33" s="1"/>
  <c r="P33" i="13"/>
  <c r="O23" i="18"/>
  <c r="P50" i="13"/>
  <c r="O23" i="21"/>
  <c r="O35" i="13"/>
  <c r="N76" i="18"/>
  <c r="N78" i="18" s="1"/>
  <c r="O38" i="26"/>
  <c r="O38" i="28" s="1"/>
  <c r="O56" i="23"/>
  <c r="O19" i="26"/>
  <c r="P19" i="10"/>
  <c r="P19" i="33" s="1"/>
  <c r="P27" i="10"/>
  <c r="P27" i="33" s="1"/>
  <c r="O17" i="23"/>
  <c r="P28" i="10"/>
  <c r="O20" i="26"/>
  <c r="P20" i="10"/>
  <c r="P20" i="33" s="1"/>
  <c r="O18" i="23"/>
  <c r="U66" i="17"/>
  <c r="U67" i="17"/>
  <c r="O18" i="18"/>
  <c r="P28" i="13"/>
  <c r="O20" i="25"/>
  <c r="P20" i="13"/>
  <c r="O18" i="21"/>
  <c r="P32" i="13"/>
  <c r="O22" i="13"/>
  <c r="P48" i="13"/>
  <c r="O22" i="18"/>
  <c r="O22" i="21"/>
  <c r="O63" i="25"/>
  <c r="O73" i="18"/>
  <c r="O73" i="21"/>
  <c r="O38" i="25"/>
  <c r="O56" i="18"/>
  <c r="O56" i="21"/>
  <c r="M41" i="27"/>
  <c r="M41" i="29"/>
  <c r="P60" i="27"/>
  <c r="P60" i="29"/>
  <c r="P62" i="26"/>
  <c r="P62" i="28" s="1"/>
  <c r="P72" i="23"/>
  <c r="N27" i="26"/>
  <c r="N27" i="28" s="1"/>
  <c r="N20" i="28"/>
  <c r="M67" i="27"/>
  <c r="M67" i="29"/>
  <c r="N6" i="29"/>
  <c r="N6" i="27"/>
  <c r="O23" i="26"/>
  <c r="P40" i="10"/>
  <c r="P40" i="33" s="1"/>
  <c r="P46" i="10"/>
  <c r="P46" i="33" s="1"/>
  <c r="P57" i="10"/>
  <c r="P57" i="33" s="1"/>
  <c r="P39" i="10"/>
  <c r="P39" i="33" s="1"/>
  <c r="O42" i="23"/>
  <c r="P27" i="13"/>
  <c r="P19" i="13"/>
  <c r="O19" i="25"/>
  <c r="O17" i="18"/>
  <c r="O17" i="21"/>
  <c r="N21" i="25"/>
  <c r="N26" i="25"/>
  <c r="N19" i="29"/>
  <c r="N19" i="27"/>
  <c r="Q68" i="18"/>
  <c r="Q68" i="21"/>
  <c r="N20" i="27"/>
  <c r="N20" i="29"/>
  <c r="N27" i="25"/>
  <c r="O35" i="10"/>
  <c r="O35" i="33" s="1"/>
  <c r="P50" i="10"/>
  <c r="P50" i="33" s="1"/>
  <c r="P33" i="10"/>
  <c r="O23" i="23"/>
  <c r="V39" i="28"/>
  <c r="V41" i="17"/>
  <c r="V39" i="29"/>
  <c r="O22" i="10"/>
  <c r="O22" i="33" s="1"/>
  <c r="P32" i="10"/>
  <c r="P32" i="33" s="1"/>
  <c r="P48" i="10"/>
  <c r="P48" i="33" s="1"/>
  <c r="O22" i="23"/>
  <c r="V55" i="17"/>
  <c r="V65" i="17"/>
  <c r="N76" i="21"/>
  <c r="N78" i="21" s="1"/>
  <c r="O52" i="25"/>
  <c r="O30" i="18"/>
  <c r="O30" i="21"/>
  <c r="O63" i="26"/>
  <c r="O73" i="23"/>
  <c r="N40" i="29"/>
  <c r="N40" i="27"/>
  <c r="N41" i="25"/>
  <c r="O62" i="29"/>
  <c r="O62" i="27"/>
  <c r="P46" i="13"/>
  <c r="O42" i="18"/>
  <c r="P40" i="13"/>
  <c r="P57" i="13"/>
  <c r="O23" i="25"/>
  <c r="P39" i="13"/>
  <c r="O42" i="21"/>
  <c r="N38" i="27"/>
  <c r="N38" i="29"/>
  <c r="N65" i="26"/>
  <c r="N55" i="26"/>
  <c r="N55" i="28" s="1"/>
  <c r="N54" i="28"/>
  <c r="N54" i="27"/>
  <c r="N54" i="29"/>
  <c r="N65" i="25"/>
  <c r="N55" i="25"/>
  <c r="P36" i="23" l="1"/>
  <c r="P33" i="33"/>
  <c r="P31" i="23"/>
  <c r="P28" i="33"/>
  <c r="P40" i="32"/>
  <c r="P27" i="32"/>
  <c r="O22" i="32"/>
  <c r="O35" i="32"/>
  <c r="P33" i="32"/>
  <c r="P49" i="32"/>
  <c r="P39" i="32"/>
  <c r="P32" i="32"/>
  <c r="P28" i="32"/>
  <c r="P59" i="32"/>
  <c r="P46" i="32"/>
  <c r="P50" i="32"/>
  <c r="P57" i="32"/>
  <c r="P19" i="32"/>
  <c r="P48" i="32"/>
  <c r="P20" i="32"/>
  <c r="P41" i="32"/>
  <c r="P70" i="13"/>
  <c r="P63" i="25" s="1"/>
  <c r="P57" i="31"/>
  <c r="P19" i="31"/>
  <c r="P48" i="31"/>
  <c r="P20" i="31"/>
  <c r="P41" i="31"/>
  <c r="P40" i="31"/>
  <c r="P27" i="31"/>
  <c r="O22" i="31"/>
  <c r="O35" i="31"/>
  <c r="P33" i="31"/>
  <c r="P49" i="31"/>
  <c r="P39" i="31"/>
  <c r="P32" i="31"/>
  <c r="P28" i="31"/>
  <c r="O76" i="23"/>
  <c r="O78" i="23" s="1"/>
  <c r="P59" i="31"/>
  <c r="P46" i="31"/>
  <c r="P50" i="31"/>
  <c r="V66" i="17"/>
  <c r="V67" i="17"/>
  <c r="P23" i="26"/>
  <c r="Q46" i="10"/>
  <c r="Q46" i="33" s="1"/>
  <c r="Q57" i="10"/>
  <c r="Q57" i="33" s="1"/>
  <c r="Q40" i="10"/>
  <c r="Q40" i="33" s="1"/>
  <c r="P42" i="23"/>
  <c r="O25" i="26"/>
  <c r="O25" i="28" s="1"/>
  <c r="O23" i="28"/>
  <c r="P52" i="18"/>
  <c r="Q67" i="13"/>
  <c r="P52" i="21"/>
  <c r="N66" i="26"/>
  <c r="N66" i="28" s="1"/>
  <c r="N65" i="28"/>
  <c r="N67" i="26"/>
  <c r="N67" i="28" s="1"/>
  <c r="O52" i="27"/>
  <c r="O52" i="29"/>
  <c r="P34" i="10"/>
  <c r="P34" i="33" s="1"/>
  <c r="P35" i="23"/>
  <c r="P59" i="26"/>
  <c r="P59" i="28" s="1"/>
  <c r="P60" i="23"/>
  <c r="P70" i="10"/>
  <c r="P70" i="33" s="1"/>
  <c r="P23" i="18"/>
  <c r="Q50" i="13"/>
  <c r="Q33" i="13"/>
  <c r="P23" i="21"/>
  <c r="Q67" i="10"/>
  <c r="P52" i="23"/>
  <c r="Q57" i="13"/>
  <c r="Q46" i="13"/>
  <c r="Q40" i="13"/>
  <c r="P42" i="18"/>
  <c r="P23" i="25"/>
  <c r="P42" i="21"/>
  <c r="N41" i="27"/>
  <c r="N41" i="29"/>
  <c r="O64" i="26"/>
  <c r="O64" i="28" s="1"/>
  <c r="O63" i="28"/>
  <c r="O33" i="26"/>
  <c r="O23" i="10"/>
  <c r="O23" i="33" s="1"/>
  <c r="O25" i="23"/>
  <c r="O54" i="26"/>
  <c r="O38" i="23"/>
  <c r="O76" i="21"/>
  <c r="O78" i="21" s="1"/>
  <c r="Q64" i="10"/>
  <c r="Q64" i="33" s="1"/>
  <c r="P52" i="10"/>
  <c r="P52" i="33" s="1"/>
  <c r="P49" i="23"/>
  <c r="O63" i="29"/>
  <c r="O63" i="27"/>
  <c r="O64" i="25"/>
  <c r="O33" i="25"/>
  <c r="O25" i="18"/>
  <c r="O23" i="13"/>
  <c r="O25" i="21"/>
  <c r="O20" i="27"/>
  <c r="O27" i="25"/>
  <c r="O20" i="29"/>
  <c r="O27" i="26"/>
  <c r="O27" i="28" s="1"/>
  <c r="O20" i="28"/>
  <c r="O21" i="26"/>
  <c r="O21" i="28" s="1"/>
  <c r="O26" i="26"/>
  <c r="O19" i="28"/>
  <c r="Q68" i="13"/>
  <c r="P53" i="18"/>
  <c r="P53" i="21"/>
  <c r="N65" i="27"/>
  <c r="N65" i="29"/>
  <c r="N66" i="25"/>
  <c r="N67" i="25"/>
  <c r="P59" i="25"/>
  <c r="P60" i="18"/>
  <c r="P60" i="21"/>
  <c r="Q66" i="10"/>
  <c r="P51" i="23"/>
  <c r="N26" i="27"/>
  <c r="N28" i="25"/>
  <c r="N26" i="29"/>
  <c r="P22" i="13"/>
  <c r="P22" i="18"/>
  <c r="Q48" i="13"/>
  <c r="Q32" i="13"/>
  <c r="P22" i="21"/>
  <c r="P36" i="18"/>
  <c r="P36" i="21"/>
  <c r="P43" i="18"/>
  <c r="Q58" i="13"/>
  <c r="Q47" i="13"/>
  <c r="P43" i="21"/>
  <c r="Q68" i="10"/>
  <c r="P53" i="23"/>
  <c r="N21" i="27"/>
  <c r="N21" i="29"/>
  <c r="P52" i="25"/>
  <c r="P30" i="18"/>
  <c r="P30" i="21"/>
  <c r="Q66" i="13"/>
  <c r="P51" i="18"/>
  <c r="P51" i="21"/>
  <c r="Q50" i="10"/>
  <c r="Q50" i="33" s="1"/>
  <c r="Q33" i="10"/>
  <c r="P23" i="23"/>
  <c r="Q32" i="10"/>
  <c r="Q32" i="33" s="1"/>
  <c r="Q48" i="10"/>
  <c r="Q48" i="33" s="1"/>
  <c r="P22" i="10"/>
  <c r="P22" i="33" s="1"/>
  <c r="P22" i="23"/>
  <c r="Q49" i="10"/>
  <c r="Q49" i="33" s="1"/>
  <c r="P24" i="26"/>
  <c r="P24" i="28" s="1"/>
  <c r="Q59" i="10"/>
  <c r="Q59" i="33" s="1"/>
  <c r="P44" i="23"/>
  <c r="P61" i="25"/>
  <c r="P62" i="18"/>
  <c r="P62" i="21"/>
  <c r="N55" i="27"/>
  <c r="N55" i="29"/>
  <c r="O23" i="27"/>
  <c r="O23" i="29"/>
  <c r="O25" i="25"/>
  <c r="P52" i="13"/>
  <c r="P49" i="18"/>
  <c r="Q64" i="13"/>
  <c r="P49" i="21"/>
  <c r="N27" i="29"/>
  <c r="N27" i="27"/>
  <c r="O19" i="29"/>
  <c r="O19" i="27"/>
  <c r="O21" i="25"/>
  <c r="O26" i="25"/>
  <c r="Q58" i="10"/>
  <c r="Q58" i="33" s="1"/>
  <c r="Q47" i="10"/>
  <c r="Q47" i="33" s="1"/>
  <c r="P43" i="23"/>
  <c r="O38" i="27"/>
  <c r="O38" i="29"/>
  <c r="P35" i="18"/>
  <c r="P34" i="13"/>
  <c r="P35" i="21"/>
  <c r="P31" i="18"/>
  <c r="P31" i="21"/>
  <c r="P52" i="26"/>
  <c r="P52" i="28" s="1"/>
  <c r="P30" i="23"/>
  <c r="O38" i="18"/>
  <c r="O54" i="25"/>
  <c r="O38" i="21"/>
  <c r="P61" i="26"/>
  <c r="P61" i="28" s="1"/>
  <c r="P62" i="23"/>
  <c r="P24" i="25"/>
  <c r="Q49" i="13"/>
  <c r="P44" i="18"/>
  <c r="Q59" i="13"/>
  <c r="P44" i="21"/>
  <c r="O24" i="29"/>
  <c r="O24" i="27"/>
  <c r="P62" i="27"/>
  <c r="P62" i="29"/>
  <c r="N28" i="26"/>
  <c r="N28" i="28" s="1"/>
  <c r="N26" i="28"/>
  <c r="P73" i="21" l="1"/>
  <c r="Q71" i="23"/>
  <c r="Q68" i="33"/>
  <c r="Q69" i="23"/>
  <c r="Q66" i="33"/>
  <c r="Q36" i="23"/>
  <c r="Q33" i="33"/>
  <c r="Q70" i="23"/>
  <c r="Q67" i="33"/>
  <c r="Q32" i="32"/>
  <c r="O23" i="32"/>
  <c r="Q57" i="32"/>
  <c r="Q33" i="32"/>
  <c r="Q59" i="32"/>
  <c r="Q64" i="32"/>
  <c r="Q66" i="32"/>
  <c r="Q48" i="32"/>
  <c r="Q50" i="32"/>
  <c r="P70" i="32"/>
  <c r="Q47" i="32"/>
  <c r="Q68" i="32"/>
  <c r="Q40" i="32"/>
  <c r="Q67" i="32"/>
  <c r="Q49" i="32"/>
  <c r="P34" i="32"/>
  <c r="P52" i="32"/>
  <c r="Q58" i="32"/>
  <c r="P22" i="32"/>
  <c r="Q46" i="32"/>
  <c r="Q49" i="31"/>
  <c r="P34" i="31"/>
  <c r="P52" i="31"/>
  <c r="Q58" i="31"/>
  <c r="P22" i="31"/>
  <c r="Q46" i="31"/>
  <c r="Q32" i="31"/>
  <c r="O23" i="31"/>
  <c r="Q57" i="31"/>
  <c r="Q33" i="31"/>
  <c r="Q59" i="31"/>
  <c r="Q64" i="31"/>
  <c r="Q66" i="31"/>
  <c r="Q48" i="31"/>
  <c r="Q50" i="31"/>
  <c r="Q47" i="31"/>
  <c r="Q68" i="31"/>
  <c r="Q40" i="31"/>
  <c r="Q67" i="31"/>
  <c r="P70" i="31"/>
  <c r="Q61" i="26"/>
  <c r="Q61" i="28" s="1"/>
  <c r="Q62" i="23"/>
  <c r="P33" i="26"/>
  <c r="P23" i="10"/>
  <c r="P23" i="33" s="1"/>
  <c r="P25" i="23"/>
  <c r="N66" i="29"/>
  <c r="N66" i="27"/>
  <c r="O28" i="26"/>
  <c r="O28" i="28" s="1"/>
  <c r="O26" i="28"/>
  <c r="P37" i="26"/>
  <c r="P37" i="28" s="1"/>
  <c r="P53" i="10"/>
  <c r="P53" i="33" s="1"/>
  <c r="P55" i="23"/>
  <c r="Q70" i="18"/>
  <c r="Q70" i="21"/>
  <c r="R64" i="10"/>
  <c r="R64" i="33" s="1"/>
  <c r="Q52" i="10"/>
  <c r="Q52" i="33" s="1"/>
  <c r="Q49" i="23"/>
  <c r="R66" i="10"/>
  <c r="Q51" i="23"/>
  <c r="Q69" i="18"/>
  <c r="Q69" i="21"/>
  <c r="Q61" i="18"/>
  <c r="Q60" i="25"/>
  <c r="Q61" i="21"/>
  <c r="P33" i="25"/>
  <c r="P25" i="18"/>
  <c r="P23" i="13"/>
  <c r="P25" i="21"/>
  <c r="O34" i="25"/>
  <c r="O26" i="18"/>
  <c r="O76" i="18" s="1"/>
  <c r="O78" i="18" s="1"/>
  <c r="O26" i="21"/>
  <c r="P14" i="13"/>
  <c r="P15" i="13"/>
  <c r="O6" i="25"/>
  <c r="Q69" i="10"/>
  <c r="Q69" i="33" s="1"/>
  <c r="Q67" i="23"/>
  <c r="Q49" i="18"/>
  <c r="R64" i="13"/>
  <c r="Q52" i="13"/>
  <c r="Q49" i="21"/>
  <c r="P63" i="26"/>
  <c r="P63" i="27" s="1"/>
  <c r="P73" i="23"/>
  <c r="P53" i="26"/>
  <c r="P53" i="28" s="1"/>
  <c r="P35" i="10"/>
  <c r="P35" i="33" s="1"/>
  <c r="P37" i="23"/>
  <c r="P25" i="26"/>
  <c r="P25" i="28" s="1"/>
  <c r="P23" i="28"/>
  <c r="P24" i="27"/>
  <c r="P24" i="29"/>
  <c r="O54" i="27"/>
  <c r="O54" i="29"/>
  <c r="O65" i="25"/>
  <c r="O55" i="25"/>
  <c r="R65" i="10"/>
  <c r="Q50" i="23"/>
  <c r="O21" i="27"/>
  <c r="O21" i="29"/>
  <c r="P37" i="25"/>
  <c r="P55" i="18"/>
  <c r="P53" i="13"/>
  <c r="P55" i="21"/>
  <c r="P61" i="29"/>
  <c r="P61" i="27"/>
  <c r="R67" i="10"/>
  <c r="Q52" i="23"/>
  <c r="Q34" i="10"/>
  <c r="Q34" i="33" s="1"/>
  <c r="Q35" i="23"/>
  <c r="Q35" i="18"/>
  <c r="Q34" i="13"/>
  <c r="Q35" i="21"/>
  <c r="P59" i="27"/>
  <c r="P59" i="29"/>
  <c r="Q71" i="18"/>
  <c r="Q71" i="21"/>
  <c r="O27" i="27"/>
  <c r="O27" i="29"/>
  <c r="O34" i="26"/>
  <c r="O34" i="28" s="1"/>
  <c r="O26" i="23"/>
  <c r="O6" i="26"/>
  <c r="O6" i="28" s="1"/>
  <c r="P14" i="10"/>
  <c r="P14" i="33" s="1"/>
  <c r="P15" i="10"/>
  <c r="P15" i="33" s="1"/>
  <c r="P25" i="25"/>
  <c r="P23" i="29"/>
  <c r="P23" i="27"/>
  <c r="Q60" i="18"/>
  <c r="Q59" i="25"/>
  <c r="Q60" i="21"/>
  <c r="Q36" i="18"/>
  <c r="Q36" i="21"/>
  <c r="R58" i="10"/>
  <c r="R58" i="33" s="1"/>
  <c r="R47" i="10"/>
  <c r="R47" i="33" s="1"/>
  <c r="Q43" i="23"/>
  <c r="P73" i="18"/>
  <c r="Q67" i="18"/>
  <c r="Q69" i="13"/>
  <c r="Q67" i="21"/>
  <c r="P52" i="29"/>
  <c r="P52" i="27"/>
  <c r="O64" i="27"/>
  <c r="O64" i="29"/>
  <c r="O65" i="26"/>
  <c r="O55" i="26"/>
  <c r="O55" i="28" s="1"/>
  <c r="O54" i="28"/>
  <c r="R58" i="13"/>
  <c r="R47" i="13"/>
  <c r="Q43" i="18"/>
  <c r="Q43" i="21"/>
  <c r="R67" i="13"/>
  <c r="Q52" i="18"/>
  <c r="Q52" i="21"/>
  <c r="P35" i="13"/>
  <c r="P37" i="18"/>
  <c r="P53" i="25"/>
  <c r="P37" i="21"/>
  <c r="O28" i="25"/>
  <c r="O26" i="27"/>
  <c r="O26" i="29"/>
  <c r="R68" i="10"/>
  <c r="Q53" i="23"/>
  <c r="Q62" i="18"/>
  <c r="Q61" i="25"/>
  <c r="Q62" i="21"/>
  <c r="Q60" i="26"/>
  <c r="Q60" i="28" s="1"/>
  <c r="Q61" i="23"/>
  <c r="O25" i="29"/>
  <c r="O25" i="27"/>
  <c r="Q50" i="18"/>
  <c r="R65" i="13"/>
  <c r="Q50" i="21"/>
  <c r="Q51" i="18"/>
  <c r="R66" i="13"/>
  <c r="Q51" i="21"/>
  <c r="N28" i="27"/>
  <c r="N28" i="29"/>
  <c r="N67" i="27"/>
  <c r="N67" i="29"/>
  <c r="O40" i="25"/>
  <c r="O33" i="29"/>
  <c r="O33" i="27"/>
  <c r="O40" i="26"/>
  <c r="O33" i="28"/>
  <c r="Q53" i="18"/>
  <c r="R68" i="13"/>
  <c r="Q53" i="21"/>
  <c r="Q59" i="26"/>
  <c r="Q59" i="28" s="1"/>
  <c r="Q60" i="23"/>
  <c r="P63" i="29"/>
  <c r="P64" i="25"/>
  <c r="R71" i="23" l="1"/>
  <c r="R68" i="33"/>
  <c r="R68" i="23"/>
  <c r="R65" i="33"/>
  <c r="R69" i="23"/>
  <c r="R66" i="33"/>
  <c r="R70" i="23"/>
  <c r="R67" i="33"/>
  <c r="R65" i="32"/>
  <c r="R67" i="32"/>
  <c r="R58" i="32"/>
  <c r="P53" i="32"/>
  <c r="P14" i="32"/>
  <c r="R68" i="32"/>
  <c r="R66" i="32"/>
  <c r="P35" i="32"/>
  <c r="Q69" i="32"/>
  <c r="Q52" i="32"/>
  <c r="P23" i="32"/>
  <c r="R64" i="32"/>
  <c r="R47" i="32"/>
  <c r="Q34" i="32"/>
  <c r="P15" i="32"/>
  <c r="R65" i="31"/>
  <c r="R67" i="31"/>
  <c r="R58" i="31"/>
  <c r="P53" i="31"/>
  <c r="P14" i="31"/>
  <c r="R68" i="31"/>
  <c r="R66" i="31"/>
  <c r="P35" i="31"/>
  <c r="Q69" i="31"/>
  <c r="Q52" i="31"/>
  <c r="P23" i="31"/>
  <c r="R64" i="31"/>
  <c r="R47" i="31"/>
  <c r="Q34" i="31"/>
  <c r="P15" i="31"/>
  <c r="O40" i="29"/>
  <c r="O40" i="27"/>
  <c r="O41" i="25"/>
  <c r="Q61" i="27"/>
  <c r="Q61" i="29"/>
  <c r="Q15" i="10"/>
  <c r="Q15" i="33" s="1"/>
  <c r="Q27" i="10"/>
  <c r="Q27" i="33" s="1"/>
  <c r="P19" i="26"/>
  <c r="Q19" i="10"/>
  <c r="Q19" i="33" s="1"/>
  <c r="P6" i="26"/>
  <c r="P6" i="28" s="1"/>
  <c r="Q14" i="10"/>
  <c r="Q14" i="33" s="1"/>
  <c r="P17" i="23"/>
  <c r="P17" i="18"/>
  <c r="P19" i="25"/>
  <c r="Q27" i="13"/>
  <c r="Q15" i="13"/>
  <c r="Q19" i="13"/>
  <c r="Q14" i="13"/>
  <c r="P6" i="25"/>
  <c r="P17" i="21"/>
  <c r="Q37" i="26"/>
  <c r="Q37" i="28" s="1"/>
  <c r="Q53" i="10"/>
  <c r="Q53" i="33" s="1"/>
  <c r="Q55" i="23"/>
  <c r="P34" i="26"/>
  <c r="P34" i="28" s="1"/>
  <c r="P26" i="23"/>
  <c r="O41" i="26"/>
  <c r="O41" i="28" s="1"/>
  <c r="O40" i="28"/>
  <c r="R68" i="18"/>
  <c r="R68" i="21"/>
  <c r="S65" i="13"/>
  <c r="R50" i="18"/>
  <c r="R50" i="21"/>
  <c r="R60" i="26"/>
  <c r="R60" i="28" s="1"/>
  <c r="R61" i="23"/>
  <c r="R71" i="18"/>
  <c r="R71" i="21"/>
  <c r="R69" i="18"/>
  <c r="R69" i="21"/>
  <c r="O28" i="27"/>
  <c r="O28" i="29"/>
  <c r="P54" i="25"/>
  <c r="P38" i="18"/>
  <c r="P38" i="21"/>
  <c r="R60" i="25"/>
  <c r="R61" i="18"/>
  <c r="R61" i="21"/>
  <c r="Q59" i="29"/>
  <c r="Q59" i="27"/>
  <c r="P25" i="27"/>
  <c r="P25" i="29"/>
  <c r="Q53" i="26"/>
  <c r="Q53" i="28" s="1"/>
  <c r="Q37" i="23"/>
  <c r="P37" i="27"/>
  <c r="P37" i="29"/>
  <c r="R67" i="18"/>
  <c r="R69" i="13"/>
  <c r="R67" i="21"/>
  <c r="O6" i="29"/>
  <c r="O6" i="27"/>
  <c r="P53" i="27"/>
  <c r="P53" i="29"/>
  <c r="S65" i="10"/>
  <c r="R50" i="23"/>
  <c r="P38" i="25"/>
  <c r="P56" i="18"/>
  <c r="P56" i="21"/>
  <c r="Q39" i="13"/>
  <c r="Q41" i="13"/>
  <c r="O65" i="27"/>
  <c r="O65" i="29"/>
  <c r="O66" i="25"/>
  <c r="O67" i="25"/>
  <c r="P54" i="26"/>
  <c r="P38" i="23"/>
  <c r="R70" i="18"/>
  <c r="R70" i="21"/>
  <c r="O66" i="26"/>
  <c r="O66" i="28" s="1"/>
  <c r="O65" i="28"/>
  <c r="O67" i="26"/>
  <c r="O67" i="28" s="1"/>
  <c r="Q55" i="18"/>
  <c r="Q37" i="25"/>
  <c r="Q53" i="13"/>
  <c r="Q55" i="21"/>
  <c r="Q62" i="26"/>
  <c r="Q62" i="28" s="1"/>
  <c r="Q70" i="10"/>
  <c r="Q70" i="33" s="1"/>
  <c r="Q72" i="23"/>
  <c r="P26" i="18"/>
  <c r="P34" i="25"/>
  <c r="P26" i="21"/>
  <c r="Q60" i="29"/>
  <c r="Q60" i="27"/>
  <c r="R69" i="10"/>
  <c r="R69" i="33" s="1"/>
  <c r="R67" i="23"/>
  <c r="P38" i="26"/>
  <c r="P38" i="28" s="1"/>
  <c r="P56" i="23"/>
  <c r="Q41" i="10"/>
  <c r="Q41" i="33" s="1"/>
  <c r="Q39" i="10"/>
  <c r="Q39" i="33" s="1"/>
  <c r="P40" i="26"/>
  <c r="P33" i="28"/>
  <c r="P64" i="29"/>
  <c r="Q72" i="18"/>
  <c r="Q70" i="13"/>
  <c r="Q62" i="25"/>
  <c r="Q72" i="21"/>
  <c r="P20" i="26"/>
  <c r="Q28" i="10"/>
  <c r="Q20" i="10"/>
  <c r="Q20" i="33" s="1"/>
  <c r="P18" i="23"/>
  <c r="Q53" i="25"/>
  <c r="Q37" i="18"/>
  <c r="Q37" i="21"/>
  <c r="O55" i="29"/>
  <c r="O55" i="27"/>
  <c r="P64" i="26"/>
  <c r="P64" i="28" s="1"/>
  <c r="P63" i="28"/>
  <c r="Q20" i="13"/>
  <c r="Q28" i="13"/>
  <c r="P20" i="25"/>
  <c r="P18" i="18"/>
  <c r="P18" i="21"/>
  <c r="O34" i="29"/>
  <c r="O34" i="27"/>
  <c r="P40" i="25"/>
  <c r="P33" i="27"/>
  <c r="P33" i="29"/>
  <c r="S68" i="23" l="1"/>
  <c r="S65" i="33"/>
  <c r="Q31" i="23"/>
  <c r="Q28" i="33"/>
  <c r="Q39" i="32"/>
  <c r="Q27" i="32"/>
  <c r="Q70" i="32"/>
  <c r="Q53" i="32"/>
  <c r="S65" i="32"/>
  <c r="Q14" i="32"/>
  <c r="Q28" i="32"/>
  <c r="Q19" i="32"/>
  <c r="Q20" i="32"/>
  <c r="Q41" i="32"/>
  <c r="R69" i="32"/>
  <c r="Q15" i="32"/>
  <c r="Q70" i="31"/>
  <c r="Q53" i="31"/>
  <c r="S65" i="31"/>
  <c r="Q14" i="31"/>
  <c r="Q28" i="31"/>
  <c r="Q19" i="31"/>
  <c r="Q20" i="31"/>
  <c r="Q41" i="31"/>
  <c r="R69" i="31"/>
  <c r="P76" i="21"/>
  <c r="P78" i="21" s="1"/>
  <c r="Q15" i="31"/>
  <c r="P76" i="23"/>
  <c r="P78" i="23" s="1"/>
  <c r="P76" i="18"/>
  <c r="P78" i="18" s="1"/>
  <c r="Q39" i="31"/>
  <c r="Q27" i="31"/>
  <c r="Q31" i="18"/>
  <c r="Q31" i="21"/>
  <c r="Q35" i="13"/>
  <c r="Q73" i="18"/>
  <c r="Q63" i="25"/>
  <c r="Q73" i="21"/>
  <c r="R40" i="13"/>
  <c r="R57" i="13"/>
  <c r="R46" i="13"/>
  <c r="Q42" i="18"/>
  <c r="Q23" i="25"/>
  <c r="R39" i="13"/>
  <c r="Q42" i="21"/>
  <c r="Q18" i="18"/>
  <c r="R20" i="13"/>
  <c r="Q20" i="25"/>
  <c r="R28" i="13"/>
  <c r="Q18" i="21"/>
  <c r="P21" i="26"/>
  <c r="P21" i="28" s="1"/>
  <c r="P26" i="26"/>
  <c r="P19" i="28"/>
  <c r="P27" i="26"/>
  <c r="P27" i="28" s="1"/>
  <c r="P20" i="28"/>
  <c r="Q38" i="25"/>
  <c r="Q56" i="18"/>
  <c r="Q56" i="21"/>
  <c r="P6" i="27"/>
  <c r="P6" i="29"/>
  <c r="Q52" i="25"/>
  <c r="Q30" i="18"/>
  <c r="Q30" i="21"/>
  <c r="Q52" i="26"/>
  <c r="Q52" i="28" s="1"/>
  <c r="Q30" i="23"/>
  <c r="P40" i="29"/>
  <c r="P40" i="27"/>
  <c r="P41" i="25"/>
  <c r="R46" i="10"/>
  <c r="R46" i="33" s="1"/>
  <c r="R57" i="10"/>
  <c r="R57" i="33" s="1"/>
  <c r="R40" i="10"/>
  <c r="R40" i="33" s="1"/>
  <c r="Q23" i="26"/>
  <c r="R39" i="10"/>
  <c r="R39" i="33" s="1"/>
  <c r="Q42" i="23"/>
  <c r="Q63" i="26"/>
  <c r="Q73" i="23"/>
  <c r="Q37" i="29"/>
  <c r="Q37" i="27"/>
  <c r="P55" i="26"/>
  <c r="P55" i="28" s="1"/>
  <c r="P65" i="26"/>
  <c r="P54" i="28"/>
  <c r="S68" i="18"/>
  <c r="S68" i="21"/>
  <c r="Q38" i="26"/>
  <c r="Q38" i="28" s="1"/>
  <c r="Q56" i="23"/>
  <c r="Q19" i="25"/>
  <c r="Q17" i="18"/>
  <c r="R19" i="13"/>
  <c r="R27" i="13"/>
  <c r="Q17" i="21"/>
  <c r="P26" i="25"/>
  <c r="P19" i="29"/>
  <c r="P19" i="27"/>
  <c r="P21" i="25"/>
  <c r="Q20" i="26"/>
  <c r="R28" i="10"/>
  <c r="R20" i="10"/>
  <c r="R20" i="33" s="1"/>
  <c r="Q18" i="23"/>
  <c r="O66" i="27"/>
  <c r="O66" i="29"/>
  <c r="R60" i="27"/>
  <c r="R60" i="29"/>
  <c r="R50" i="13"/>
  <c r="R33" i="13"/>
  <c r="Q23" i="18"/>
  <c r="Q23" i="21"/>
  <c r="Q53" i="29"/>
  <c r="Q53" i="27"/>
  <c r="P41" i="26"/>
  <c r="P41" i="28" s="1"/>
  <c r="P40" i="28"/>
  <c r="Q35" i="10"/>
  <c r="Q35" i="33" s="1"/>
  <c r="R27" i="10"/>
  <c r="R27" i="33" s="1"/>
  <c r="Q19" i="26"/>
  <c r="R19" i="10"/>
  <c r="R19" i="33" s="1"/>
  <c r="Q17" i="23"/>
  <c r="O41" i="29"/>
  <c r="O41" i="27"/>
  <c r="P20" i="27"/>
  <c r="P20" i="29"/>
  <c r="P27" i="25"/>
  <c r="R50" i="10"/>
  <c r="R50" i="33" s="1"/>
  <c r="R33" i="10"/>
  <c r="Q23" i="23"/>
  <c r="Q62" i="27"/>
  <c r="Q62" i="29"/>
  <c r="P64" i="27"/>
  <c r="R49" i="10"/>
  <c r="R49" i="33" s="1"/>
  <c r="Q24" i="26"/>
  <c r="Q24" i="28" s="1"/>
  <c r="R59" i="10"/>
  <c r="R59" i="33" s="1"/>
  <c r="Q44" i="23"/>
  <c r="R41" i="10"/>
  <c r="R41" i="33" s="1"/>
  <c r="R62" i="26"/>
  <c r="R62" i="28" s="1"/>
  <c r="R72" i="23"/>
  <c r="P34" i="29"/>
  <c r="P34" i="27"/>
  <c r="O67" i="29"/>
  <c r="O67" i="27"/>
  <c r="R49" i="13"/>
  <c r="Q44" i="18"/>
  <c r="Q24" i="25"/>
  <c r="R59" i="13"/>
  <c r="Q44" i="21"/>
  <c r="R41" i="13"/>
  <c r="P38" i="29"/>
  <c r="P38" i="27"/>
  <c r="R72" i="18"/>
  <c r="R62" i="25"/>
  <c r="R72" i="21"/>
  <c r="P54" i="27"/>
  <c r="P54" i="29"/>
  <c r="P55" i="25"/>
  <c r="P65" i="25"/>
  <c r="Q22" i="18"/>
  <c r="Q22" i="13"/>
  <c r="R32" i="13"/>
  <c r="R48" i="13"/>
  <c r="Q22" i="21"/>
  <c r="R48" i="10"/>
  <c r="R48" i="33" s="1"/>
  <c r="R32" i="10"/>
  <c r="R32" i="33" s="1"/>
  <c r="Q22" i="10"/>
  <c r="Q22" i="33" s="1"/>
  <c r="Q22" i="23"/>
  <c r="R31" i="23" l="1"/>
  <c r="R28" i="33"/>
  <c r="R36" i="23"/>
  <c r="R33" i="33"/>
  <c r="R59" i="32"/>
  <c r="R27" i="32"/>
  <c r="R28" i="32"/>
  <c r="R46" i="32"/>
  <c r="R48" i="32"/>
  <c r="R33" i="32"/>
  <c r="R19" i="32"/>
  <c r="R39" i="32"/>
  <c r="R57" i="32"/>
  <c r="R32" i="32"/>
  <c r="R41" i="32"/>
  <c r="R50" i="32"/>
  <c r="R20" i="32"/>
  <c r="R40" i="32"/>
  <c r="Q35" i="32"/>
  <c r="Q22" i="32"/>
  <c r="R49" i="32"/>
  <c r="R59" i="31"/>
  <c r="R27" i="31"/>
  <c r="R28" i="31"/>
  <c r="R46" i="31"/>
  <c r="R48" i="31"/>
  <c r="R33" i="31"/>
  <c r="R19" i="31"/>
  <c r="R39" i="31"/>
  <c r="R57" i="31"/>
  <c r="R32" i="31"/>
  <c r="R41" i="31"/>
  <c r="R50" i="31"/>
  <c r="R20" i="31"/>
  <c r="R40" i="31"/>
  <c r="Q35" i="31"/>
  <c r="Q22" i="31"/>
  <c r="R49" i="31"/>
  <c r="S66" i="13"/>
  <c r="R51" i="18"/>
  <c r="R51" i="21"/>
  <c r="S33" i="10"/>
  <c r="S50" i="10"/>
  <c r="S50" i="33" s="1"/>
  <c r="R23" i="23"/>
  <c r="Q25" i="26"/>
  <c r="Q25" i="28" s="1"/>
  <c r="Q23" i="28"/>
  <c r="P41" i="27"/>
  <c r="P41" i="29"/>
  <c r="Q38" i="27"/>
  <c r="Q38" i="29"/>
  <c r="P28" i="26"/>
  <c r="P28" i="28" s="1"/>
  <c r="P26" i="28"/>
  <c r="Q20" i="27"/>
  <c r="Q27" i="25"/>
  <c r="Q20" i="29"/>
  <c r="R59" i="25"/>
  <c r="R60" i="18"/>
  <c r="R60" i="21"/>
  <c r="R34" i="10"/>
  <c r="R34" i="33" s="1"/>
  <c r="R35" i="23"/>
  <c r="P55" i="27"/>
  <c r="P55" i="29"/>
  <c r="R61" i="26"/>
  <c r="R61" i="28" s="1"/>
  <c r="R62" i="23"/>
  <c r="S68" i="10"/>
  <c r="R53" i="23"/>
  <c r="R52" i="26"/>
  <c r="R52" i="28" s="1"/>
  <c r="R30" i="23"/>
  <c r="R36" i="18"/>
  <c r="R36" i="21"/>
  <c r="Q64" i="26"/>
  <c r="Q64" i="28" s="1"/>
  <c r="Q63" i="28"/>
  <c r="Q54" i="25"/>
  <c r="Q38" i="18"/>
  <c r="Q38" i="21"/>
  <c r="S66" i="10"/>
  <c r="R51" i="23"/>
  <c r="Q33" i="25"/>
  <c r="Q25" i="18"/>
  <c r="Q23" i="13"/>
  <c r="Q25" i="21"/>
  <c r="R70" i="13"/>
  <c r="S59" i="13"/>
  <c r="S49" i="13"/>
  <c r="R24" i="25"/>
  <c r="R44" i="18"/>
  <c r="R44" i="21"/>
  <c r="R70" i="10"/>
  <c r="R70" i="33" s="1"/>
  <c r="P27" i="27"/>
  <c r="P27" i="29"/>
  <c r="R22" i="10"/>
  <c r="R22" i="33" s="1"/>
  <c r="S48" i="10"/>
  <c r="S48" i="33" s="1"/>
  <c r="S32" i="10"/>
  <c r="S32" i="33" s="1"/>
  <c r="R22" i="23"/>
  <c r="Q54" i="26"/>
  <c r="Q38" i="23"/>
  <c r="S68" i="13"/>
  <c r="R53" i="18"/>
  <c r="R53" i="21"/>
  <c r="Q27" i="26"/>
  <c r="Q27" i="28" s="1"/>
  <c r="Q20" i="28"/>
  <c r="P28" i="25"/>
  <c r="P26" i="27"/>
  <c r="P26" i="29"/>
  <c r="R30" i="18"/>
  <c r="R52" i="25"/>
  <c r="R30" i="21"/>
  <c r="Q19" i="27"/>
  <c r="Q26" i="25"/>
  <c r="Q21" i="25"/>
  <c r="Q19" i="29"/>
  <c r="R59" i="26"/>
  <c r="R59" i="28" s="1"/>
  <c r="R60" i="23"/>
  <c r="Q33" i="26"/>
  <c r="Q23" i="10"/>
  <c r="Q23" i="33" s="1"/>
  <c r="Q25" i="23"/>
  <c r="P65" i="27"/>
  <c r="P65" i="29"/>
  <c r="P66" i="25"/>
  <c r="P67" i="25"/>
  <c r="R61" i="25"/>
  <c r="R62" i="18"/>
  <c r="R62" i="21"/>
  <c r="P66" i="26"/>
  <c r="P66" i="28" s="1"/>
  <c r="P65" i="28"/>
  <c r="P67" i="26"/>
  <c r="P67" i="28" s="1"/>
  <c r="S40" i="13"/>
  <c r="R42" i="18"/>
  <c r="S46" i="13"/>
  <c r="S57" i="13"/>
  <c r="R23" i="25"/>
  <c r="R42" i="21"/>
  <c r="R35" i="18"/>
  <c r="R34" i="13"/>
  <c r="R35" i="21"/>
  <c r="R62" i="29"/>
  <c r="R62" i="27"/>
  <c r="Q24" i="27"/>
  <c r="Q24" i="29"/>
  <c r="S58" i="10"/>
  <c r="S58" i="33" s="1"/>
  <c r="S47" i="10"/>
  <c r="S47" i="33" s="1"/>
  <c r="R43" i="23"/>
  <c r="R23" i="18"/>
  <c r="S50" i="13"/>
  <c r="S33" i="13"/>
  <c r="R23" i="21"/>
  <c r="Q25" i="25"/>
  <c r="Q23" i="27"/>
  <c r="Q23" i="29"/>
  <c r="R43" i="18"/>
  <c r="S58" i="13"/>
  <c r="S47" i="13"/>
  <c r="R43" i="21"/>
  <c r="R52" i="18"/>
  <c r="S67" i="13"/>
  <c r="R52" i="21"/>
  <c r="S59" i="10"/>
  <c r="S59" i="33" s="1"/>
  <c r="S49" i="10"/>
  <c r="S49" i="33" s="1"/>
  <c r="R24" i="26"/>
  <c r="R24" i="28" s="1"/>
  <c r="R44" i="23"/>
  <c r="S67" i="10"/>
  <c r="R52" i="23"/>
  <c r="Q76" i="23"/>
  <c r="Q78" i="23" s="1"/>
  <c r="Q21" i="26"/>
  <c r="Q21" i="28" s="1"/>
  <c r="Q26" i="26"/>
  <c r="Q19" i="28"/>
  <c r="P21" i="27"/>
  <c r="P21" i="29"/>
  <c r="Q76" i="21"/>
  <c r="Q78" i="21" s="1"/>
  <c r="S32" i="13"/>
  <c r="R22" i="18"/>
  <c r="S48" i="13"/>
  <c r="R22" i="13"/>
  <c r="R22" i="21"/>
  <c r="S46" i="10"/>
  <c r="S46" i="33" s="1"/>
  <c r="S40" i="10"/>
  <c r="S40" i="33" s="1"/>
  <c r="S57" i="10"/>
  <c r="S57" i="33" s="1"/>
  <c r="R23" i="26"/>
  <c r="R42" i="23"/>
  <c r="R52" i="10"/>
  <c r="R52" i="33" s="1"/>
  <c r="S64" i="10"/>
  <c r="S64" i="33" s="1"/>
  <c r="R49" i="23"/>
  <c r="Q52" i="27"/>
  <c r="Q52" i="29"/>
  <c r="R31" i="18"/>
  <c r="R31" i="21"/>
  <c r="S64" i="13"/>
  <c r="R49" i="18"/>
  <c r="R52" i="13"/>
  <c r="R49" i="21"/>
  <c r="Q63" i="27"/>
  <c r="Q63" i="29"/>
  <c r="Q64" i="25"/>
  <c r="S69" i="23" l="1"/>
  <c r="S66" i="33"/>
  <c r="S36" i="23"/>
  <c r="S33" i="33"/>
  <c r="S70" i="23"/>
  <c r="S67" i="33"/>
  <c r="S71" i="23"/>
  <c r="S68" i="33"/>
  <c r="S64" i="32"/>
  <c r="S67" i="32"/>
  <c r="S58" i="32"/>
  <c r="S40" i="32"/>
  <c r="S59" i="32"/>
  <c r="S66" i="32"/>
  <c r="S32" i="32"/>
  <c r="R34" i="32"/>
  <c r="S57" i="32"/>
  <c r="R70" i="32"/>
  <c r="R52" i="32"/>
  <c r="R22" i="32"/>
  <c r="S33" i="32"/>
  <c r="S46" i="32"/>
  <c r="S68" i="32"/>
  <c r="S48" i="32"/>
  <c r="S47" i="32"/>
  <c r="S50" i="32"/>
  <c r="S49" i="32"/>
  <c r="Q23" i="32"/>
  <c r="S48" i="31"/>
  <c r="S47" i="31"/>
  <c r="S50" i="31"/>
  <c r="S49" i="31"/>
  <c r="Q23" i="31"/>
  <c r="S64" i="31"/>
  <c r="S67" i="31"/>
  <c r="S58" i="31"/>
  <c r="S40" i="31"/>
  <c r="S59" i="31"/>
  <c r="S66" i="31"/>
  <c r="S32" i="31"/>
  <c r="R34" i="31"/>
  <c r="S57" i="31"/>
  <c r="R70" i="31"/>
  <c r="R52" i="31"/>
  <c r="R22" i="31"/>
  <c r="S33" i="31"/>
  <c r="S46" i="31"/>
  <c r="S68" i="31"/>
  <c r="S70" i="18"/>
  <c r="S70" i="21"/>
  <c r="S53" i="18"/>
  <c r="T68" i="13"/>
  <c r="S53" i="21"/>
  <c r="S60" i="18"/>
  <c r="S59" i="25"/>
  <c r="S60" i="21"/>
  <c r="Q40" i="26"/>
  <c r="Q33" i="28"/>
  <c r="R52" i="29"/>
  <c r="R52" i="27"/>
  <c r="R25" i="26"/>
  <c r="R25" i="28" s="1"/>
  <c r="R23" i="28"/>
  <c r="S35" i="18"/>
  <c r="S34" i="13"/>
  <c r="S35" i="21"/>
  <c r="S52" i="13"/>
  <c r="T64" i="13"/>
  <c r="S49" i="18"/>
  <c r="S49" i="21"/>
  <c r="Q28" i="25"/>
  <c r="Q26" i="27"/>
  <c r="Q26" i="29"/>
  <c r="S71" i="18"/>
  <c r="S71" i="21"/>
  <c r="R37" i="26"/>
  <c r="R37" i="28" s="1"/>
  <c r="R53" i="10"/>
  <c r="R53" i="33" s="1"/>
  <c r="R55" i="23"/>
  <c r="S59" i="26"/>
  <c r="S59" i="28" s="1"/>
  <c r="S60" i="23"/>
  <c r="R25" i="18"/>
  <c r="R33" i="25"/>
  <c r="R23" i="13"/>
  <c r="R25" i="21"/>
  <c r="Q28" i="26"/>
  <c r="Q28" i="28" s="1"/>
  <c r="Q26" i="28"/>
  <c r="S61" i="26"/>
  <c r="S61" i="28" s="1"/>
  <c r="S62" i="23"/>
  <c r="P67" i="29"/>
  <c r="P67" i="27"/>
  <c r="T66" i="10"/>
  <c r="S51" i="23"/>
  <c r="R63" i="26"/>
  <c r="R73" i="23"/>
  <c r="T67" i="13"/>
  <c r="S52" i="18"/>
  <c r="S52" i="21"/>
  <c r="Q34" i="25"/>
  <c r="Q26" i="18"/>
  <c r="Q76" i="18" s="1"/>
  <c r="Q78" i="18" s="1"/>
  <c r="Q26" i="21"/>
  <c r="R14" i="13"/>
  <c r="Q6" i="25"/>
  <c r="R15" i="13"/>
  <c r="R59" i="29"/>
  <c r="R59" i="27"/>
  <c r="T64" i="10"/>
  <c r="T64" i="33" s="1"/>
  <c r="S52" i="10"/>
  <c r="S52" i="33" s="1"/>
  <c r="S49" i="23"/>
  <c r="S61" i="18"/>
  <c r="S60" i="25"/>
  <c r="S61" i="21"/>
  <c r="T65" i="10"/>
  <c r="S50" i="23"/>
  <c r="Q21" i="27"/>
  <c r="Q21" i="29"/>
  <c r="P28" i="29"/>
  <c r="P28" i="27"/>
  <c r="R63" i="25"/>
  <c r="R73" i="18"/>
  <c r="R73" i="21"/>
  <c r="Q33" i="29"/>
  <c r="Q33" i="27"/>
  <c r="Q40" i="25"/>
  <c r="Q27" i="27"/>
  <c r="Q27" i="29"/>
  <c r="Q64" i="27"/>
  <c r="Q64" i="29"/>
  <c r="R55" i="18"/>
  <c r="R37" i="25"/>
  <c r="R53" i="13"/>
  <c r="R55" i="21"/>
  <c r="S69" i="10"/>
  <c r="S69" i="33" s="1"/>
  <c r="S67" i="23"/>
  <c r="T67" i="10"/>
  <c r="S52" i="23"/>
  <c r="Q25" i="27"/>
  <c r="Q25" i="29"/>
  <c r="S60" i="26"/>
  <c r="S60" i="28" s="1"/>
  <c r="S61" i="23"/>
  <c r="R61" i="27"/>
  <c r="R61" i="29"/>
  <c r="S34" i="10"/>
  <c r="S34" i="33" s="1"/>
  <c r="S35" i="23"/>
  <c r="R24" i="29"/>
  <c r="R24" i="27"/>
  <c r="Q54" i="29"/>
  <c r="Q54" i="27"/>
  <c r="Q55" i="25"/>
  <c r="Q65" i="25"/>
  <c r="S67" i="18"/>
  <c r="S69" i="13"/>
  <c r="S67" i="21"/>
  <c r="T47" i="10"/>
  <c r="T47" i="33" s="1"/>
  <c r="T58" i="10"/>
  <c r="T58" i="33" s="1"/>
  <c r="S43" i="23"/>
  <c r="S51" i="18"/>
  <c r="T66" i="13"/>
  <c r="S51" i="21"/>
  <c r="T65" i="13"/>
  <c r="S50" i="18"/>
  <c r="S50" i="21"/>
  <c r="S36" i="18"/>
  <c r="S36" i="21"/>
  <c r="R53" i="25"/>
  <c r="R37" i="18"/>
  <c r="R35" i="13"/>
  <c r="R37" i="21"/>
  <c r="R23" i="29"/>
  <c r="R25" i="25"/>
  <c r="R23" i="27"/>
  <c r="T58" i="13"/>
  <c r="T47" i="13"/>
  <c r="S43" i="18"/>
  <c r="S43" i="21"/>
  <c r="P66" i="27"/>
  <c r="P66" i="29"/>
  <c r="Q34" i="26"/>
  <c r="Q34" i="28" s="1"/>
  <c r="Q26" i="23"/>
  <c r="R14" i="10"/>
  <c r="R14" i="33" s="1"/>
  <c r="R15" i="10"/>
  <c r="R15" i="33" s="1"/>
  <c r="Q6" i="26"/>
  <c r="Q6" i="28" s="1"/>
  <c r="Q55" i="26"/>
  <c r="Q55" i="28" s="1"/>
  <c r="Q65" i="26"/>
  <c r="Q54" i="28"/>
  <c r="R33" i="26"/>
  <c r="R23" i="10"/>
  <c r="R23" i="33" s="1"/>
  <c r="R25" i="23"/>
  <c r="S62" i="18"/>
  <c r="S61" i="25"/>
  <c r="S62" i="21"/>
  <c r="R53" i="26"/>
  <c r="R53" i="28" s="1"/>
  <c r="R35" i="10"/>
  <c r="R35" i="33" s="1"/>
  <c r="R37" i="23"/>
  <c r="T68" i="10"/>
  <c r="S53" i="23"/>
  <c r="S69" i="18"/>
  <c r="S69" i="21"/>
  <c r="T68" i="23" l="1"/>
  <c r="T65" i="33"/>
  <c r="T69" i="23"/>
  <c r="T66" i="33"/>
  <c r="T71" i="23"/>
  <c r="T68" i="33"/>
  <c r="T70" i="23"/>
  <c r="T67" i="33"/>
  <c r="T66" i="32"/>
  <c r="R14" i="32"/>
  <c r="S34" i="32"/>
  <c r="T68" i="32"/>
  <c r="T47" i="32"/>
  <c r="T64" i="32"/>
  <c r="T58" i="32"/>
  <c r="T65" i="32"/>
  <c r="S69" i="32"/>
  <c r="R15" i="32"/>
  <c r="T67" i="32"/>
  <c r="R23" i="32"/>
  <c r="S52" i="32"/>
  <c r="R35" i="32"/>
  <c r="R53" i="32"/>
  <c r="T66" i="31"/>
  <c r="R14" i="31"/>
  <c r="S34" i="31"/>
  <c r="T68" i="31"/>
  <c r="T47" i="31"/>
  <c r="T64" i="31"/>
  <c r="T58" i="31"/>
  <c r="T65" i="31"/>
  <c r="S69" i="31"/>
  <c r="R15" i="31"/>
  <c r="T67" i="31"/>
  <c r="R23" i="31"/>
  <c r="S52" i="31"/>
  <c r="R35" i="31"/>
  <c r="R53" i="31"/>
  <c r="S19" i="10"/>
  <c r="S19" i="33" s="1"/>
  <c r="S15" i="10"/>
  <c r="S15" i="33" s="1"/>
  <c r="S27" i="10"/>
  <c r="S27" i="33" s="1"/>
  <c r="R19" i="26"/>
  <c r="R6" i="26"/>
  <c r="R6" i="28" s="1"/>
  <c r="S14" i="10"/>
  <c r="S14" i="33" s="1"/>
  <c r="R17" i="23"/>
  <c r="Q65" i="27"/>
  <c r="Q65" i="29"/>
  <c r="Q66" i="25"/>
  <c r="Q67" i="25"/>
  <c r="R37" i="27"/>
  <c r="R37" i="29"/>
  <c r="R38" i="26"/>
  <c r="R38" i="28" s="1"/>
  <c r="R56" i="23"/>
  <c r="S41" i="10"/>
  <c r="S41" i="33" s="1"/>
  <c r="S39" i="10"/>
  <c r="S39" i="33" s="1"/>
  <c r="T71" i="18"/>
  <c r="T71" i="21"/>
  <c r="R34" i="26"/>
  <c r="R34" i="28" s="1"/>
  <c r="R26" i="23"/>
  <c r="T68" i="18"/>
  <c r="T68" i="21"/>
  <c r="S70" i="10"/>
  <c r="S70" i="33" s="1"/>
  <c r="S62" i="26"/>
  <c r="S62" i="28" s="1"/>
  <c r="S72" i="23"/>
  <c r="S59" i="29"/>
  <c r="S59" i="27"/>
  <c r="S61" i="27"/>
  <c r="S61" i="29"/>
  <c r="R40" i="26"/>
  <c r="R33" i="28"/>
  <c r="R54" i="25"/>
  <c r="R38" i="18"/>
  <c r="R38" i="21"/>
  <c r="S62" i="25"/>
  <c r="S72" i="18"/>
  <c r="S70" i="13"/>
  <c r="S72" i="21"/>
  <c r="Q40" i="29"/>
  <c r="Q40" i="27"/>
  <c r="Q41" i="25"/>
  <c r="S37" i="26"/>
  <c r="S37" i="28" s="1"/>
  <c r="S53" i="10"/>
  <c r="S53" i="33" s="1"/>
  <c r="S55" i="23"/>
  <c r="S28" i="13"/>
  <c r="S20" i="13"/>
  <c r="R20" i="25"/>
  <c r="R18" i="18"/>
  <c r="R18" i="21"/>
  <c r="T70" i="18"/>
  <c r="T70" i="21"/>
  <c r="R34" i="25"/>
  <c r="R26" i="18"/>
  <c r="R26" i="21"/>
  <c r="Q28" i="27"/>
  <c r="Q28" i="29"/>
  <c r="S55" i="18"/>
  <c r="S37" i="25"/>
  <c r="S53" i="13"/>
  <c r="S55" i="21"/>
  <c r="Q66" i="26"/>
  <c r="Q66" i="28" s="1"/>
  <c r="Q65" i="28"/>
  <c r="Q67" i="26"/>
  <c r="Q67" i="28" s="1"/>
  <c r="U65" i="13"/>
  <c r="T50" i="18"/>
  <c r="T50" i="21"/>
  <c r="R53" i="27"/>
  <c r="R53" i="29"/>
  <c r="U65" i="10"/>
  <c r="T50" i="23"/>
  <c r="R17" i="18"/>
  <c r="S15" i="13"/>
  <c r="S27" i="13"/>
  <c r="R19" i="25"/>
  <c r="S19" i="13"/>
  <c r="R6" i="25"/>
  <c r="S14" i="13"/>
  <c r="R17" i="21"/>
  <c r="R64" i="26"/>
  <c r="R64" i="28" s="1"/>
  <c r="R63" i="28"/>
  <c r="S37" i="18"/>
  <c r="S53" i="25"/>
  <c r="S37" i="21"/>
  <c r="T60" i="25"/>
  <c r="T61" i="18"/>
  <c r="T61" i="21"/>
  <c r="Q55" i="27"/>
  <c r="Q55" i="29"/>
  <c r="T67" i="18"/>
  <c r="T67" i="21"/>
  <c r="T69" i="13"/>
  <c r="R54" i="26"/>
  <c r="R38" i="23"/>
  <c r="R20" i="26"/>
  <c r="S20" i="10"/>
  <c r="S20" i="33" s="1"/>
  <c r="S28" i="10"/>
  <c r="R18" i="23"/>
  <c r="R25" i="27"/>
  <c r="R25" i="29"/>
  <c r="T69" i="18"/>
  <c r="T69" i="21"/>
  <c r="T60" i="26"/>
  <c r="T60" i="28" s="1"/>
  <c r="T61" i="23"/>
  <c r="S53" i="26"/>
  <c r="S53" i="28" s="1"/>
  <c r="S37" i="23"/>
  <c r="R38" i="25"/>
  <c r="R56" i="18"/>
  <c r="R56" i="21"/>
  <c r="S39" i="13"/>
  <c r="S41" i="13"/>
  <c r="R63" i="27"/>
  <c r="R63" i="29"/>
  <c r="R64" i="25"/>
  <c r="S60" i="29"/>
  <c r="S60" i="27"/>
  <c r="T69" i="10"/>
  <c r="T69" i="33" s="1"/>
  <c r="T67" i="23"/>
  <c r="Q6" i="27"/>
  <c r="Q6" i="29"/>
  <c r="Q34" i="29"/>
  <c r="Q34" i="27"/>
  <c r="R40" i="25"/>
  <c r="R33" i="27"/>
  <c r="R33" i="29"/>
  <c r="Q41" i="26"/>
  <c r="Q41" i="28" s="1"/>
  <c r="Q40" i="28"/>
  <c r="S31" i="23" l="1"/>
  <c r="S28" i="33"/>
  <c r="U68" i="23"/>
  <c r="U65" i="33"/>
  <c r="S41" i="32"/>
  <c r="S20" i="32"/>
  <c r="S39" i="32"/>
  <c r="S14" i="32"/>
  <c r="S27" i="32"/>
  <c r="S28" i="32"/>
  <c r="S70" i="32"/>
  <c r="S15" i="32"/>
  <c r="U65" i="32"/>
  <c r="T69" i="32"/>
  <c r="S19" i="32"/>
  <c r="S53" i="32"/>
  <c r="S14" i="31"/>
  <c r="S27" i="31"/>
  <c r="S28" i="31"/>
  <c r="S70" i="31"/>
  <c r="S41" i="31"/>
  <c r="T69" i="31"/>
  <c r="S15" i="31"/>
  <c r="U65" i="31"/>
  <c r="S39" i="31"/>
  <c r="S19" i="31"/>
  <c r="S53" i="31"/>
  <c r="S35" i="10"/>
  <c r="S35" i="13"/>
  <c r="R76" i="21"/>
  <c r="R78" i="21" s="1"/>
  <c r="S20" i="31"/>
  <c r="T57" i="13"/>
  <c r="T40" i="13"/>
  <c r="T46" i="13"/>
  <c r="S23" i="25"/>
  <c r="S42" i="18"/>
  <c r="T39" i="13"/>
  <c r="S42" i="21"/>
  <c r="R27" i="26"/>
  <c r="R27" i="28" s="1"/>
  <c r="R20" i="28"/>
  <c r="R20" i="29"/>
  <c r="R20" i="27"/>
  <c r="R27" i="25"/>
  <c r="R21" i="26"/>
  <c r="R21" i="28" s="1"/>
  <c r="R26" i="26"/>
  <c r="R19" i="28"/>
  <c r="T62" i="26"/>
  <c r="T62" i="28" s="1"/>
  <c r="T72" i="23"/>
  <c r="R21" i="25"/>
  <c r="R26" i="25"/>
  <c r="R19" i="29"/>
  <c r="R19" i="27"/>
  <c r="S23" i="18"/>
  <c r="T50" i="13"/>
  <c r="T33" i="13"/>
  <c r="S23" i="21"/>
  <c r="R76" i="23"/>
  <c r="R78" i="23" s="1"/>
  <c r="R55" i="26"/>
  <c r="R55" i="28" s="1"/>
  <c r="R65" i="26"/>
  <c r="R54" i="28"/>
  <c r="T60" i="27"/>
  <c r="T60" i="29"/>
  <c r="T27" i="13"/>
  <c r="T19" i="13"/>
  <c r="S19" i="25"/>
  <c r="S17" i="18"/>
  <c r="S17" i="21"/>
  <c r="S30" i="18"/>
  <c r="S52" i="25"/>
  <c r="S30" i="21"/>
  <c r="R76" i="18"/>
  <c r="R78" i="18" s="1"/>
  <c r="S31" i="18"/>
  <c r="S31" i="21"/>
  <c r="Q41" i="27"/>
  <c r="Q41" i="29"/>
  <c r="S63" i="25"/>
  <c r="S73" i="18"/>
  <c r="S73" i="21"/>
  <c r="Q66" i="27"/>
  <c r="Q66" i="29"/>
  <c r="S19" i="26"/>
  <c r="T27" i="10"/>
  <c r="T27" i="33" s="1"/>
  <c r="T19" i="10"/>
  <c r="T19" i="33" s="1"/>
  <c r="S17" i="23"/>
  <c r="T20" i="10"/>
  <c r="T20" i="33" s="1"/>
  <c r="T28" i="10"/>
  <c r="S20" i="26"/>
  <c r="S18" i="23"/>
  <c r="R64" i="27"/>
  <c r="R64" i="29"/>
  <c r="S53" i="27"/>
  <c r="S53" i="29"/>
  <c r="S22" i="13"/>
  <c r="S22" i="18"/>
  <c r="T32" i="13"/>
  <c r="T48" i="13"/>
  <c r="S22" i="21"/>
  <c r="S56" i="18"/>
  <c r="S38" i="25"/>
  <c r="S56" i="21"/>
  <c r="S38" i="26"/>
  <c r="S38" i="28" s="1"/>
  <c r="S56" i="23"/>
  <c r="S62" i="27"/>
  <c r="S62" i="29"/>
  <c r="S63" i="26"/>
  <c r="S73" i="23"/>
  <c r="T59" i="10"/>
  <c r="T59" i="33" s="1"/>
  <c r="S24" i="26"/>
  <c r="S24" i="28" s="1"/>
  <c r="T49" i="10"/>
  <c r="T49" i="33" s="1"/>
  <c r="S44" i="23"/>
  <c r="T41" i="10"/>
  <c r="T41" i="33" s="1"/>
  <c r="S37" i="29"/>
  <c r="S37" i="27"/>
  <c r="R41" i="26"/>
  <c r="R41" i="28" s="1"/>
  <c r="R40" i="28"/>
  <c r="Q67" i="29"/>
  <c r="Q67" i="27"/>
  <c r="S52" i="26"/>
  <c r="S52" i="28" s="1"/>
  <c r="S30" i="23"/>
  <c r="R40" i="27"/>
  <c r="R40" i="29"/>
  <c r="R41" i="25"/>
  <c r="S24" i="25"/>
  <c r="T49" i="13"/>
  <c r="T59" i="13"/>
  <c r="S44" i="18"/>
  <c r="S44" i="21"/>
  <c r="T41" i="13"/>
  <c r="R38" i="29"/>
  <c r="R38" i="27"/>
  <c r="T50" i="10"/>
  <c r="T50" i="33" s="1"/>
  <c r="T33" i="10"/>
  <c r="S23" i="23"/>
  <c r="T72" i="18"/>
  <c r="T62" i="25"/>
  <c r="T72" i="21"/>
  <c r="R6" i="29"/>
  <c r="R6" i="27"/>
  <c r="T20" i="13"/>
  <c r="S20" i="25"/>
  <c r="T28" i="13"/>
  <c r="S18" i="18"/>
  <c r="S18" i="21"/>
  <c r="U68" i="18"/>
  <c r="U68" i="21"/>
  <c r="R34" i="27"/>
  <c r="R34" i="29"/>
  <c r="R54" i="27"/>
  <c r="R54" i="29"/>
  <c r="R55" i="25"/>
  <c r="R65" i="25"/>
  <c r="T40" i="10"/>
  <c r="T40" i="33" s="1"/>
  <c r="T46" i="10"/>
  <c r="T46" i="33" s="1"/>
  <c r="T57" i="10"/>
  <c r="T57" i="33" s="1"/>
  <c r="S23" i="26"/>
  <c r="T39" i="10"/>
  <c r="T39" i="33" s="1"/>
  <c r="S42" i="23"/>
  <c r="T48" i="10"/>
  <c r="T48" i="33" s="1"/>
  <c r="S22" i="10"/>
  <c r="S22" i="33" s="1"/>
  <c r="T32" i="10"/>
  <c r="T32" i="33" s="1"/>
  <c r="S22" i="23"/>
  <c r="S54" i="26" l="1"/>
  <c r="S54" i="28" s="1"/>
  <c r="S35" i="33"/>
  <c r="T31" i="23"/>
  <c r="T28" i="33"/>
  <c r="T36" i="23"/>
  <c r="T33" i="33"/>
  <c r="T20" i="32"/>
  <c r="T32" i="32"/>
  <c r="T27" i="32"/>
  <c r="T33" i="32"/>
  <c r="T57" i="32"/>
  <c r="T50" i="32"/>
  <c r="T28" i="32"/>
  <c r="T59" i="32"/>
  <c r="S22" i="32"/>
  <c r="T46" i="32"/>
  <c r="T41" i="32"/>
  <c r="T49" i="32"/>
  <c r="T48" i="32"/>
  <c r="T19" i="32"/>
  <c r="S38" i="18"/>
  <c r="T39" i="32"/>
  <c r="T40" i="32"/>
  <c r="S35" i="32"/>
  <c r="T32" i="31"/>
  <c r="T27" i="31"/>
  <c r="T33" i="31"/>
  <c r="T57" i="31"/>
  <c r="S35" i="31"/>
  <c r="T28" i="31"/>
  <c r="T50" i="31"/>
  <c r="S54" i="25"/>
  <c r="S55" i="25" s="1"/>
  <c r="T59" i="31"/>
  <c r="S22" i="31"/>
  <c r="S38" i="23"/>
  <c r="T46" i="31"/>
  <c r="T20" i="31"/>
  <c r="T70" i="13"/>
  <c r="T73" i="21" s="1"/>
  <c r="T41" i="31"/>
  <c r="T49" i="31"/>
  <c r="T48" i="31"/>
  <c r="T19" i="31"/>
  <c r="S38" i="21"/>
  <c r="T39" i="31"/>
  <c r="T40" i="31"/>
  <c r="T59" i="26"/>
  <c r="T59" i="28" s="1"/>
  <c r="T60" i="23"/>
  <c r="T62" i="27"/>
  <c r="T62" i="29"/>
  <c r="S24" i="27"/>
  <c r="S24" i="29"/>
  <c r="T61" i="26"/>
  <c r="T61" i="28" s="1"/>
  <c r="T62" i="23"/>
  <c r="S38" i="27"/>
  <c r="S38" i="29"/>
  <c r="R27" i="27"/>
  <c r="R27" i="29"/>
  <c r="S23" i="29"/>
  <c r="S25" i="25"/>
  <c r="S23" i="27"/>
  <c r="T31" i="18"/>
  <c r="T31" i="21"/>
  <c r="R41" i="27"/>
  <c r="R41" i="29"/>
  <c r="S26" i="26"/>
  <c r="S21" i="26"/>
  <c r="S21" i="28" s="1"/>
  <c r="S19" i="28"/>
  <c r="U64" i="13"/>
  <c r="T52" i="13"/>
  <c r="T49" i="18"/>
  <c r="T49" i="21"/>
  <c r="T34" i="10"/>
  <c r="T34" i="33" s="1"/>
  <c r="T35" i="23"/>
  <c r="U46" i="10"/>
  <c r="U46" i="33" s="1"/>
  <c r="U57" i="10"/>
  <c r="U57" i="33" s="1"/>
  <c r="U40" i="10"/>
  <c r="U40" i="33" s="1"/>
  <c r="T23" i="26"/>
  <c r="T42" i="23"/>
  <c r="U58" i="10"/>
  <c r="U58" i="33" s="1"/>
  <c r="U47" i="10"/>
  <c r="U47" i="33" s="1"/>
  <c r="T43" i="23"/>
  <c r="S27" i="25"/>
  <c r="S20" i="27"/>
  <c r="S20" i="29"/>
  <c r="T61" i="25"/>
  <c r="T62" i="18"/>
  <c r="T62" i="21"/>
  <c r="U67" i="10"/>
  <c r="T52" i="23"/>
  <c r="S64" i="26"/>
  <c r="S64" i="28" s="1"/>
  <c r="S63" i="28"/>
  <c r="S33" i="25"/>
  <c r="S25" i="18"/>
  <c r="S23" i="13"/>
  <c r="S25" i="21"/>
  <c r="U50" i="10"/>
  <c r="U50" i="33" s="1"/>
  <c r="U33" i="10"/>
  <c r="T23" i="23"/>
  <c r="S63" i="29"/>
  <c r="S63" i="27"/>
  <c r="S64" i="25"/>
  <c r="T30" i="18"/>
  <c r="T52" i="25"/>
  <c r="T30" i="21"/>
  <c r="R66" i="26"/>
  <c r="R66" i="28" s="1"/>
  <c r="R65" i="28"/>
  <c r="R67" i="26"/>
  <c r="R67" i="28" s="1"/>
  <c r="T36" i="18"/>
  <c r="T36" i="21"/>
  <c r="R28" i="26"/>
  <c r="R28" i="28" s="1"/>
  <c r="R26" i="28"/>
  <c r="T23" i="25"/>
  <c r="U40" i="13"/>
  <c r="T42" i="18"/>
  <c r="U46" i="13"/>
  <c r="U57" i="13"/>
  <c r="T42" i="21"/>
  <c r="T43" i="18"/>
  <c r="U58" i="13"/>
  <c r="U47" i="13"/>
  <c r="T43" i="21"/>
  <c r="U66" i="10"/>
  <c r="T51" i="23"/>
  <c r="R55" i="27"/>
  <c r="R55" i="29"/>
  <c r="U68" i="10"/>
  <c r="T53" i="23"/>
  <c r="U59" i="10"/>
  <c r="U59" i="33" s="1"/>
  <c r="T24" i="26"/>
  <c r="T24" i="28" s="1"/>
  <c r="U49" i="10"/>
  <c r="U49" i="33" s="1"/>
  <c r="T44" i="23"/>
  <c r="T35" i="18"/>
  <c r="T35" i="21"/>
  <c r="T34" i="13"/>
  <c r="S27" i="26"/>
  <c r="S27" i="28" s="1"/>
  <c r="S20" i="28"/>
  <c r="T52" i="26"/>
  <c r="T52" i="28" s="1"/>
  <c r="T30" i="23"/>
  <c r="S19" i="29"/>
  <c r="S19" i="27"/>
  <c r="S21" i="25"/>
  <c r="S26" i="25"/>
  <c r="R21" i="29"/>
  <c r="R21" i="27"/>
  <c r="T52" i="10"/>
  <c r="T52" i="33" s="1"/>
  <c r="U64" i="10"/>
  <c r="U64" i="33" s="1"/>
  <c r="T49" i="23"/>
  <c r="S52" i="27"/>
  <c r="S52" i="29"/>
  <c r="T22" i="18"/>
  <c r="U32" i="13"/>
  <c r="T22" i="13"/>
  <c r="U48" i="13"/>
  <c r="T22" i="21"/>
  <c r="S33" i="26"/>
  <c r="S23" i="10"/>
  <c r="S23" i="33" s="1"/>
  <c r="S25" i="23"/>
  <c r="S25" i="26"/>
  <c r="S25" i="28" s="1"/>
  <c r="S23" i="28"/>
  <c r="R65" i="27"/>
  <c r="R65" i="29"/>
  <c r="R66" i="25"/>
  <c r="R67" i="25"/>
  <c r="T23" i="18"/>
  <c r="U33" i="13"/>
  <c r="U50" i="13"/>
  <c r="T23" i="21"/>
  <c r="T44" i="18"/>
  <c r="U49" i="13"/>
  <c r="T24" i="25"/>
  <c r="U59" i="13"/>
  <c r="T44" i="21"/>
  <c r="U67" i="13"/>
  <c r="T52" i="18"/>
  <c r="T52" i="21"/>
  <c r="U66" i="13"/>
  <c r="T51" i="18"/>
  <c r="T51" i="21"/>
  <c r="S76" i="23"/>
  <c r="S78" i="23" s="1"/>
  <c r="U48" i="10"/>
  <c r="U48" i="33" s="1"/>
  <c r="U32" i="10"/>
  <c r="U32" i="33" s="1"/>
  <c r="T22" i="10"/>
  <c r="T22" i="33" s="1"/>
  <c r="T22" i="23"/>
  <c r="S76" i="21"/>
  <c r="S78" i="21" s="1"/>
  <c r="T53" i="18"/>
  <c r="U68" i="13"/>
  <c r="T53" i="21"/>
  <c r="R26" i="27"/>
  <c r="R28" i="25"/>
  <c r="R26" i="29"/>
  <c r="T70" i="10"/>
  <c r="T70" i="33" s="1"/>
  <c r="T60" i="18"/>
  <c r="T59" i="25"/>
  <c r="T60" i="21"/>
  <c r="S55" i="26" l="1"/>
  <c r="S55" i="28" s="1"/>
  <c r="T63" i="25"/>
  <c r="S65" i="26"/>
  <c r="S67" i="26" s="1"/>
  <c r="S67" i="28" s="1"/>
  <c r="S54" i="27"/>
  <c r="U70" i="23"/>
  <c r="U67" i="33"/>
  <c r="U36" i="23"/>
  <c r="U33" i="33"/>
  <c r="S65" i="25"/>
  <c r="S65" i="29" s="1"/>
  <c r="U71" i="23"/>
  <c r="U68" i="33"/>
  <c r="U69" i="23"/>
  <c r="U66" i="33"/>
  <c r="U66" i="32"/>
  <c r="U50" i="32"/>
  <c r="T34" i="32"/>
  <c r="S23" i="32"/>
  <c r="U59" i="32"/>
  <c r="U33" i="32"/>
  <c r="U48" i="32"/>
  <c r="U40" i="32"/>
  <c r="T52" i="32"/>
  <c r="U68" i="32"/>
  <c r="T22" i="32"/>
  <c r="U47" i="32"/>
  <c r="U57" i="32"/>
  <c r="U64" i="32"/>
  <c r="U67" i="32"/>
  <c r="U49" i="32"/>
  <c r="U32" i="32"/>
  <c r="U58" i="32"/>
  <c r="U46" i="32"/>
  <c r="T70" i="32"/>
  <c r="U68" i="31"/>
  <c r="T22" i="31"/>
  <c r="U47" i="31"/>
  <c r="U57" i="31"/>
  <c r="U64" i="31"/>
  <c r="U67" i="31"/>
  <c r="U49" i="31"/>
  <c r="U32" i="31"/>
  <c r="U58" i="31"/>
  <c r="U46" i="31"/>
  <c r="S54" i="29"/>
  <c r="U66" i="31"/>
  <c r="U50" i="31"/>
  <c r="T34" i="31"/>
  <c r="S23" i="31"/>
  <c r="U59" i="31"/>
  <c r="U33" i="31"/>
  <c r="U48" i="31"/>
  <c r="U40" i="31"/>
  <c r="T52" i="31"/>
  <c r="T70" i="31"/>
  <c r="T63" i="26"/>
  <c r="T63" i="27" s="1"/>
  <c r="T73" i="23"/>
  <c r="U62" i="18"/>
  <c r="U61" i="25"/>
  <c r="U62" i="21"/>
  <c r="R66" i="29"/>
  <c r="R66" i="27"/>
  <c r="U69" i="10"/>
  <c r="U69" i="33" s="1"/>
  <c r="U67" i="23"/>
  <c r="V67" i="10"/>
  <c r="U52" i="23"/>
  <c r="U60" i="18"/>
  <c r="U59" i="25"/>
  <c r="U60" i="21"/>
  <c r="S66" i="25"/>
  <c r="U71" i="18"/>
  <c r="U71" i="21"/>
  <c r="T24" i="29"/>
  <c r="T24" i="27"/>
  <c r="T73" i="18"/>
  <c r="V64" i="13"/>
  <c r="U52" i="13"/>
  <c r="U49" i="18"/>
  <c r="U49" i="21"/>
  <c r="T52" i="29"/>
  <c r="T52" i="27"/>
  <c r="V65" i="10"/>
  <c r="U50" i="23"/>
  <c r="T25" i="26"/>
  <c r="T25" i="28" s="1"/>
  <c r="T23" i="28"/>
  <c r="T55" i="18"/>
  <c r="T37" i="25"/>
  <c r="T53" i="13"/>
  <c r="T55" i="21"/>
  <c r="T59" i="27"/>
  <c r="T59" i="29"/>
  <c r="S55" i="29"/>
  <c r="R28" i="27"/>
  <c r="R28" i="29"/>
  <c r="U34" i="10"/>
  <c r="U34" i="33" s="1"/>
  <c r="U35" i="23"/>
  <c r="U70" i="18"/>
  <c r="U70" i="21"/>
  <c r="V67" i="13"/>
  <c r="U52" i="18"/>
  <c r="U52" i="21"/>
  <c r="T63" i="29"/>
  <c r="T64" i="25"/>
  <c r="S34" i="26"/>
  <c r="S34" i="28" s="1"/>
  <c r="S26" i="23"/>
  <c r="T14" i="10"/>
  <c r="T14" i="33" s="1"/>
  <c r="T15" i="10"/>
  <c r="T15" i="33" s="1"/>
  <c r="S6" i="26"/>
  <c r="S6" i="28" s="1"/>
  <c r="T25" i="18"/>
  <c r="T33" i="25"/>
  <c r="T23" i="13"/>
  <c r="T25" i="21"/>
  <c r="U61" i="26"/>
  <c r="U61" i="28" s="1"/>
  <c r="U62" i="23"/>
  <c r="S34" i="25"/>
  <c r="S26" i="18"/>
  <c r="S76" i="18" s="1"/>
  <c r="S78" i="18" s="1"/>
  <c r="S26" i="21"/>
  <c r="T14" i="13"/>
  <c r="T15" i="13"/>
  <c r="S6" i="25"/>
  <c r="S27" i="29"/>
  <c r="S27" i="27"/>
  <c r="U60" i="26"/>
  <c r="U60" i="28" s="1"/>
  <c r="U61" i="23"/>
  <c r="V47" i="10"/>
  <c r="V58" i="10"/>
  <c r="V58" i="33" s="1"/>
  <c r="U43" i="23"/>
  <c r="T53" i="26"/>
  <c r="T53" i="28" s="1"/>
  <c r="T35" i="10"/>
  <c r="T35" i="33" s="1"/>
  <c r="T37" i="23"/>
  <c r="U67" i="18"/>
  <c r="U67" i="21"/>
  <c r="U69" i="13"/>
  <c r="S25" i="27"/>
  <c r="S25" i="29"/>
  <c r="V68" i="13"/>
  <c r="U53" i="18"/>
  <c r="U53" i="21"/>
  <c r="S28" i="25"/>
  <c r="S26" i="27"/>
  <c r="S26" i="29"/>
  <c r="T53" i="25"/>
  <c r="T37" i="18"/>
  <c r="T35" i="13"/>
  <c r="T37" i="21"/>
  <c r="U61" i="18"/>
  <c r="U60" i="25"/>
  <c r="U61" i="21"/>
  <c r="T23" i="27"/>
  <c r="T25" i="25"/>
  <c r="T23" i="29"/>
  <c r="V68" i="10"/>
  <c r="U53" i="23"/>
  <c r="S33" i="29"/>
  <c r="S33" i="27"/>
  <c r="S40" i="25"/>
  <c r="U52" i="10"/>
  <c r="U52" i="33" s="1"/>
  <c r="V64" i="10"/>
  <c r="V64" i="33" s="1"/>
  <c r="U49" i="23"/>
  <c r="S28" i="26"/>
  <c r="S28" i="28" s="1"/>
  <c r="S26" i="28"/>
  <c r="T33" i="26"/>
  <c r="T23" i="10"/>
  <c r="T23" i="33" s="1"/>
  <c r="T25" i="23"/>
  <c r="U36" i="18"/>
  <c r="U36" i="21"/>
  <c r="V66" i="13"/>
  <c r="U51" i="18"/>
  <c r="U51" i="21"/>
  <c r="T37" i="26"/>
  <c r="T37" i="28" s="1"/>
  <c r="T53" i="10"/>
  <c r="T53" i="33" s="1"/>
  <c r="T55" i="23"/>
  <c r="S21" i="27"/>
  <c r="S21" i="29"/>
  <c r="V66" i="10"/>
  <c r="U51" i="23"/>
  <c r="U69" i="18"/>
  <c r="U69" i="21"/>
  <c r="R67" i="27"/>
  <c r="R67" i="29"/>
  <c r="S40" i="26"/>
  <c r="S33" i="28"/>
  <c r="U35" i="18"/>
  <c r="U34" i="13"/>
  <c r="U35" i="21"/>
  <c r="V65" i="13"/>
  <c r="U50" i="18"/>
  <c r="U50" i="21"/>
  <c r="V47" i="13"/>
  <c r="V58" i="13"/>
  <c r="U43" i="18"/>
  <c r="U43" i="21"/>
  <c r="S64" i="27"/>
  <c r="S64" i="29"/>
  <c r="T61" i="27"/>
  <c r="T61" i="29"/>
  <c r="U59" i="26"/>
  <c r="U59" i="28" s="1"/>
  <c r="U60" i="23"/>
  <c r="S55" i="27" l="1"/>
  <c r="S65" i="28"/>
  <c r="S66" i="26"/>
  <c r="S66" i="28" s="1"/>
  <c r="S65" i="27"/>
  <c r="S67" i="25"/>
  <c r="S67" i="29" s="1"/>
  <c r="V68" i="23"/>
  <c r="V65" i="33"/>
  <c r="V69" i="23"/>
  <c r="V66" i="33"/>
  <c r="V50" i="23"/>
  <c r="V47" i="33"/>
  <c r="V70" i="23"/>
  <c r="V67" i="33"/>
  <c r="V71" i="23"/>
  <c r="V68" i="33"/>
  <c r="V58" i="32"/>
  <c r="V65" i="32"/>
  <c r="T14" i="32"/>
  <c r="V67" i="32"/>
  <c r="V47" i="32"/>
  <c r="U69" i="32"/>
  <c r="U34" i="32"/>
  <c r="T35" i="32"/>
  <c r="V68" i="32"/>
  <c r="U52" i="32"/>
  <c r="V66" i="32"/>
  <c r="T15" i="32"/>
  <c r="T23" i="32"/>
  <c r="T53" i="32"/>
  <c r="V64" i="32"/>
  <c r="V58" i="31"/>
  <c r="V65" i="31"/>
  <c r="T14" i="31"/>
  <c r="V67" i="31"/>
  <c r="V47" i="31"/>
  <c r="U69" i="31"/>
  <c r="U34" i="31"/>
  <c r="T35" i="31"/>
  <c r="V68" i="31"/>
  <c r="U52" i="31"/>
  <c r="V66" i="31"/>
  <c r="T15" i="31"/>
  <c r="T23" i="31"/>
  <c r="T53" i="31"/>
  <c r="V64" i="31"/>
  <c r="V69" i="10"/>
  <c r="V69" i="33" s="1"/>
  <c r="V67" i="23"/>
  <c r="T20" i="25"/>
  <c r="U20" i="13"/>
  <c r="U28" i="13"/>
  <c r="T18" i="18"/>
  <c r="T18" i="21"/>
  <c r="T26" i="18"/>
  <c r="T34" i="25"/>
  <c r="T26" i="21"/>
  <c r="T64" i="29"/>
  <c r="T38" i="25"/>
  <c r="T56" i="18"/>
  <c r="T56" i="21"/>
  <c r="U39" i="13"/>
  <c r="U41" i="13"/>
  <c r="U61" i="27"/>
  <c r="U61" i="29"/>
  <c r="S41" i="26"/>
  <c r="S41" i="28" s="1"/>
  <c r="S40" i="28"/>
  <c r="U19" i="13"/>
  <c r="T17" i="18"/>
  <c r="U27" i="13"/>
  <c r="T19" i="25"/>
  <c r="U15" i="13"/>
  <c r="U14" i="13"/>
  <c r="T6" i="25"/>
  <c r="T17" i="21"/>
  <c r="T40" i="25"/>
  <c r="T33" i="27"/>
  <c r="T33" i="29"/>
  <c r="V70" i="18"/>
  <c r="V70" i="21"/>
  <c r="U53" i="25"/>
  <c r="U37" i="18"/>
  <c r="U37" i="21"/>
  <c r="S40" i="29"/>
  <c r="S40" i="27"/>
  <c r="S41" i="25"/>
  <c r="T38" i="18"/>
  <c r="T54" i="25"/>
  <c r="T38" i="21"/>
  <c r="V71" i="18"/>
  <c r="V71" i="21"/>
  <c r="V68" i="18"/>
  <c r="V68" i="21"/>
  <c r="T40" i="26"/>
  <c r="T33" i="28"/>
  <c r="T25" i="27"/>
  <c r="T25" i="29"/>
  <c r="T53" i="29"/>
  <c r="T53" i="27"/>
  <c r="V60" i="26"/>
  <c r="V60" i="28" s="1"/>
  <c r="V61" i="23"/>
  <c r="S34" i="27"/>
  <c r="S34" i="29"/>
  <c r="U20" i="10"/>
  <c r="U20" i="33" s="1"/>
  <c r="T20" i="26"/>
  <c r="U28" i="10"/>
  <c r="T18" i="23"/>
  <c r="V67" i="18"/>
  <c r="V67" i="21"/>
  <c r="V69" i="13"/>
  <c r="U70" i="10"/>
  <c r="U70" i="33" s="1"/>
  <c r="U62" i="26"/>
  <c r="U62" i="28" s="1"/>
  <c r="U72" i="23"/>
  <c r="V50" i="18"/>
  <c r="V50" i="21"/>
  <c r="U37" i="26"/>
  <c r="U37" i="28" s="1"/>
  <c r="U53" i="10"/>
  <c r="U53" i="33" s="1"/>
  <c r="U55" i="23"/>
  <c r="U62" i="25"/>
  <c r="U72" i="18"/>
  <c r="U70" i="13"/>
  <c r="U72" i="21"/>
  <c r="T54" i="26"/>
  <c r="T38" i="23"/>
  <c r="U27" i="10"/>
  <c r="U27" i="33" s="1"/>
  <c r="U15" i="10"/>
  <c r="U15" i="33" s="1"/>
  <c r="U19" i="10"/>
  <c r="U19" i="33" s="1"/>
  <c r="T19" i="26"/>
  <c r="T6" i="26"/>
  <c r="T6" i="28" s="1"/>
  <c r="U14" i="10"/>
  <c r="U14" i="33" s="1"/>
  <c r="T17" i="23"/>
  <c r="T76" i="23" s="1"/>
  <c r="T78" i="23" s="1"/>
  <c r="U53" i="26"/>
  <c r="U53" i="28" s="1"/>
  <c r="U37" i="23"/>
  <c r="T37" i="27"/>
  <c r="T37" i="29"/>
  <c r="V60" i="25"/>
  <c r="V61" i="18"/>
  <c r="V61" i="21"/>
  <c r="T38" i="26"/>
  <c r="T38" i="28" s="1"/>
  <c r="T56" i="23"/>
  <c r="U41" i="10"/>
  <c r="U41" i="33" s="1"/>
  <c r="U39" i="10"/>
  <c r="U39" i="33" s="1"/>
  <c r="V69" i="18"/>
  <c r="V69" i="21"/>
  <c r="T34" i="26"/>
  <c r="T34" i="28" s="1"/>
  <c r="T26" i="23"/>
  <c r="U60" i="27"/>
  <c r="U60" i="29"/>
  <c r="S28" i="27"/>
  <c r="S28" i="29"/>
  <c r="S6" i="27"/>
  <c r="S6" i="29"/>
  <c r="U55" i="18"/>
  <c r="U37" i="25"/>
  <c r="U53" i="13"/>
  <c r="U55" i="21"/>
  <c r="S66" i="27"/>
  <c r="S66" i="29"/>
  <c r="U59" i="29"/>
  <c r="U59" i="27"/>
  <c r="T64" i="26"/>
  <c r="T64" i="28" s="1"/>
  <c r="T63" i="28"/>
  <c r="S67" i="27" l="1"/>
  <c r="U31" i="23"/>
  <c r="U28" i="33"/>
  <c r="U27" i="32"/>
  <c r="U39" i="32"/>
  <c r="U53" i="32"/>
  <c r="U14" i="32"/>
  <c r="V69" i="32"/>
  <c r="U15" i="32"/>
  <c r="U19" i="32"/>
  <c r="U28" i="32"/>
  <c r="U70" i="32"/>
  <c r="U41" i="32"/>
  <c r="U20" i="32"/>
  <c r="U53" i="31"/>
  <c r="U14" i="31"/>
  <c r="V69" i="31"/>
  <c r="U15" i="31"/>
  <c r="U19" i="31"/>
  <c r="U28" i="31"/>
  <c r="U70" i="31"/>
  <c r="U41" i="31"/>
  <c r="T76" i="18"/>
  <c r="T78" i="18" s="1"/>
  <c r="U20" i="31"/>
  <c r="U27" i="31"/>
  <c r="U39" i="31"/>
  <c r="U37" i="29"/>
  <c r="U37" i="27"/>
  <c r="V57" i="10"/>
  <c r="V57" i="33" s="1"/>
  <c r="U23" i="26"/>
  <c r="V40" i="10"/>
  <c r="V46" i="10"/>
  <c r="V46" i="33" s="1"/>
  <c r="V39" i="10"/>
  <c r="V39" i="33" s="1"/>
  <c r="U42" i="23"/>
  <c r="V32" i="10"/>
  <c r="V32" i="33" s="1"/>
  <c r="U22" i="10"/>
  <c r="U22" i="33" s="1"/>
  <c r="V48" i="10"/>
  <c r="U22" i="23"/>
  <c r="U62" i="29"/>
  <c r="U62" i="27"/>
  <c r="U30" i="18"/>
  <c r="U52" i="25"/>
  <c r="U30" i="21"/>
  <c r="V40" i="13"/>
  <c r="U42" i="18"/>
  <c r="V46" i="13"/>
  <c r="U23" i="25"/>
  <c r="V57" i="13"/>
  <c r="V39" i="13"/>
  <c r="U42" i="21"/>
  <c r="V50" i="13"/>
  <c r="U23" i="18"/>
  <c r="V33" i="13"/>
  <c r="U23" i="21"/>
  <c r="U20" i="26"/>
  <c r="V28" i="10"/>
  <c r="V20" i="10"/>
  <c r="U18" i="23"/>
  <c r="V62" i="25"/>
  <c r="V72" i="18"/>
  <c r="V72" i="21"/>
  <c r="U17" i="18"/>
  <c r="U19" i="25"/>
  <c r="V27" i="13"/>
  <c r="V19" i="13"/>
  <c r="U17" i="21"/>
  <c r="T20" i="29"/>
  <c r="T20" i="27"/>
  <c r="T27" i="25"/>
  <c r="V60" i="29"/>
  <c r="V60" i="27"/>
  <c r="U52" i="26"/>
  <c r="U52" i="28" s="1"/>
  <c r="U30" i="23"/>
  <c r="U63" i="25"/>
  <c r="U73" i="18"/>
  <c r="U73" i="21"/>
  <c r="U38" i="26"/>
  <c r="U38" i="28" s="1"/>
  <c r="U56" i="23"/>
  <c r="T27" i="26"/>
  <c r="T27" i="28" s="1"/>
  <c r="T20" i="28"/>
  <c r="T40" i="27"/>
  <c r="T40" i="29"/>
  <c r="T41" i="25"/>
  <c r="V20" i="13"/>
  <c r="V28" i="13"/>
  <c r="U20" i="25"/>
  <c r="U18" i="18"/>
  <c r="U18" i="21"/>
  <c r="V32" i="13"/>
  <c r="U22" i="18"/>
  <c r="V48" i="13"/>
  <c r="U22" i="13"/>
  <c r="U22" i="21"/>
  <c r="T55" i="26"/>
  <c r="T55" i="28" s="1"/>
  <c r="T65" i="26"/>
  <c r="T54" i="28"/>
  <c r="U63" i="26"/>
  <c r="U73" i="23"/>
  <c r="T6" i="27"/>
  <c r="T6" i="29"/>
  <c r="U24" i="26"/>
  <c r="U24" i="28" s="1"/>
  <c r="V49" i="10"/>
  <c r="V59" i="10"/>
  <c r="U44" i="23"/>
  <c r="V41" i="10"/>
  <c r="V41" i="33" s="1"/>
  <c r="U19" i="26"/>
  <c r="V19" i="10"/>
  <c r="V19" i="33" s="1"/>
  <c r="V27" i="10"/>
  <c r="V27" i="33" s="1"/>
  <c r="U17" i="23"/>
  <c r="T41" i="26"/>
  <c r="T41" i="28" s="1"/>
  <c r="T40" i="28"/>
  <c r="T54" i="27"/>
  <c r="T54" i="29"/>
  <c r="T55" i="25"/>
  <c r="T65" i="25"/>
  <c r="U53" i="29"/>
  <c r="U53" i="27"/>
  <c r="T64" i="27"/>
  <c r="U56" i="18"/>
  <c r="U38" i="25"/>
  <c r="U56" i="21"/>
  <c r="U35" i="10"/>
  <c r="U35" i="33" s="1"/>
  <c r="T26" i="26"/>
  <c r="T21" i="26"/>
  <c r="T21" i="28" s="1"/>
  <c r="T19" i="28"/>
  <c r="V33" i="10"/>
  <c r="V50" i="10"/>
  <c r="U23" i="23"/>
  <c r="S41" i="29"/>
  <c r="S41" i="27"/>
  <c r="U35" i="13"/>
  <c r="T76" i="21"/>
  <c r="T78" i="21" s="1"/>
  <c r="T19" i="27"/>
  <c r="T19" i="29"/>
  <c r="T26" i="25"/>
  <c r="T21" i="25"/>
  <c r="V59" i="13"/>
  <c r="V49" i="13"/>
  <c r="U44" i="18"/>
  <c r="U24" i="25"/>
  <c r="U44" i="21"/>
  <c r="V41" i="13"/>
  <c r="T38" i="27"/>
  <c r="T38" i="29"/>
  <c r="T34" i="29"/>
  <c r="T34" i="27"/>
  <c r="U31" i="18"/>
  <c r="U31" i="21"/>
  <c r="V62" i="26"/>
  <c r="V62" i="28" s="1"/>
  <c r="V72" i="23"/>
  <c r="V23" i="23" l="1"/>
  <c r="V20" i="33"/>
  <c r="V31" i="23"/>
  <c r="V28" i="33"/>
  <c r="V53" i="23"/>
  <c r="V50" i="33"/>
  <c r="V70" i="10"/>
  <c r="V70" i="33" s="1"/>
  <c r="V59" i="33"/>
  <c r="V43" i="23"/>
  <c r="V40" i="33"/>
  <c r="V51" i="23"/>
  <c r="V48" i="33"/>
  <c r="V36" i="23"/>
  <c r="V33" i="33"/>
  <c r="V52" i="23"/>
  <c r="V49" i="33"/>
  <c r="U22" i="32"/>
  <c r="V20" i="32"/>
  <c r="V27" i="32"/>
  <c r="V57" i="32"/>
  <c r="V40" i="32"/>
  <c r="U35" i="32"/>
  <c r="V48" i="32"/>
  <c r="V50" i="32"/>
  <c r="V41" i="32"/>
  <c r="V49" i="32"/>
  <c r="U76" i="21"/>
  <c r="U78" i="21" s="1"/>
  <c r="V46" i="32"/>
  <c r="V59" i="32"/>
  <c r="V32" i="32"/>
  <c r="V28" i="32"/>
  <c r="V19" i="32"/>
  <c r="V33" i="32"/>
  <c r="V39" i="32"/>
  <c r="U35" i="31"/>
  <c r="V48" i="31"/>
  <c r="V50" i="31"/>
  <c r="V41" i="31"/>
  <c r="V49" i="31"/>
  <c r="V46" i="31"/>
  <c r="V59" i="31"/>
  <c r="V32" i="31"/>
  <c r="V28" i="31"/>
  <c r="V19" i="31"/>
  <c r="V33" i="31"/>
  <c r="V39" i="31"/>
  <c r="U22" i="31"/>
  <c r="V20" i="31"/>
  <c r="V27" i="31"/>
  <c r="V57" i="31"/>
  <c r="V40" i="31"/>
  <c r="T65" i="27"/>
  <c r="T65" i="29"/>
  <c r="T66" i="25"/>
  <c r="T67" i="25"/>
  <c r="U21" i="26"/>
  <c r="U21" i="28" s="1"/>
  <c r="U26" i="26"/>
  <c r="U19" i="28"/>
  <c r="V52" i="13"/>
  <c r="V49" i="18"/>
  <c r="V49" i="21"/>
  <c r="U25" i="26"/>
  <c r="U25" i="28" s="1"/>
  <c r="U23" i="28"/>
  <c r="V52" i="18"/>
  <c r="V52" i="21"/>
  <c r="V52" i="26"/>
  <c r="V52" i="28" s="1"/>
  <c r="V30" i="23"/>
  <c r="V31" i="18"/>
  <c r="V31" i="21"/>
  <c r="T27" i="27"/>
  <c r="T27" i="29"/>
  <c r="V52" i="25"/>
  <c r="V30" i="18"/>
  <c r="V30" i="21"/>
  <c r="V23" i="25"/>
  <c r="V42" i="18"/>
  <c r="V42" i="21"/>
  <c r="V23" i="26"/>
  <c r="V42" i="23"/>
  <c r="V61" i="25"/>
  <c r="V62" i="18"/>
  <c r="V62" i="21"/>
  <c r="U76" i="23"/>
  <c r="U78" i="23" s="1"/>
  <c r="U33" i="25"/>
  <c r="U25" i="18"/>
  <c r="U23" i="13"/>
  <c r="U25" i="21"/>
  <c r="V23" i="18"/>
  <c r="V23" i="21"/>
  <c r="U19" i="29"/>
  <c r="U26" i="25"/>
  <c r="U19" i="27"/>
  <c r="U21" i="25"/>
  <c r="V70" i="13"/>
  <c r="V60" i="18"/>
  <c r="V59" i="25"/>
  <c r="V60" i="21"/>
  <c r="V43" i="18"/>
  <c r="V43" i="21"/>
  <c r="U33" i="26"/>
  <c r="U23" i="10"/>
  <c r="U23" i="33" s="1"/>
  <c r="U25" i="23"/>
  <c r="V52" i="10"/>
  <c r="V52" i="33" s="1"/>
  <c r="V49" i="23"/>
  <c r="T26" i="27"/>
  <c r="T28" i="25"/>
  <c r="T26" i="29"/>
  <c r="U54" i="25"/>
  <c r="U38" i="18"/>
  <c r="U38" i="21"/>
  <c r="T28" i="26"/>
  <c r="T28" i="28" s="1"/>
  <c r="T26" i="28"/>
  <c r="U27" i="25"/>
  <c r="U20" i="27"/>
  <c r="U20" i="29"/>
  <c r="U63" i="29"/>
  <c r="U63" i="27"/>
  <c r="U64" i="25"/>
  <c r="U52" i="27"/>
  <c r="U52" i="29"/>
  <c r="V24" i="25"/>
  <c r="V44" i="18"/>
  <c r="V44" i="21"/>
  <c r="U54" i="26"/>
  <c r="U38" i="23"/>
  <c r="T55" i="27"/>
  <c r="T55" i="29"/>
  <c r="V24" i="26"/>
  <c r="V24" i="28" s="1"/>
  <c r="V44" i="23"/>
  <c r="U64" i="26"/>
  <c r="U64" i="28" s="1"/>
  <c r="U63" i="28"/>
  <c r="V35" i="18"/>
  <c r="V34" i="13"/>
  <c r="V35" i="21"/>
  <c r="V36" i="18"/>
  <c r="V36" i="21"/>
  <c r="V59" i="26"/>
  <c r="V59" i="28" s="1"/>
  <c r="V60" i="23"/>
  <c r="U24" i="29"/>
  <c r="U24" i="27"/>
  <c r="T21" i="29"/>
  <c r="T21" i="27"/>
  <c r="U38" i="29"/>
  <c r="U38" i="27"/>
  <c r="V22" i="10"/>
  <c r="V22" i="33" s="1"/>
  <c r="V22" i="23"/>
  <c r="V61" i="26"/>
  <c r="V61" i="28" s="1"/>
  <c r="V62" i="23"/>
  <c r="T66" i="26"/>
  <c r="T66" i="28" s="1"/>
  <c r="T65" i="28"/>
  <c r="T67" i="26"/>
  <c r="T67" i="28" s="1"/>
  <c r="V51" i="18"/>
  <c r="V51" i="21"/>
  <c r="T41" i="27"/>
  <c r="T41" i="29"/>
  <c r="V22" i="18"/>
  <c r="V22" i="13"/>
  <c r="V22" i="21"/>
  <c r="V62" i="29"/>
  <c r="V62" i="27"/>
  <c r="U27" i="26"/>
  <c r="U27" i="28" s="1"/>
  <c r="U20" i="28"/>
  <c r="V53" i="18"/>
  <c r="V53" i="21"/>
  <c r="U25" i="25"/>
  <c r="U23" i="27"/>
  <c r="U23" i="29"/>
  <c r="V34" i="10"/>
  <c r="V34" i="33" s="1"/>
  <c r="V35" i="23"/>
  <c r="V63" i="26" l="1"/>
  <c r="V64" i="26" s="1"/>
  <c r="V64" i="28" s="1"/>
  <c r="V73" i="23"/>
  <c r="V22" i="32"/>
  <c r="V34" i="32"/>
  <c r="V52" i="32"/>
  <c r="V70" i="32"/>
  <c r="U23" i="32"/>
  <c r="V70" i="31"/>
  <c r="U23" i="31"/>
  <c r="V22" i="31"/>
  <c r="V34" i="31"/>
  <c r="V52" i="31"/>
  <c r="U25" i="29"/>
  <c r="U25" i="27"/>
  <c r="V33" i="25"/>
  <c r="V25" i="18"/>
  <c r="V23" i="13"/>
  <c r="V25" i="21"/>
  <c r="V33" i="26"/>
  <c r="V23" i="10"/>
  <c r="V23" i="33" s="1"/>
  <c r="V25" i="23"/>
  <c r="V53" i="25"/>
  <c r="V35" i="13"/>
  <c r="V37" i="18"/>
  <c r="V37" i="21"/>
  <c r="U34" i="26"/>
  <c r="U34" i="28" s="1"/>
  <c r="U26" i="23"/>
  <c r="V14" i="10"/>
  <c r="V14" i="33" s="1"/>
  <c r="U6" i="26"/>
  <c r="U6" i="28" s="1"/>
  <c r="V15" i="10"/>
  <c r="V15" i="33" s="1"/>
  <c r="U21" i="27"/>
  <c r="U21" i="29"/>
  <c r="T67" i="27"/>
  <c r="T67" i="29"/>
  <c r="U54" i="27"/>
  <c r="U54" i="29"/>
  <c r="U55" i="25"/>
  <c r="U65" i="25"/>
  <c r="U40" i="26"/>
  <c r="U33" i="28"/>
  <c r="U33" i="27"/>
  <c r="U33" i="29"/>
  <c r="U40" i="25"/>
  <c r="V52" i="27"/>
  <c r="V52" i="29"/>
  <c r="V37" i="26"/>
  <c r="V37" i="28" s="1"/>
  <c r="V53" i="10"/>
  <c r="V53" i="33" s="1"/>
  <c r="V55" i="23"/>
  <c r="U26" i="27"/>
  <c r="U28" i="25"/>
  <c r="U26" i="29"/>
  <c r="V23" i="29"/>
  <c r="V23" i="27"/>
  <c r="V25" i="25"/>
  <c r="U28" i="26"/>
  <c r="U28" i="28" s="1"/>
  <c r="U26" i="28"/>
  <c r="V24" i="29"/>
  <c r="V24" i="27"/>
  <c r="U27" i="27"/>
  <c r="U27" i="29"/>
  <c r="V55" i="18"/>
  <c r="V37" i="25"/>
  <c r="V53" i="13"/>
  <c r="V55" i="21"/>
  <c r="V35" i="10"/>
  <c r="V35" i="33" s="1"/>
  <c r="V53" i="26"/>
  <c r="V53" i="28" s="1"/>
  <c r="V37" i="23"/>
  <c r="U55" i="26"/>
  <c r="U55" i="28" s="1"/>
  <c r="U65" i="26"/>
  <c r="U54" i="28"/>
  <c r="V59" i="29"/>
  <c r="V59" i="27"/>
  <c r="V61" i="29"/>
  <c r="V61" i="27"/>
  <c r="T66" i="27"/>
  <c r="T66" i="29"/>
  <c r="U64" i="27"/>
  <c r="U64" i="29"/>
  <c r="T28" i="27"/>
  <c r="T28" i="29"/>
  <c r="V63" i="25"/>
  <c r="V73" i="18"/>
  <c r="V73" i="21"/>
  <c r="U26" i="18"/>
  <c r="U76" i="18" s="1"/>
  <c r="U78" i="18" s="1"/>
  <c r="U34" i="25"/>
  <c r="U26" i="21"/>
  <c r="U6" i="25"/>
  <c r="V15" i="13"/>
  <c r="V14" i="13"/>
  <c r="V25" i="26"/>
  <c r="V25" i="28" s="1"/>
  <c r="V23" i="28"/>
  <c r="V63" i="28" l="1"/>
  <c r="V14" i="32"/>
  <c r="V15" i="32"/>
  <c r="B1" i="33"/>
  <c r="V23" i="32"/>
  <c r="V53" i="32"/>
  <c r="V35" i="32"/>
  <c r="V14" i="31"/>
  <c r="V23" i="31"/>
  <c r="V15" i="31"/>
  <c r="V53" i="31"/>
  <c r="V35" i="31"/>
  <c r="V18" i="18"/>
  <c r="V20" i="25"/>
  <c r="V18" i="21"/>
  <c r="V34" i="26"/>
  <c r="V34" i="28" s="1"/>
  <c r="V26" i="23"/>
  <c r="U6" i="27"/>
  <c r="U6" i="29"/>
  <c r="V38" i="25"/>
  <c r="V56" i="18"/>
  <c r="V56" i="21"/>
  <c r="U40" i="27"/>
  <c r="U40" i="29"/>
  <c r="U41" i="25"/>
  <c r="V38" i="18"/>
  <c r="V54" i="25"/>
  <c r="V38" i="21"/>
  <c r="V33" i="27"/>
  <c r="V40" i="25"/>
  <c r="V33" i="29"/>
  <c r="V37" i="29"/>
  <c r="V37" i="27"/>
  <c r="V25" i="27"/>
  <c r="V25" i="29"/>
  <c r="U28" i="27"/>
  <c r="U28" i="29"/>
  <c r="U65" i="29"/>
  <c r="U65" i="27"/>
  <c r="U66" i="25"/>
  <c r="U67" i="25"/>
  <c r="V20" i="26"/>
  <c r="V18" i="23"/>
  <c r="V53" i="27"/>
  <c r="V53" i="29"/>
  <c r="V19" i="26"/>
  <c r="V6" i="26"/>
  <c r="V6" i="28" s="1"/>
  <c r="V17" i="23"/>
  <c r="V76" i="23" s="1"/>
  <c r="V78" i="23" s="1"/>
  <c r="V38" i="26"/>
  <c r="V38" i="28" s="1"/>
  <c r="V56" i="23"/>
  <c r="U41" i="26"/>
  <c r="U41" i="28" s="1"/>
  <c r="U40" i="28"/>
  <c r="V40" i="26"/>
  <c r="V33" i="28"/>
  <c r="V19" i="25"/>
  <c r="V17" i="18"/>
  <c r="V6" i="25"/>
  <c r="V17" i="21"/>
  <c r="U34" i="29"/>
  <c r="U34" i="27"/>
  <c r="V63" i="27"/>
  <c r="V63" i="29"/>
  <c r="V64" i="25"/>
  <c r="U66" i="26"/>
  <c r="U66" i="28" s="1"/>
  <c r="U67" i="26"/>
  <c r="U67" i="28" s="1"/>
  <c r="U65" i="28"/>
  <c r="V54" i="26"/>
  <c r="V38" i="23"/>
  <c r="U55" i="27"/>
  <c r="U55" i="29"/>
  <c r="V34" i="25"/>
  <c r="V26" i="18"/>
  <c r="V26" i="21"/>
  <c r="B1" i="32" l="1"/>
  <c r="V76" i="18"/>
  <c r="V78" i="18" s="1"/>
  <c r="U66" i="27"/>
  <c r="U66" i="29"/>
  <c r="V38" i="29"/>
  <c r="V38" i="27"/>
  <c r="V34" i="27"/>
  <c r="V34" i="29"/>
  <c r="V64" i="29"/>
  <c r="V64" i="27"/>
  <c r="V19" i="27"/>
  <c r="V26" i="25"/>
  <c r="V21" i="25"/>
  <c r="V19" i="29"/>
  <c r="V54" i="29"/>
  <c r="V54" i="27"/>
  <c r="V55" i="25"/>
  <c r="V65" i="25"/>
  <c r="V76" i="21"/>
  <c r="V78" i="21" s="1"/>
  <c r="V21" i="26"/>
  <c r="V21" i="28" s="1"/>
  <c r="V26" i="26"/>
  <c r="V19" i="28"/>
  <c r="V27" i="26"/>
  <c r="V27" i="28" s="1"/>
  <c r="V20" i="28"/>
  <c r="V40" i="29"/>
  <c r="V40" i="27"/>
  <c r="V41" i="25"/>
  <c r="V20" i="27"/>
  <c r="V27" i="25"/>
  <c r="V20" i="29"/>
  <c r="V55" i="26"/>
  <c r="V55" i="28" s="1"/>
  <c r="V65" i="26"/>
  <c r="V54" i="28"/>
  <c r="V6" i="27"/>
  <c r="V6" i="29"/>
  <c r="V41" i="26"/>
  <c r="V41" i="28" s="1"/>
  <c r="V40" i="28"/>
  <c r="U67" i="29"/>
  <c r="U67" i="27"/>
  <c r="U41" i="29"/>
  <c r="U41" i="27"/>
  <c r="V28" i="26" l="1"/>
  <c r="V28" i="28" s="1"/>
  <c r="V26" i="28"/>
  <c r="V55" i="29"/>
  <c r="V55" i="27"/>
  <c r="V21" i="27"/>
  <c r="V21" i="29"/>
  <c r="V66" i="26"/>
  <c r="V66" i="28" s="1"/>
  <c r="V67" i="26"/>
  <c r="V67" i="28" s="1"/>
  <c r="V65" i="28"/>
  <c r="V26" i="27"/>
  <c r="V26" i="29"/>
  <c r="V28" i="25"/>
  <c r="V65" i="27"/>
  <c r="V65" i="29"/>
  <c r="V66" i="25"/>
  <c r="V67" i="25"/>
  <c r="V27" i="29"/>
  <c r="V27" i="27"/>
  <c r="V41" i="29"/>
  <c r="V41" i="27"/>
  <c r="V67" i="27" l="1"/>
  <c r="V67" i="29"/>
  <c r="V28" i="29"/>
  <c r="V28" i="27"/>
  <c r="V66" i="29"/>
  <c r="V66" i="27"/>
</calcChain>
</file>

<file path=xl/comments1.xml><?xml version="1.0" encoding="utf-8"?>
<comments xmlns="http://schemas.openxmlformats.org/spreadsheetml/2006/main">
  <authors>
    <author>April Kimmel</author>
  </authors>
  <commentList>
    <comment ref="B8" authorId="0" shapeId="0">
      <text>
        <r>
          <rPr>
            <sz val="8"/>
            <color indexed="81"/>
            <rFont val="Tahoma"/>
            <family val="2"/>
          </rPr>
          <t>Once lost from care, patients can not return to care.</t>
        </r>
      </text>
    </comment>
    <comment ref="B9" authorId="0" shapeId="0">
      <text>
        <r>
          <rPr>
            <b/>
            <sz val="8"/>
            <color indexed="81"/>
            <rFont val="Tahoma"/>
            <family val="2"/>
          </rPr>
          <t>April Kimmel:</t>
        </r>
        <r>
          <rPr>
            <sz val="8"/>
            <color indexed="81"/>
            <rFont val="Tahoma"/>
            <family val="2"/>
          </rPr>
          <t xml:space="preserve">
This row tracks the subtotal of deaths between time 0 and </t>
        </r>
        <r>
          <rPr>
            <i/>
            <sz val="8"/>
            <color indexed="81"/>
            <rFont val="Tahoma"/>
            <family val="2"/>
          </rPr>
          <t xml:space="preserve">N </t>
        </r>
        <r>
          <rPr>
            <sz val="8"/>
            <color indexed="81"/>
            <rFont val="Tahoma"/>
            <family val="2"/>
          </rPr>
          <t xml:space="preserve">for the proportion of the cohort in the </t>
        </r>
        <r>
          <rPr>
            <i/>
            <sz val="8"/>
            <color indexed="81"/>
            <rFont val="Tahoma"/>
            <family val="2"/>
          </rPr>
          <t>Not Eligible</t>
        </r>
        <r>
          <rPr>
            <sz val="8"/>
            <color indexed="81"/>
            <rFont val="Tahoma"/>
            <family val="2"/>
          </rPr>
          <t xml:space="preserve"> treatment stage.  It is an absorbing "event".</t>
        </r>
      </text>
    </comment>
    <comment ref="B26" authorId="0" shapeId="0">
      <text>
        <r>
          <rPr>
            <sz val="8"/>
            <color indexed="81"/>
            <rFont val="Tahoma"/>
            <family val="2"/>
          </rPr>
          <t>Once lost from care, patients can not return to care.</t>
        </r>
      </text>
    </comment>
    <comment ref="B38" authorId="0" shapeId="0">
      <text>
        <r>
          <rPr>
            <sz val="8"/>
            <color indexed="81"/>
            <rFont val="Tahoma"/>
            <family val="2"/>
          </rPr>
          <t>This row tracks the subtotal of deaths between time 0 and N for the proportion of the cohort in the Eligible_New treatment stage.  It is an absorbing "event".</t>
        </r>
      </text>
    </comment>
    <comment ref="B56" authorId="0" shapeId="0">
      <text>
        <r>
          <rPr>
            <sz val="8"/>
            <color indexed="81"/>
            <rFont val="Tahoma"/>
            <family val="2"/>
          </rPr>
          <t>Once lost from care, patients can not return to care.</t>
        </r>
      </text>
    </comment>
    <comment ref="B73" authorId="0" shapeId="0">
      <text>
        <r>
          <rPr>
            <sz val="8"/>
            <color indexed="81"/>
            <rFont val="Tahoma"/>
            <family val="2"/>
          </rPr>
          <t>This row tracks the subtotal of deaths between time 0 and N for the proportion of the cohort in the Eligible_New treatment stage.  It is an absorbing "event".</t>
        </r>
      </text>
    </comment>
  </commentList>
</comments>
</file>

<file path=xl/comments2.xml><?xml version="1.0" encoding="utf-8"?>
<comments xmlns="http://schemas.openxmlformats.org/spreadsheetml/2006/main">
  <authors>
    <author>April Kimmel</author>
  </authors>
  <commentList>
    <comment ref="B8" authorId="0" shapeId="0">
      <text>
        <r>
          <rPr>
            <sz val="8"/>
            <color indexed="81"/>
            <rFont val="Tahoma"/>
            <family val="2"/>
          </rPr>
          <t>Once lost from care, patients can not return to care.</t>
        </r>
      </text>
    </comment>
    <comment ref="B9" authorId="0" shapeId="0">
      <text>
        <r>
          <rPr>
            <b/>
            <sz val="8"/>
            <color indexed="81"/>
            <rFont val="Tahoma"/>
            <family val="2"/>
          </rPr>
          <t>April Kimmel:</t>
        </r>
        <r>
          <rPr>
            <sz val="8"/>
            <color indexed="81"/>
            <rFont val="Tahoma"/>
            <family val="2"/>
          </rPr>
          <t xml:space="preserve">
This row tracks the subtotal of deaths between time 0 and </t>
        </r>
        <r>
          <rPr>
            <i/>
            <sz val="8"/>
            <color indexed="81"/>
            <rFont val="Tahoma"/>
            <family val="2"/>
          </rPr>
          <t xml:space="preserve">N </t>
        </r>
        <r>
          <rPr>
            <sz val="8"/>
            <color indexed="81"/>
            <rFont val="Tahoma"/>
            <family val="2"/>
          </rPr>
          <t xml:space="preserve">for the proportion of the cohort in the </t>
        </r>
        <r>
          <rPr>
            <i/>
            <sz val="8"/>
            <color indexed="81"/>
            <rFont val="Tahoma"/>
            <family val="2"/>
          </rPr>
          <t>Not Eligible</t>
        </r>
        <r>
          <rPr>
            <sz val="8"/>
            <color indexed="81"/>
            <rFont val="Tahoma"/>
            <family val="2"/>
          </rPr>
          <t xml:space="preserve"> treatment stage.  It is an absorbing "event".</t>
        </r>
      </text>
    </comment>
    <comment ref="B26" authorId="0" shapeId="0">
      <text>
        <r>
          <rPr>
            <sz val="8"/>
            <color indexed="81"/>
            <rFont val="Tahoma"/>
            <family val="2"/>
          </rPr>
          <t>Once lost from care, patients can not return to care.</t>
        </r>
      </text>
    </comment>
    <comment ref="B38" authorId="0" shapeId="0">
      <text>
        <r>
          <rPr>
            <sz val="8"/>
            <color indexed="81"/>
            <rFont val="Tahoma"/>
            <family val="2"/>
          </rPr>
          <t>This row tracks the subtotal of deaths between time 0 and N for the proportion of the cohort in the Eligible_New treatment stage.  It is an absorbing "event".</t>
        </r>
      </text>
    </comment>
    <comment ref="B56" authorId="0" shapeId="0">
      <text>
        <r>
          <rPr>
            <sz val="8"/>
            <color indexed="81"/>
            <rFont val="Tahoma"/>
            <family val="2"/>
          </rPr>
          <t>Once lost from care, patients can not return to care.</t>
        </r>
      </text>
    </comment>
    <comment ref="B73" authorId="0" shapeId="0">
      <text>
        <r>
          <rPr>
            <sz val="8"/>
            <color indexed="81"/>
            <rFont val="Tahoma"/>
            <family val="2"/>
          </rPr>
          <t>This row tracks the subtotal of deaths between time 0 and N for the proportion of the cohort in the Eligible_New treatment stage.  It is an absorbing "event".</t>
        </r>
      </text>
    </comment>
  </commentList>
</comments>
</file>

<file path=xl/comments3.xml><?xml version="1.0" encoding="utf-8"?>
<comments xmlns="http://schemas.openxmlformats.org/spreadsheetml/2006/main">
  <authors>
    <author>April Kimmel</author>
  </authors>
  <commentList>
    <comment ref="B8" authorId="0" shapeId="0">
      <text>
        <r>
          <rPr>
            <sz val="8"/>
            <color indexed="81"/>
            <rFont val="Tahoma"/>
            <family val="2"/>
          </rPr>
          <t>Once lost from care, patients can not return to care.</t>
        </r>
      </text>
    </comment>
    <comment ref="B9" authorId="0" shapeId="0">
      <text>
        <r>
          <rPr>
            <b/>
            <sz val="8"/>
            <color indexed="81"/>
            <rFont val="Tahoma"/>
            <family val="2"/>
          </rPr>
          <t>April Kimmel:</t>
        </r>
        <r>
          <rPr>
            <sz val="8"/>
            <color indexed="81"/>
            <rFont val="Tahoma"/>
            <family val="2"/>
          </rPr>
          <t xml:space="preserve">
This row tracks the subtotal of deaths between time 0 and </t>
        </r>
        <r>
          <rPr>
            <i/>
            <sz val="8"/>
            <color indexed="81"/>
            <rFont val="Tahoma"/>
            <family val="2"/>
          </rPr>
          <t xml:space="preserve">N </t>
        </r>
        <r>
          <rPr>
            <sz val="8"/>
            <color indexed="81"/>
            <rFont val="Tahoma"/>
            <family val="2"/>
          </rPr>
          <t xml:space="preserve">for the proportion of the cohort in the </t>
        </r>
        <r>
          <rPr>
            <i/>
            <sz val="8"/>
            <color indexed="81"/>
            <rFont val="Tahoma"/>
            <family val="2"/>
          </rPr>
          <t>Not Eligible</t>
        </r>
        <r>
          <rPr>
            <sz val="8"/>
            <color indexed="81"/>
            <rFont val="Tahoma"/>
            <family val="2"/>
          </rPr>
          <t xml:space="preserve"> treatment stage.  It is an absorbing "event".</t>
        </r>
      </text>
    </comment>
    <comment ref="B26" authorId="0" shapeId="0">
      <text>
        <r>
          <rPr>
            <sz val="8"/>
            <color indexed="81"/>
            <rFont val="Tahoma"/>
            <family val="2"/>
          </rPr>
          <t>Once lost from care, patients can not return to care.</t>
        </r>
      </text>
    </comment>
    <comment ref="B38" authorId="0" shapeId="0">
      <text>
        <r>
          <rPr>
            <sz val="8"/>
            <color indexed="81"/>
            <rFont val="Tahoma"/>
            <family val="2"/>
          </rPr>
          <t>This row tracks the subtotal of deaths between time 0 and N for the proportion of the cohort in the Eligible_New treatment stage.  It is an absorbing "event".</t>
        </r>
      </text>
    </comment>
    <comment ref="B56" authorId="0" shapeId="0">
      <text>
        <r>
          <rPr>
            <sz val="8"/>
            <color indexed="81"/>
            <rFont val="Tahoma"/>
            <family val="2"/>
          </rPr>
          <t>Once lost from care, patients can not return to care.</t>
        </r>
      </text>
    </comment>
    <comment ref="B73" authorId="0" shapeId="0">
      <text>
        <r>
          <rPr>
            <sz val="8"/>
            <color indexed="81"/>
            <rFont val="Tahoma"/>
            <family val="2"/>
          </rPr>
          <t>This row tracks the subtotal of deaths between time 0 and N for the proportion of the cohort in the Eligible_New treatment stage.  It is an absorbing "event".</t>
        </r>
      </text>
    </comment>
  </commentList>
</comments>
</file>

<file path=xl/comments4.xml><?xml version="1.0" encoding="utf-8"?>
<comments xmlns="http://schemas.openxmlformats.org/spreadsheetml/2006/main">
  <authors>
    <author>April Kimmel</author>
  </authors>
  <commentList>
    <comment ref="C9" authorId="0" shapeId="0">
      <text>
        <r>
          <rPr>
            <sz val="8"/>
            <color indexed="81"/>
            <rFont val="Tahoma"/>
            <family val="2"/>
          </rPr>
          <t>Low number due to low proportion of individuals in ENEW stage in prevalent cohort.</t>
        </r>
      </text>
    </comment>
    <comment ref="C14" authorId="0" shapeId="0">
      <text>
        <r>
          <rPr>
            <sz val="8"/>
            <color indexed="81"/>
            <rFont val="Tahoma"/>
            <family val="2"/>
          </rPr>
          <t>Low number due to low proportion of individuals in ENEW stage in prevalent cohort.</t>
        </r>
      </text>
    </comment>
    <comment ref="B54" authorId="0" shapeId="0">
      <text>
        <r>
          <rPr>
            <sz val="8"/>
            <color indexed="81"/>
            <rFont val="Tahoma"/>
            <family val="2"/>
          </rPr>
          <t>This row tracks the subtotal of deaths between time 0 and N for the proportion of the cohort in the Eligible_New treatment stage.  It is an absorbing "event".</t>
        </r>
      </text>
    </comment>
  </commentList>
</comments>
</file>

<file path=xl/comments5.xml><?xml version="1.0" encoding="utf-8"?>
<comments xmlns="http://schemas.openxmlformats.org/spreadsheetml/2006/main">
  <authors>
    <author>April Kimmel</author>
  </authors>
  <commentList>
    <comment ref="C9" authorId="0" shapeId="0">
      <text>
        <r>
          <rPr>
            <sz val="8"/>
            <color indexed="81"/>
            <rFont val="Tahoma"/>
            <family val="2"/>
          </rPr>
          <t>Low number due to low proportion of individuals in ENEW stage in prevalent cohort.</t>
        </r>
      </text>
    </comment>
    <comment ref="C14" authorId="0" shapeId="0">
      <text>
        <r>
          <rPr>
            <sz val="8"/>
            <color indexed="81"/>
            <rFont val="Tahoma"/>
            <family val="2"/>
          </rPr>
          <t>Low number due to low proportion of individuals in ENEW stage in prevalent cohort.</t>
        </r>
      </text>
    </comment>
    <comment ref="B54" authorId="0" shapeId="0">
      <text>
        <r>
          <rPr>
            <sz val="8"/>
            <color indexed="81"/>
            <rFont val="Tahoma"/>
            <family val="2"/>
          </rPr>
          <t>This row tracks the subtotal of deaths between time 0 and N for the proportion of the cohort in the Eligible_New treatment stage.  It is an absorbing "event".</t>
        </r>
      </text>
    </comment>
  </commentList>
</comments>
</file>

<file path=xl/comments6.xml><?xml version="1.0" encoding="utf-8"?>
<comments xmlns="http://schemas.openxmlformats.org/spreadsheetml/2006/main">
  <authors>
    <author>April Kimmel</author>
  </authors>
  <commentList>
    <comment ref="C9" authorId="0" shapeId="0">
      <text>
        <r>
          <rPr>
            <sz val="8"/>
            <color indexed="81"/>
            <rFont val="Tahoma"/>
            <family val="2"/>
          </rPr>
          <t>Low number due to low proportion of individuals in ENEW stage in prevalent cohort.</t>
        </r>
      </text>
    </comment>
    <comment ref="C14" authorId="0" shapeId="0">
      <text>
        <r>
          <rPr>
            <sz val="8"/>
            <color indexed="81"/>
            <rFont val="Tahoma"/>
            <family val="2"/>
          </rPr>
          <t>Low number due to low proportion of individuals in ENEW stage in prevalent cohort.</t>
        </r>
      </text>
    </comment>
    <comment ref="B54" authorId="0" shapeId="0">
      <text>
        <r>
          <rPr>
            <sz val="8"/>
            <color indexed="81"/>
            <rFont val="Tahoma"/>
            <family val="2"/>
          </rPr>
          <t>This row tracks the subtotal of deaths between time 0 and N for the proportion of the cohort in the Eligible_New treatment stage.  It is an absorbing "event".</t>
        </r>
      </text>
    </comment>
  </commentList>
</comments>
</file>

<file path=xl/comments7.xml><?xml version="1.0" encoding="utf-8"?>
<comments xmlns="http://schemas.openxmlformats.org/spreadsheetml/2006/main">
  <authors>
    <author>April Kimmel</author>
  </authors>
  <commentList>
    <comment ref="C9" authorId="0" shapeId="0">
      <text>
        <r>
          <rPr>
            <sz val="8"/>
            <color indexed="81"/>
            <rFont val="Tahoma"/>
            <family val="2"/>
          </rPr>
          <t>Low number due to low proportion of individuals in ENEW stage in prevalent cohort.</t>
        </r>
      </text>
    </comment>
    <comment ref="C14" authorId="0" shapeId="0">
      <text>
        <r>
          <rPr>
            <sz val="8"/>
            <color indexed="81"/>
            <rFont val="Tahoma"/>
            <family val="2"/>
          </rPr>
          <t>Low number due to low proportion of individuals in ENEW stage in prevalent cohort.</t>
        </r>
      </text>
    </comment>
    <comment ref="B54" authorId="0" shapeId="0">
      <text>
        <r>
          <rPr>
            <sz val="8"/>
            <color indexed="81"/>
            <rFont val="Tahoma"/>
            <family val="2"/>
          </rPr>
          <t>This row tracks the subtotal of deaths between time 0 and N for the proportion of the cohort in the Eligible_New treatment stage.  It is an absorbing "event".</t>
        </r>
      </text>
    </comment>
  </commentList>
</comments>
</file>

<file path=xl/comments8.xml><?xml version="1.0" encoding="utf-8"?>
<comments xmlns="http://schemas.openxmlformats.org/spreadsheetml/2006/main">
  <authors>
    <author>April Kimmel</author>
  </authors>
  <commentList>
    <comment ref="C9" authorId="0" shapeId="0">
      <text>
        <r>
          <rPr>
            <sz val="8"/>
            <color indexed="81"/>
            <rFont val="Tahoma"/>
            <family val="2"/>
          </rPr>
          <t>Low number due to low proportion of individuals in ENEW stage in prevalent cohort.</t>
        </r>
      </text>
    </comment>
    <comment ref="C14" authorId="0" shapeId="0">
      <text>
        <r>
          <rPr>
            <sz val="8"/>
            <color indexed="81"/>
            <rFont val="Tahoma"/>
            <family val="2"/>
          </rPr>
          <t>Low number due to low proportion of individuals in ENEW stage in prevalent cohort.</t>
        </r>
      </text>
    </comment>
    <comment ref="B54" authorId="0" shapeId="0">
      <text>
        <r>
          <rPr>
            <sz val="8"/>
            <color indexed="81"/>
            <rFont val="Tahoma"/>
            <family val="2"/>
          </rPr>
          <t>This row tracks the subtotal of deaths between time 0 and N for the proportion of the cohort in the Eligible_New treatment stage.  It is an absorbing "event".</t>
        </r>
      </text>
    </comment>
  </commentList>
</comments>
</file>

<file path=xl/comments9.xml><?xml version="1.0" encoding="utf-8"?>
<comments xmlns="http://schemas.openxmlformats.org/spreadsheetml/2006/main">
  <authors>
    <author>April Kimmel</author>
  </authors>
  <commentList>
    <comment ref="C9" authorId="0" shapeId="0">
      <text>
        <r>
          <rPr>
            <sz val="8"/>
            <color indexed="81"/>
            <rFont val="Tahoma"/>
            <family val="2"/>
          </rPr>
          <t>Low number due to low proportion of individuals in ENEW stage in prevalent cohort.</t>
        </r>
      </text>
    </comment>
    <comment ref="C14" authorId="0" shapeId="0">
      <text>
        <r>
          <rPr>
            <sz val="8"/>
            <color indexed="81"/>
            <rFont val="Tahoma"/>
            <family val="2"/>
          </rPr>
          <t>Low number due to low proportion of individuals in ENEW stage in prevalent cohort.</t>
        </r>
      </text>
    </comment>
    <comment ref="B54" authorId="0" shapeId="0">
      <text>
        <r>
          <rPr>
            <sz val="8"/>
            <color indexed="81"/>
            <rFont val="Tahoma"/>
            <family val="2"/>
          </rPr>
          <t>This row tracks the subtotal of deaths between time 0 and N for the proportion of the cohort in the Eligible_New treatment stage.  It is an absorbing "event".</t>
        </r>
      </text>
    </comment>
  </commentList>
</comments>
</file>

<file path=xl/sharedStrings.xml><?xml version="1.0" encoding="utf-8"?>
<sst xmlns="http://schemas.openxmlformats.org/spreadsheetml/2006/main" count="5007" uniqueCount="969">
  <si>
    <r>
      <t xml:space="preserve">Number of incident HIV-infected individuals at time </t>
    </r>
    <r>
      <rPr>
        <i/>
        <sz val="11"/>
        <color indexed="8"/>
        <rFont val="Calibri"/>
        <family val="2"/>
      </rPr>
      <t>t</t>
    </r>
    <r>
      <rPr>
        <sz val="11"/>
        <color theme="1"/>
        <rFont val="Calibri"/>
        <family val="2"/>
        <scheme val="minor"/>
      </rPr>
      <t xml:space="preserve">=1, where </t>
    </r>
    <r>
      <rPr>
        <i/>
        <sz val="11"/>
        <color indexed="8"/>
        <rFont val="Calibri"/>
        <family val="2"/>
      </rPr>
      <t xml:space="preserve">t </t>
    </r>
    <r>
      <rPr>
        <sz val="11"/>
        <color theme="1"/>
        <rFont val="Calibri"/>
        <family val="2"/>
        <scheme val="minor"/>
      </rPr>
      <t xml:space="preserve">is defined as an index from 0 (for the prevalent cohort) to </t>
    </r>
    <r>
      <rPr>
        <i/>
        <sz val="11"/>
        <color indexed="8"/>
        <rFont val="Calibri"/>
        <family val="2"/>
      </rPr>
      <t>n</t>
    </r>
    <r>
      <rPr>
        <sz val="11"/>
        <color theme="1"/>
        <rFont val="Calibri"/>
        <family val="2"/>
        <scheme val="minor"/>
      </rPr>
      <t>.</t>
    </r>
  </si>
  <si>
    <r>
      <t xml:space="preserve">Number of incident HIV-infected individuals at time </t>
    </r>
    <r>
      <rPr>
        <i/>
        <sz val="11"/>
        <color indexed="8"/>
        <rFont val="Calibri"/>
        <family val="2"/>
      </rPr>
      <t>t</t>
    </r>
    <r>
      <rPr>
        <sz val="11"/>
        <color theme="1"/>
        <rFont val="Calibri"/>
        <family val="2"/>
        <scheme val="minor"/>
      </rPr>
      <t xml:space="preserve">=2, where </t>
    </r>
    <r>
      <rPr>
        <i/>
        <sz val="11"/>
        <color indexed="8"/>
        <rFont val="Calibri"/>
        <family val="2"/>
      </rPr>
      <t xml:space="preserve">t </t>
    </r>
    <r>
      <rPr>
        <sz val="11"/>
        <color theme="1"/>
        <rFont val="Calibri"/>
        <family val="2"/>
        <scheme val="minor"/>
      </rPr>
      <t xml:space="preserve">is defined as an index from 0 (for the prevalent cohort) to </t>
    </r>
    <r>
      <rPr>
        <i/>
        <sz val="11"/>
        <color indexed="8"/>
        <rFont val="Calibri"/>
        <family val="2"/>
      </rPr>
      <t>n</t>
    </r>
    <r>
      <rPr>
        <sz val="11"/>
        <color theme="1"/>
        <rFont val="Calibri"/>
        <family val="2"/>
        <scheme val="minor"/>
      </rPr>
      <t>.</t>
    </r>
  </si>
  <si>
    <r>
      <t xml:space="preserve">Number of incident HIV-infected individuals at time </t>
    </r>
    <r>
      <rPr>
        <i/>
        <sz val="11"/>
        <color indexed="8"/>
        <rFont val="Calibri"/>
        <family val="2"/>
      </rPr>
      <t>t</t>
    </r>
    <r>
      <rPr>
        <sz val="11"/>
        <color theme="1"/>
        <rFont val="Calibri"/>
        <family val="2"/>
        <scheme val="minor"/>
      </rPr>
      <t xml:space="preserve">=3, where </t>
    </r>
    <r>
      <rPr>
        <i/>
        <sz val="11"/>
        <color indexed="8"/>
        <rFont val="Calibri"/>
        <family val="2"/>
      </rPr>
      <t xml:space="preserve">t </t>
    </r>
    <r>
      <rPr>
        <sz val="11"/>
        <color theme="1"/>
        <rFont val="Calibri"/>
        <family val="2"/>
        <scheme val="minor"/>
      </rPr>
      <t xml:space="preserve">is defined as an index from 0 (for the prevalent cohort) to </t>
    </r>
    <r>
      <rPr>
        <i/>
        <sz val="11"/>
        <color indexed="8"/>
        <rFont val="Calibri"/>
        <family val="2"/>
      </rPr>
      <t>n</t>
    </r>
    <r>
      <rPr>
        <sz val="11"/>
        <color theme="1"/>
        <rFont val="Calibri"/>
        <family val="2"/>
        <scheme val="minor"/>
      </rPr>
      <t>.</t>
    </r>
  </si>
  <si>
    <r>
      <t xml:space="preserve">Number of incident HIV-infected individuals at time </t>
    </r>
    <r>
      <rPr>
        <i/>
        <sz val="11"/>
        <color indexed="8"/>
        <rFont val="Calibri"/>
        <family val="2"/>
      </rPr>
      <t>t</t>
    </r>
    <r>
      <rPr>
        <sz val="11"/>
        <color theme="1"/>
        <rFont val="Calibri"/>
        <family val="2"/>
        <scheme val="minor"/>
      </rPr>
      <t xml:space="preserve">=4, where </t>
    </r>
    <r>
      <rPr>
        <i/>
        <sz val="11"/>
        <color indexed="8"/>
        <rFont val="Calibri"/>
        <family val="2"/>
      </rPr>
      <t xml:space="preserve">t </t>
    </r>
    <r>
      <rPr>
        <sz val="11"/>
        <color theme="1"/>
        <rFont val="Calibri"/>
        <family val="2"/>
        <scheme val="minor"/>
      </rPr>
      <t xml:space="preserve">is defined as an index from 0 (for the prevalent cohort) to </t>
    </r>
    <r>
      <rPr>
        <i/>
        <sz val="11"/>
        <color indexed="8"/>
        <rFont val="Calibri"/>
        <family val="2"/>
      </rPr>
      <t>n</t>
    </r>
    <r>
      <rPr>
        <sz val="11"/>
        <color theme="1"/>
        <rFont val="Calibri"/>
        <family val="2"/>
        <scheme val="minor"/>
      </rPr>
      <t>.</t>
    </r>
  </si>
  <si>
    <r>
      <t xml:space="preserve">Number of incident HIV-infected individuals at time </t>
    </r>
    <r>
      <rPr>
        <i/>
        <sz val="11"/>
        <color indexed="8"/>
        <rFont val="Calibri"/>
        <family val="2"/>
      </rPr>
      <t>t</t>
    </r>
    <r>
      <rPr>
        <sz val="11"/>
        <color theme="1"/>
        <rFont val="Calibri"/>
        <family val="2"/>
        <scheme val="minor"/>
      </rPr>
      <t xml:space="preserve">=5, where </t>
    </r>
    <r>
      <rPr>
        <i/>
        <sz val="11"/>
        <color indexed="8"/>
        <rFont val="Calibri"/>
        <family val="2"/>
      </rPr>
      <t xml:space="preserve">t </t>
    </r>
    <r>
      <rPr>
        <sz val="11"/>
        <color theme="1"/>
        <rFont val="Calibri"/>
        <family val="2"/>
        <scheme val="minor"/>
      </rPr>
      <t xml:space="preserve">is defined as an index from 0 (for the prevalent cohort) to </t>
    </r>
    <r>
      <rPr>
        <i/>
        <sz val="11"/>
        <color indexed="8"/>
        <rFont val="Calibri"/>
        <family val="2"/>
      </rPr>
      <t>n</t>
    </r>
    <r>
      <rPr>
        <sz val="11"/>
        <color theme="1"/>
        <rFont val="Calibri"/>
        <family val="2"/>
        <scheme val="minor"/>
      </rPr>
      <t>.</t>
    </r>
  </si>
  <si>
    <r>
      <t xml:space="preserve">Number of incident HIV-infected individuals at time </t>
    </r>
    <r>
      <rPr>
        <i/>
        <sz val="11"/>
        <color indexed="8"/>
        <rFont val="Calibri"/>
        <family val="2"/>
      </rPr>
      <t>t</t>
    </r>
    <r>
      <rPr>
        <sz val="11"/>
        <color theme="1"/>
        <rFont val="Calibri"/>
        <family val="2"/>
        <scheme val="minor"/>
      </rPr>
      <t xml:space="preserve">=6, where </t>
    </r>
    <r>
      <rPr>
        <i/>
        <sz val="11"/>
        <color indexed="8"/>
        <rFont val="Calibri"/>
        <family val="2"/>
      </rPr>
      <t xml:space="preserve">t </t>
    </r>
    <r>
      <rPr>
        <sz val="11"/>
        <color theme="1"/>
        <rFont val="Calibri"/>
        <family val="2"/>
        <scheme val="minor"/>
      </rPr>
      <t xml:space="preserve">is defined as an index from 0 (for the prevalent cohort) to </t>
    </r>
    <r>
      <rPr>
        <i/>
        <sz val="11"/>
        <color indexed="8"/>
        <rFont val="Calibri"/>
        <family val="2"/>
      </rPr>
      <t>n</t>
    </r>
    <r>
      <rPr>
        <sz val="11"/>
        <color theme="1"/>
        <rFont val="Calibri"/>
        <family val="2"/>
        <scheme val="minor"/>
      </rPr>
      <t>.</t>
    </r>
  </si>
  <si>
    <r>
      <t xml:space="preserve">Number of incident HIV-infected individuals at time </t>
    </r>
    <r>
      <rPr>
        <i/>
        <sz val="11"/>
        <color indexed="8"/>
        <rFont val="Calibri"/>
        <family val="2"/>
      </rPr>
      <t>t</t>
    </r>
    <r>
      <rPr>
        <sz val="11"/>
        <color theme="1"/>
        <rFont val="Calibri"/>
        <family val="2"/>
        <scheme val="minor"/>
      </rPr>
      <t xml:space="preserve">=7, where </t>
    </r>
    <r>
      <rPr>
        <i/>
        <sz val="11"/>
        <color indexed="8"/>
        <rFont val="Calibri"/>
        <family val="2"/>
      </rPr>
      <t xml:space="preserve">t </t>
    </r>
    <r>
      <rPr>
        <sz val="11"/>
        <color theme="1"/>
        <rFont val="Calibri"/>
        <family val="2"/>
        <scheme val="minor"/>
      </rPr>
      <t xml:space="preserve">is defined as an index from 0 (for the prevalent cohort) to </t>
    </r>
    <r>
      <rPr>
        <i/>
        <sz val="11"/>
        <color indexed="8"/>
        <rFont val="Calibri"/>
        <family val="2"/>
      </rPr>
      <t>n</t>
    </r>
    <r>
      <rPr>
        <sz val="11"/>
        <color theme="1"/>
        <rFont val="Calibri"/>
        <family val="2"/>
        <scheme val="minor"/>
      </rPr>
      <t>.</t>
    </r>
  </si>
  <si>
    <r>
      <t xml:space="preserve">Number of incident HIV-infected individuals at time </t>
    </r>
    <r>
      <rPr>
        <i/>
        <sz val="11"/>
        <color indexed="8"/>
        <rFont val="Calibri"/>
        <family val="2"/>
      </rPr>
      <t>t</t>
    </r>
    <r>
      <rPr>
        <sz val="11"/>
        <color theme="1"/>
        <rFont val="Calibri"/>
        <family val="2"/>
        <scheme val="minor"/>
      </rPr>
      <t xml:space="preserve">=8, where </t>
    </r>
    <r>
      <rPr>
        <i/>
        <sz val="11"/>
        <color indexed="8"/>
        <rFont val="Calibri"/>
        <family val="2"/>
      </rPr>
      <t xml:space="preserve">t </t>
    </r>
    <r>
      <rPr>
        <sz val="11"/>
        <color theme="1"/>
        <rFont val="Calibri"/>
        <family val="2"/>
        <scheme val="minor"/>
      </rPr>
      <t xml:space="preserve">is defined as an index from 0 (for the prevalent cohort) to </t>
    </r>
    <r>
      <rPr>
        <i/>
        <sz val="11"/>
        <color indexed="8"/>
        <rFont val="Calibri"/>
        <family val="2"/>
      </rPr>
      <t>n</t>
    </r>
    <r>
      <rPr>
        <sz val="11"/>
        <color theme="1"/>
        <rFont val="Calibri"/>
        <family val="2"/>
        <scheme val="minor"/>
      </rPr>
      <t>.</t>
    </r>
  </si>
  <si>
    <r>
      <t xml:space="preserve">Number of incident HIV-infected individuals at time </t>
    </r>
    <r>
      <rPr>
        <i/>
        <sz val="11"/>
        <color indexed="8"/>
        <rFont val="Calibri"/>
        <family val="2"/>
      </rPr>
      <t>t</t>
    </r>
    <r>
      <rPr>
        <sz val="11"/>
        <color theme="1"/>
        <rFont val="Calibri"/>
        <family val="2"/>
        <scheme val="minor"/>
      </rPr>
      <t xml:space="preserve">=9, where </t>
    </r>
    <r>
      <rPr>
        <i/>
        <sz val="11"/>
        <color indexed="8"/>
        <rFont val="Calibri"/>
        <family val="2"/>
      </rPr>
      <t xml:space="preserve">t </t>
    </r>
    <r>
      <rPr>
        <sz val="11"/>
        <color theme="1"/>
        <rFont val="Calibri"/>
        <family val="2"/>
        <scheme val="minor"/>
      </rPr>
      <t xml:space="preserve">is defined as an index from 0 (for the prevalent cohort) to </t>
    </r>
    <r>
      <rPr>
        <i/>
        <sz val="11"/>
        <color indexed="8"/>
        <rFont val="Calibri"/>
        <family val="2"/>
      </rPr>
      <t>n</t>
    </r>
    <r>
      <rPr>
        <sz val="11"/>
        <color theme="1"/>
        <rFont val="Calibri"/>
        <family val="2"/>
        <scheme val="minor"/>
      </rPr>
      <t>.</t>
    </r>
  </si>
  <si>
    <r>
      <t xml:space="preserve">Number of incident HIV-infected individuals at time </t>
    </r>
    <r>
      <rPr>
        <i/>
        <sz val="11"/>
        <color indexed="8"/>
        <rFont val="Calibri"/>
        <family val="2"/>
      </rPr>
      <t>t</t>
    </r>
    <r>
      <rPr>
        <sz val="11"/>
        <color theme="1"/>
        <rFont val="Calibri"/>
        <family val="2"/>
        <scheme val="minor"/>
      </rPr>
      <t xml:space="preserve">=10, where </t>
    </r>
    <r>
      <rPr>
        <i/>
        <sz val="11"/>
        <color indexed="8"/>
        <rFont val="Calibri"/>
        <family val="2"/>
      </rPr>
      <t xml:space="preserve">t </t>
    </r>
    <r>
      <rPr>
        <sz val="11"/>
        <color theme="1"/>
        <rFont val="Calibri"/>
        <family val="2"/>
        <scheme val="minor"/>
      </rPr>
      <t xml:space="preserve">is defined as an index from 0 (for the prevalent cohort) to </t>
    </r>
    <r>
      <rPr>
        <i/>
        <sz val="11"/>
        <color indexed="8"/>
        <rFont val="Calibri"/>
        <family val="2"/>
      </rPr>
      <t>n</t>
    </r>
    <r>
      <rPr>
        <sz val="11"/>
        <color theme="1"/>
        <rFont val="Calibri"/>
        <family val="2"/>
        <scheme val="minor"/>
      </rPr>
      <t>.</t>
    </r>
  </si>
  <si>
    <r>
      <t xml:space="preserve">Number of incident HIV-infected individuals at time </t>
    </r>
    <r>
      <rPr>
        <i/>
        <sz val="11"/>
        <color indexed="8"/>
        <rFont val="Calibri"/>
        <family val="2"/>
      </rPr>
      <t>t</t>
    </r>
    <r>
      <rPr>
        <sz val="11"/>
        <color theme="1"/>
        <rFont val="Calibri"/>
        <family val="2"/>
        <scheme val="minor"/>
      </rPr>
      <t xml:space="preserve">=11, where </t>
    </r>
    <r>
      <rPr>
        <i/>
        <sz val="11"/>
        <color indexed="8"/>
        <rFont val="Calibri"/>
        <family val="2"/>
      </rPr>
      <t xml:space="preserve">t </t>
    </r>
    <r>
      <rPr>
        <sz val="11"/>
        <color theme="1"/>
        <rFont val="Calibri"/>
        <family val="2"/>
        <scheme val="minor"/>
      </rPr>
      <t xml:space="preserve">is defined as an index from 0 (for the prevalent cohort) to </t>
    </r>
    <r>
      <rPr>
        <i/>
        <sz val="11"/>
        <color indexed="8"/>
        <rFont val="Calibri"/>
        <family val="2"/>
      </rPr>
      <t>n</t>
    </r>
    <r>
      <rPr>
        <sz val="11"/>
        <color theme="1"/>
        <rFont val="Calibri"/>
        <family val="2"/>
        <scheme val="minor"/>
      </rPr>
      <t>.</t>
    </r>
  </si>
  <si>
    <r>
      <t xml:space="preserve">Number of incident HIV-infected individuals at time </t>
    </r>
    <r>
      <rPr>
        <i/>
        <sz val="11"/>
        <color indexed="8"/>
        <rFont val="Calibri"/>
        <family val="2"/>
      </rPr>
      <t>t</t>
    </r>
    <r>
      <rPr>
        <sz val="11"/>
        <color theme="1"/>
        <rFont val="Calibri"/>
        <family val="2"/>
        <scheme val="minor"/>
      </rPr>
      <t xml:space="preserve">=12, where </t>
    </r>
    <r>
      <rPr>
        <i/>
        <sz val="11"/>
        <color indexed="8"/>
        <rFont val="Calibri"/>
        <family val="2"/>
      </rPr>
      <t xml:space="preserve">t </t>
    </r>
    <r>
      <rPr>
        <sz val="11"/>
        <color theme="1"/>
        <rFont val="Calibri"/>
        <family val="2"/>
        <scheme val="minor"/>
      </rPr>
      <t xml:space="preserve">is defined as an index from 0 (for the prevalent cohort) to </t>
    </r>
    <r>
      <rPr>
        <i/>
        <sz val="11"/>
        <color indexed="8"/>
        <rFont val="Calibri"/>
        <family val="2"/>
      </rPr>
      <t>n</t>
    </r>
    <r>
      <rPr>
        <sz val="11"/>
        <color theme="1"/>
        <rFont val="Calibri"/>
        <family val="2"/>
        <scheme val="minor"/>
      </rPr>
      <t>.</t>
    </r>
  </si>
  <si>
    <r>
      <t xml:space="preserve">Number of incident HIV-infected individuals at time </t>
    </r>
    <r>
      <rPr>
        <i/>
        <sz val="11"/>
        <color indexed="8"/>
        <rFont val="Calibri"/>
        <family val="2"/>
      </rPr>
      <t>t</t>
    </r>
    <r>
      <rPr>
        <sz val="11"/>
        <color theme="1"/>
        <rFont val="Calibri"/>
        <family val="2"/>
        <scheme val="minor"/>
      </rPr>
      <t xml:space="preserve">=13, where </t>
    </r>
    <r>
      <rPr>
        <i/>
        <sz val="11"/>
        <color indexed="8"/>
        <rFont val="Calibri"/>
        <family val="2"/>
      </rPr>
      <t xml:space="preserve">t </t>
    </r>
    <r>
      <rPr>
        <sz val="11"/>
        <color theme="1"/>
        <rFont val="Calibri"/>
        <family val="2"/>
        <scheme val="minor"/>
      </rPr>
      <t xml:space="preserve">is defined as an index from 0 (for the prevalent cohort) to </t>
    </r>
    <r>
      <rPr>
        <i/>
        <sz val="11"/>
        <color indexed="8"/>
        <rFont val="Calibri"/>
        <family val="2"/>
      </rPr>
      <t>n</t>
    </r>
    <r>
      <rPr>
        <sz val="11"/>
        <color theme="1"/>
        <rFont val="Calibri"/>
        <family val="2"/>
        <scheme val="minor"/>
      </rPr>
      <t>.</t>
    </r>
  </si>
  <si>
    <r>
      <t xml:space="preserve">Number of incident HIV-infected individuals at time </t>
    </r>
    <r>
      <rPr>
        <i/>
        <sz val="11"/>
        <color indexed="8"/>
        <rFont val="Calibri"/>
        <family val="2"/>
      </rPr>
      <t>t</t>
    </r>
    <r>
      <rPr>
        <sz val="11"/>
        <color theme="1"/>
        <rFont val="Calibri"/>
        <family val="2"/>
        <scheme val="minor"/>
      </rPr>
      <t xml:space="preserve">=14, where </t>
    </r>
    <r>
      <rPr>
        <i/>
        <sz val="11"/>
        <color indexed="8"/>
        <rFont val="Calibri"/>
        <family val="2"/>
      </rPr>
      <t xml:space="preserve">t </t>
    </r>
    <r>
      <rPr>
        <sz val="11"/>
        <color theme="1"/>
        <rFont val="Calibri"/>
        <family val="2"/>
        <scheme val="minor"/>
      </rPr>
      <t xml:space="preserve">is defined as an index from 0 (for the prevalent cohort) to </t>
    </r>
    <r>
      <rPr>
        <i/>
        <sz val="11"/>
        <color indexed="8"/>
        <rFont val="Calibri"/>
        <family val="2"/>
      </rPr>
      <t>n</t>
    </r>
    <r>
      <rPr>
        <sz val="11"/>
        <color theme="1"/>
        <rFont val="Calibri"/>
        <family val="2"/>
        <scheme val="minor"/>
      </rPr>
      <t>.</t>
    </r>
  </si>
  <si>
    <t>MODEL CONCEPTUAL FRAMEWORK (DETAILED)</t>
  </si>
  <si>
    <t>Model log:  Changes from previous iteration</t>
  </si>
  <si>
    <t>Version</t>
  </si>
  <si>
    <t>Change</t>
  </si>
  <si>
    <t>Lower bound</t>
  </si>
  <si>
    <t>Upper bound</t>
  </si>
  <si>
    <t>External calibration (top 25 sets)</t>
  </si>
  <si>
    <t>Assumption</t>
  </si>
  <si>
    <t>Subtotal:</t>
  </si>
  <si>
    <t>WHO</t>
  </si>
  <si>
    <t>Adult HIV prevalence</t>
  </si>
  <si>
    <t>Number on ART</t>
  </si>
  <si>
    <t>In current model, parameter refers to 2010.</t>
  </si>
  <si>
    <t>In current model, parameter refers to 2011.</t>
  </si>
  <si>
    <t>In current model, parameter refers to 2012.</t>
  </si>
  <si>
    <t>In current model, parameter refers to 2013.</t>
  </si>
  <si>
    <t>In current model, parameter refers to 2014.</t>
  </si>
  <si>
    <t>In current model, parameter refers to 2015.</t>
  </si>
  <si>
    <t>In current model, parameter refers to 2016.</t>
  </si>
  <si>
    <t>In current model, parameter refers to 2017.</t>
  </si>
  <si>
    <t>In current model, parameter refers to 2018.</t>
  </si>
  <si>
    <t>In current model, parameter refers to 2019.</t>
  </si>
  <si>
    <r>
      <t xml:space="preserve">Multiplier for pre-ART LTFU for the fraction of the cohort in the </t>
    </r>
    <r>
      <rPr>
        <i/>
        <sz val="11"/>
        <color indexed="8"/>
        <rFont val="Calibri"/>
        <family val="2"/>
      </rPr>
      <t xml:space="preserve">Eligible New </t>
    </r>
    <r>
      <rPr>
        <sz val="11"/>
        <color theme="1"/>
        <rFont val="Calibri"/>
        <family val="2"/>
        <scheme val="minor"/>
      </rPr>
      <t>stage.</t>
    </r>
  </si>
  <si>
    <r>
      <t xml:space="preserve">Multiplier for pre-ART LTFU for the fraction of the cohort in the </t>
    </r>
    <r>
      <rPr>
        <i/>
        <sz val="11"/>
        <color indexed="8"/>
        <rFont val="Calibri"/>
        <family val="2"/>
      </rPr>
      <t xml:space="preserve">Not Eligible </t>
    </r>
    <r>
      <rPr>
        <sz val="11"/>
        <color theme="1"/>
        <rFont val="Calibri"/>
        <family val="2"/>
        <scheme val="minor"/>
      </rPr>
      <t>stage.</t>
    </r>
  </si>
  <si>
    <t>m_Mort_NoCare&amp;LTFU</t>
  </si>
  <si>
    <r>
      <t xml:space="preserve">Probability of transitioning from </t>
    </r>
    <r>
      <rPr>
        <i/>
        <sz val="11"/>
        <color indexed="8"/>
        <rFont val="Calibri"/>
        <family val="2"/>
      </rPr>
      <t>Not Eligible, Not in Care</t>
    </r>
    <r>
      <rPr>
        <sz val="11"/>
        <color theme="1"/>
        <rFont val="Calibri"/>
        <family val="2"/>
        <scheme val="minor"/>
      </rPr>
      <t xml:space="preserve"> to </t>
    </r>
    <r>
      <rPr>
        <i/>
        <sz val="11"/>
        <color indexed="8"/>
        <rFont val="Calibri"/>
        <family val="2"/>
      </rPr>
      <t>Not Eligible, In Care/Off ART</t>
    </r>
    <r>
      <rPr>
        <sz val="11"/>
        <color theme="1"/>
        <rFont val="Calibri"/>
        <family val="2"/>
        <scheme val="minor"/>
      </rPr>
      <t>.</t>
    </r>
  </si>
  <si>
    <r>
      <t xml:space="preserve">Probability of transitioning from </t>
    </r>
    <r>
      <rPr>
        <i/>
        <sz val="11"/>
        <color indexed="8"/>
        <rFont val="Calibri"/>
        <family val="2"/>
      </rPr>
      <t>Not Eligible, Not in Care</t>
    </r>
    <r>
      <rPr>
        <sz val="11"/>
        <color theme="1"/>
        <rFont val="Calibri"/>
        <family val="2"/>
        <scheme val="minor"/>
      </rPr>
      <t xml:space="preserve"> to </t>
    </r>
    <r>
      <rPr>
        <i/>
        <sz val="11"/>
        <color indexed="8"/>
        <rFont val="Calibri"/>
        <family val="2"/>
      </rPr>
      <t>Not Eligible</t>
    </r>
    <r>
      <rPr>
        <sz val="11"/>
        <color theme="1"/>
        <rFont val="Calibri"/>
        <family val="2"/>
        <scheme val="minor"/>
      </rPr>
      <t xml:space="preserve">, </t>
    </r>
    <r>
      <rPr>
        <i/>
        <sz val="11"/>
        <color indexed="8"/>
        <rFont val="Calibri"/>
        <family val="2"/>
      </rPr>
      <t>Dead</t>
    </r>
    <r>
      <rPr>
        <sz val="11"/>
        <color theme="1"/>
        <rFont val="Calibri"/>
        <family val="2"/>
        <scheme val="minor"/>
      </rPr>
      <t>.</t>
    </r>
  </si>
  <si>
    <t>n/a</t>
  </si>
  <si>
    <t>Same</t>
  </si>
  <si>
    <r>
      <t xml:space="preserve">Probability of remaining in </t>
    </r>
    <r>
      <rPr>
        <i/>
        <sz val="11"/>
        <color indexed="8"/>
        <rFont val="Calibri"/>
        <family val="2"/>
      </rPr>
      <t>Not Eligible, Not in Care</t>
    </r>
    <r>
      <rPr>
        <sz val="11"/>
        <color theme="1"/>
        <rFont val="Calibri"/>
        <family val="2"/>
        <scheme val="minor"/>
      </rPr>
      <t>.</t>
    </r>
  </si>
  <si>
    <t>Varies</t>
  </si>
  <si>
    <r>
      <t xml:space="preserve">Probability of transitioning from </t>
    </r>
    <r>
      <rPr>
        <i/>
        <sz val="11"/>
        <color indexed="8"/>
        <rFont val="Calibri"/>
        <family val="2"/>
      </rPr>
      <t>Not Eligible</t>
    </r>
    <r>
      <rPr>
        <sz val="11"/>
        <color theme="1"/>
        <rFont val="Calibri"/>
        <family val="2"/>
        <scheme val="minor"/>
      </rPr>
      <t xml:space="preserve">, </t>
    </r>
    <r>
      <rPr>
        <i/>
        <sz val="11"/>
        <color indexed="8"/>
        <rFont val="Calibri"/>
        <family val="2"/>
      </rPr>
      <t>In Care/off ART</t>
    </r>
    <r>
      <rPr>
        <sz val="11"/>
        <color theme="1"/>
        <rFont val="Calibri"/>
        <family val="2"/>
        <scheme val="minor"/>
      </rPr>
      <t xml:space="preserve"> to </t>
    </r>
    <r>
      <rPr>
        <i/>
        <sz val="11"/>
        <color indexed="8"/>
        <rFont val="Calibri"/>
        <family val="2"/>
      </rPr>
      <t>Not Eligible,</t>
    </r>
    <r>
      <rPr>
        <sz val="11"/>
        <color theme="1"/>
        <rFont val="Calibri"/>
        <family val="2"/>
        <scheme val="minor"/>
      </rPr>
      <t xml:space="preserve"> </t>
    </r>
    <r>
      <rPr>
        <i/>
        <sz val="11"/>
        <color indexed="8"/>
        <rFont val="Calibri"/>
        <family val="2"/>
      </rPr>
      <t>Lost to Follow-up</t>
    </r>
    <r>
      <rPr>
        <sz val="11"/>
        <color theme="1"/>
        <rFont val="Calibri"/>
        <family val="2"/>
        <scheme val="minor"/>
      </rPr>
      <t>.</t>
    </r>
  </si>
  <si>
    <r>
      <t xml:space="preserve">Probability of transitioning from </t>
    </r>
    <r>
      <rPr>
        <i/>
        <sz val="11"/>
        <color indexed="8"/>
        <rFont val="Calibri"/>
        <family val="2"/>
      </rPr>
      <t>Not Eligible,</t>
    </r>
    <r>
      <rPr>
        <sz val="11"/>
        <color theme="1"/>
        <rFont val="Calibri"/>
        <family val="2"/>
        <scheme val="minor"/>
      </rPr>
      <t xml:space="preserve"> </t>
    </r>
    <r>
      <rPr>
        <i/>
        <sz val="11"/>
        <color indexed="8"/>
        <rFont val="Calibri"/>
        <family val="2"/>
      </rPr>
      <t>In Care/off ART</t>
    </r>
    <r>
      <rPr>
        <sz val="11"/>
        <color theme="1"/>
        <rFont val="Calibri"/>
        <family val="2"/>
        <scheme val="minor"/>
      </rPr>
      <t xml:space="preserve"> to </t>
    </r>
    <r>
      <rPr>
        <i/>
        <sz val="11"/>
        <color indexed="8"/>
        <rFont val="Calibri"/>
        <family val="2"/>
      </rPr>
      <t>Not Eligible</t>
    </r>
    <r>
      <rPr>
        <sz val="11"/>
        <color theme="1"/>
        <rFont val="Calibri"/>
        <family val="2"/>
        <scheme val="minor"/>
      </rPr>
      <t xml:space="preserve">, </t>
    </r>
    <r>
      <rPr>
        <i/>
        <sz val="11"/>
        <color indexed="8"/>
        <rFont val="Calibri"/>
        <family val="2"/>
      </rPr>
      <t>Dead</t>
    </r>
    <r>
      <rPr>
        <sz val="11"/>
        <color theme="1"/>
        <rFont val="Calibri"/>
        <family val="2"/>
        <scheme val="minor"/>
      </rPr>
      <t>.</t>
    </r>
  </si>
  <si>
    <t>Nat hx cohort</t>
  </si>
  <si>
    <t>Empiric data: Seroc/Asympt to Death | No Sympt &amp; No AIDS</t>
  </si>
  <si>
    <t>Reflects internally calibrated value</t>
  </si>
  <si>
    <t>Orig empiric LB</t>
  </si>
  <si>
    <t>Orig empiric UB</t>
  </si>
  <si>
    <r>
      <t xml:space="preserve">Probability of remaining in </t>
    </r>
    <r>
      <rPr>
        <i/>
        <sz val="11"/>
        <color indexed="8"/>
        <rFont val="Calibri"/>
        <family val="2"/>
      </rPr>
      <t>Not Eligible, In Care/off ART</t>
    </r>
    <r>
      <rPr>
        <sz val="11"/>
        <color theme="1"/>
        <rFont val="Calibri"/>
        <family val="2"/>
        <scheme val="minor"/>
      </rPr>
      <t>.</t>
    </r>
  </si>
  <si>
    <r>
      <t xml:space="preserve">Probability of transitioning from </t>
    </r>
    <r>
      <rPr>
        <i/>
        <sz val="11"/>
        <color indexed="8"/>
        <rFont val="Calibri"/>
        <family val="2"/>
      </rPr>
      <t>Not Eligible,</t>
    </r>
    <r>
      <rPr>
        <sz val="11"/>
        <color theme="1"/>
        <rFont val="Calibri"/>
        <family val="2"/>
        <scheme val="minor"/>
      </rPr>
      <t xml:space="preserve"> </t>
    </r>
    <r>
      <rPr>
        <i/>
        <sz val="11"/>
        <color indexed="8"/>
        <rFont val="Calibri"/>
        <family val="2"/>
      </rPr>
      <t xml:space="preserve">Lost to Follow-up </t>
    </r>
    <r>
      <rPr>
        <sz val="11"/>
        <color indexed="8"/>
        <rFont val="Calibri"/>
        <family val="2"/>
      </rPr>
      <t xml:space="preserve">to </t>
    </r>
    <r>
      <rPr>
        <i/>
        <sz val="11"/>
        <color indexed="8"/>
        <rFont val="Calibri"/>
        <family val="2"/>
      </rPr>
      <t>Not Eligible, Dead</t>
    </r>
    <r>
      <rPr>
        <sz val="11"/>
        <color theme="1"/>
        <rFont val="Calibri"/>
        <family val="2"/>
        <scheme val="minor"/>
      </rPr>
      <t>.</t>
    </r>
  </si>
  <si>
    <r>
      <t xml:space="preserve">Probability of remaining in </t>
    </r>
    <r>
      <rPr>
        <i/>
        <sz val="11"/>
        <color indexed="8"/>
        <rFont val="Calibri"/>
        <family val="2"/>
      </rPr>
      <t>Not Eligible, Lost to Follow-up</t>
    </r>
    <r>
      <rPr>
        <sz val="11"/>
        <color theme="1"/>
        <rFont val="Calibri"/>
        <family val="2"/>
        <scheme val="minor"/>
      </rPr>
      <t>.</t>
    </r>
  </si>
  <si>
    <t>Empiric data: Sympt HIV to Death | No AIDS</t>
  </si>
  <si>
    <t>CIPRA cohort</t>
  </si>
  <si>
    <t>Event 14 in data analysis results dated 2/23/2011</t>
  </si>
  <si>
    <r>
      <t xml:space="preserve">Probability of transitioning from </t>
    </r>
    <r>
      <rPr>
        <i/>
        <sz val="11"/>
        <color indexed="8"/>
        <rFont val="Calibri"/>
        <family val="2"/>
      </rPr>
      <t>Eligible_Old, Not in Care</t>
    </r>
    <r>
      <rPr>
        <sz val="11"/>
        <color theme="1"/>
        <rFont val="Calibri"/>
        <family val="2"/>
        <scheme val="minor"/>
      </rPr>
      <t xml:space="preserve"> to </t>
    </r>
    <r>
      <rPr>
        <i/>
        <sz val="11"/>
        <color indexed="8"/>
        <rFont val="Calibri"/>
        <family val="2"/>
      </rPr>
      <t>Eligible_Old, In Care/Off ART</t>
    </r>
    <r>
      <rPr>
        <sz val="11"/>
        <color theme="1"/>
        <rFont val="Calibri"/>
        <family val="2"/>
        <scheme val="minor"/>
      </rPr>
      <t>.</t>
    </r>
  </si>
  <si>
    <r>
      <t xml:space="preserve">Probability of transitioning from </t>
    </r>
    <r>
      <rPr>
        <i/>
        <sz val="11"/>
        <color indexed="8"/>
        <rFont val="Calibri"/>
        <family val="2"/>
      </rPr>
      <t>Eligible_Old, Not in Care</t>
    </r>
    <r>
      <rPr>
        <sz val="11"/>
        <color theme="1"/>
        <rFont val="Calibri"/>
        <family val="2"/>
        <scheme val="minor"/>
      </rPr>
      <t xml:space="preserve"> to </t>
    </r>
    <r>
      <rPr>
        <i/>
        <sz val="11"/>
        <color indexed="8"/>
        <rFont val="Calibri"/>
        <family val="2"/>
      </rPr>
      <t>Eligible_Old</t>
    </r>
    <r>
      <rPr>
        <sz val="11"/>
        <color theme="1"/>
        <rFont val="Calibri"/>
        <family val="2"/>
        <scheme val="minor"/>
      </rPr>
      <t xml:space="preserve">, </t>
    </r>
    <r>
      <rPr>
        <i/>
        <sz val="11"/>
        <color indexed="8"/>
        <rFont val="Calibri"/>
        <family val="2"/>
      </rPr>
      <t>In Care/On ART1.</t>
    </r>
  </si>
  <si>
    <r>
      <t xml:space="preserve">Probability of transitioning from </t>
    </r>
    <r>
      <rPr>
        <i/>
        <sz val="11"/>
        <color indexed="8"/>
        <rFont val="Calibri"/>
        <family val="2"/>
      </rPr>
      <t>Eligible_Old, Not in Care</t>
    </r>
    <r>
      <rPr>
        <sz val="11"/>
        <color theme="1"/>
        <rFont val="Calibri"/>
        <family val="2"/>
        <scheme val="minor"/>
      </rPr>
      <t xml:space="preserve"> to </t>
    </r>
    <r>
      <rPr>
        <i/>
        <sz val="11"/>
        <color indexed="8"/>
        <rFont val="Calibri"/>
        <family val="2"/>
      </rPr>
      <t>Eligible_Old</t>
    </r>
    <r>
      <rPr>
        <i/>
        <sz val="11"/>
        <color indexed="8"/>
        <rFont val="Calibri"/>
        <family val="2"/>
      </rPr>
      <t xml:space="preserve">, </t>
    </r>
    <r>
      <rPr>
        <sz val="11"/>
        <color theme="1"/>
        <rFont val="Calibri"/>
        <family val="2"/>
        <scheme val="minor"/>
      </rPr>
      <t>Dead.</t>
    </r>
  </si>
  <si>
    <r>
      <t xml:space="preserve">Probability of remaining in </t>
    </r>
    <r>
      <rPr>
        <i/>
        <sz val="11"/>
        <color indexed="8"/>
        <rFont val="Calibri"/>
        <family val="2"/>
      </rPr>
      <t>Eligible_Old, Not in Care</t>
    </r>
    <r>
      <rPr>
        <sz val="11"/>
        <color theme="1"/>
        <rFont val="Calibri"/>
        <family val="2"/>
        <scheme val="minor"/>
      </rPr>
      <t>.</t>
    </r>
  </si>
  <si>
    <r>
      <t xml:space="preserve">Probability of transitioning from </t>
    </r>
    <r>
      <rPr>
        <i/>
        <sz val="11"/>
        <color indexed="8"/>
        <rFont val="Calibri"/>
        <family val="2"/>
      </rPr>
      <t>Eligible_Old, In Care/off ART</t>
    </r>
    <r>
      <rPr>
        <sz val="11"/>
        <color theme="1"/>
        <rFont val="Calibri"/>
        <family val="2"/>
        <scheme val="minor"/>
      </rPr>
      <t xml:space="preserve"> to </t>
    </r>
    <r>
      <rPr>
        <i/>
        <sz val="11"/>
        <color indexed="8"/>
        <rFont val="Calibri"/>
        <family val="2"/>
      </rPr>
      <t>Eligible_Old, In Care/On ART1</t>
    </r>
    <r>
      <rPr>
        <sz val="11"/>
        <color theme="1"/>
        <rFont val="Calibri"/>
        <family val="2"/>
        <scheme val="minor"/>
      </rPr>
      <t>.</t>
    </r>
  </si>
  <si>
    <r>
      <t xml:space="preserve">Probability of transitioning from </t>
    </r>
    <r>
      <rPr>
        <i/>
        <sz val="11"/>
        <color indexed="8"/>
        <rFont val="Calibri"/>
        <family val="2"/>
      </rPr>
      <t>Eligible_Old, In Care/off ART</t>
    </r>
    <r>
      <rPr>
        <sz val="11"/>
        <color theme="1"/>
        <rFont val="Calibri"/>
        <family val="2"/>
        <scheme val="minor"/>
      </rPr>
      <t xml:space="preserve"> to </t>
    </r>
    <r>
      <rPr>
        <i/>
        <sz val="11"/>
        <color indexed="8"/>
        <rFont val="Calibri"/>
        <family val="2"/>
      </rPr>
      <t>Eligible_Old, Lost to Follow-up</t>
    </r>
    <r>
      <rPr>
        <sz val="11"/>
        <color theme="1"/>
        <rFont val="Calibri"/>
        <family val="2"/>
        <scheme val="minor"/>
      </rPr>
      <t>.</t>
    </r>
  </si>
  <si>
    <t>Calibration</t>
  </si>
  <si>
    <t>UB of ENEW multiplier</t>
  </si>
  <si>
    <r>
      <t xml:space="preserve">Probability of transitioning from </t>
    </r>
    <r>
      <rPr>
        <i/>
        <sz val="11"/>
        <color indexed="8"/>
        <rFont val="Calibri"/>
        <family val="2"/>
      </rPr>
      <t>Eligible_Old, In Care/off ART</t>
    </r>
    <r>
      <rPr>
        <sz val="11"/>
        <color theme="1"/>
        <rFont val="Calibri"/>
        <family val="2"/>
        <scheme val="minor"/>
      </rPr>
      <t xml:space="preserve"> to </t>
    </r>
    <r>
      <rPr>
        <i/>
        <sz val="11"/>
        <color indexed="8"/>
        <rFont val="Calibri"/>
        <family val="2"/>
      </rPr>
      <t>Eligible_OId, Dead</t>
    </r>
    <r>
      <rPr>
        <sz val="11"/>
        <color theme="1"/>
        <rFont val="Calibri"/>
        <family val="2"/>
        <scheme val="minor"/>
      </rPr>
      <t>.</t>
    </r>
  </si>
  <si>
    <t>Empiric data: AIDS to death</t>
  </si>
  <si>
    <r>
      <t xml:space="preserve">Probability of remaining in </t>
    </r>
    <r>
      <rPr>
        <i/>
        <sz val="11"/>
        <color indexed="8"/>
        <rFont val="Calibri"/>
        <family val="2"/>
      </rPr>
      <t>Eligible_OId, In Care/off ART</t>
    </r>
    <r>
      <rPr>
        <sz val="11"/>
        <color theme="1"/>
        <rFont val="Calibri"/>
        <family val="2"/>
        <scheme val="minor"/>
      </rPr>
      <t>.</t>
    </r>
  </si>
  <si>
    <r>
      <t xml:space="preserve">Probability of transitioning from </t>
    </r>
    <r>
      <rPr>
        <i/>
        <sz val="11"/>
        <color indexed="8"/>
        <rFont val="Calibri"/>
        <family val="2"/>
      </rPr>
      <t>Eligible_Old, In Care/on ART1</t>
    </r>
    <r>
      <rPr>
        <sz val="11"/>
        <color theme="1"/>
        <rFont val="Calibri"/>
        <family val="2"/>
        <scheme val="minor"/>
      </rPr>
      <t xml:space="preserve"> to </t>
    </r>
    <r>
      <rPr>
        <i/>
        <sz val="11"/>
        <color indexed="8"/>
        <rFont val="Calibri"/>
        <family val="2"/>
      </rPr>
      <t>Eligible_Old, In Care/on ART2</t>
    </r>
    <r>
      <rPr>
        <sz val="11"/>
        <color theme="1"/>
        <rFont val="Calibri"/>
        <family val="2"/>
        <scheme val="minor"/>
      </rPr>
      <t>.</t>
    </r>
  </si>
  <si>
    <t>ART longitudinal cohort</t>
  </si>
  <si>
    <t>Empiric data: ART1 early to ART1 late</t>
  </si>
  <si>
    <r>
      <t xml:space="preserve">Probability of transitioning from </t>
    </r>
    <r>
      <rPr>
        <i/>
        <sz val="11"/>
        <color indexed="8"/>
        <rFont val="Calibri"/>
        <family val="2"/>
      </rPr>
      <t>Eligible_Old, In Care/on ART1</t>
    </r>
    <r>
      <rPr>
        <sz val="11"/>
        <color theme="1"/>
        <rFont val="Calibri"/>
        <family val="2"/>
        <scheme val="minor"/>
      </rPr>
      <t xml:space="preserve"> to </t>
    </r>
    <r>
      <rPr>
        <i/>
        <sz val="11"/>
        <color indexed="8"/>
        <rFont val="Calibri"/>
        <family val="2"/>
      </rPr>
      <t>Eligible_Old, Lost to Follow-up</t>
    </r>
    <r>
      <rPr>
        <sz val="11"/>
        <color theme="1"/>
        <rFont val="Calibri"/>
        <family val="2"/>
        <scheme val="minor"/>
      </rPr>
      <t>.</t>
    </r>
  </si>
  <si>
    <t>Empiric data: ART1 to LTFU</t>
  </si>
  <si>
    <r>
      <t xml:space="preserve">Probability of transitioning from </t>
    </r>
    <r>
      <rPr>
        <i/>
        <sz val="11"/>
        <color indexed="8"/>
        <rFont val="Calibri"/>
        <family val="2"/>
      </rPr>
      <t>Eligible_Old, In Care/on ART1</t>
    </r>
    <r>
      <rPr>
        <sz val="11"/>
        <color theme="1"/>
        <rFont val="Calibri"/>
        <family val="2"/>
        <scheme val="minor"/>
      </rPr>
      <t xml:space="preserve"> to </t>
    </r>
    <r>
      <rPr>
        <i/>
        <sz val="11"/>
        <color indexed="8"/>
        <rFont val="Calibri"/>
        <family val="2"/>
      </rPr>
      <t>Eligible_OId, Dead</t>
    </r>
    <r>
      <rPr>
        <sz val="11"/>
        <color theme="1"/>
        <rFont val="Calibri"/>
        <family val="2"/>
        <scheme val="minor"/>
      </rPr>
      <t>.</t>
    </r>
  </si>
  <si>
    <t>Empiric data: ART1 to any death</t>
  </si>
  <si>
    <r>
      <t xml:space="preserve">Probability of remaining in </t>
    </r>
    <r>
      <rPr>
        <i/>
        <sz val="11"/>
        <color indexed="8"/>
        <rFont val="Calibri"/>
        <family val="2"/>
      </rPr>
      <t>Eligible_Old, In Care/on ART1</t>
    </r>
    <r>
      <rPr>
        <sz val="11"/>
        <color theme="1"/>
        <rFont val="Calibri"/>
        <family val="2"/>
        <scheme val="minor"/>
      </rPr>
      <t>.</t>
    </r>
  </si>
  <si>
    <t>1st-line ART longitudinal cohort with info from ART longitudinal cohort</t>
  </si>
  <si>
    <t>Empiric data (complete dataset): Late ART1 to ART2</t>
  </si>
  <si>
    <r>
      <t xml:space="preserve">Probability of transitioning from </t>
    </r>
    <r>
      <rPr>
        <i/>
        <sz val="11"/>
        <color indexed="8"/>
        <rFont val="Calibri"/>
        <family val="2"/>
      </rPr>
      <t>Eligible_Old, In Care/on ART2</t>
    </r>
    <r>
      <rPr>
        <sz val="11"/>
        <color theme="1"/>
        <rFont val="Calibri"/>
        <family val="2"/>
        <scheme val="minor"/>
      </rPr>
      <t xml:space="preserve"> to </t>
    </r>
    <r>
      <rPr>
        <i/>
        <sz val="11"/>
        <color indexed="8"/>
        <rFont val="Calibri"/>
        <family val="2"/>
      </rPr>
      <t>Eligible_Old, Lost to Follow-up</t>
    </r>
    <r>
      <rPr>
        <sz val="11"/>
        <color theme="1"/>
        <rFont val="Calibri"/>
        <family val="2"/>
        <scheme val="minor"/>
      </rPr>
      <t>.</t>
    </r>
  </si>
  <si>
    <t>1st-line ART failures cohort</t>
  </si>
  <si>
    <t>Empiric data (complete dataset): ART2 to LTFU</t>
  </si>
  <si>
    <r>
      <t xml:space="preserve">Probability of transitioning from </t>
    </r>
    <r>
      <rPr>
        <i/>
        <sz val="11"/>
        <color indexed="8"/>
        <rFont val="Calibri"/>
        <family val="2"/>
      </rPr>
      <t>Eligible_Old, In Care/on ART2</t>
    </r>
    <r>
      <rPr>
        <sz val="11"/>
        <color theme="1"/>
        <rFont val="Calibri"/>
        <family val="2"/>
        <scheme val="minor"/>
      </rPr>
      <t xml:space="preserve"> to </t>
    </r>
    <r>
      <rPr>
        <i/>
        <sz val="11"/>
        <color indexed="8"/>
        <rFont val="Calibri"/>
        <family val="2"/>
      </rPr>
      <t>Eligible_OId, Dead</t>
    </r>
    <r>
      <rPr>
        <sz val="11"/>
        <color theme="1"/>
        <rFont val="Calibri"/>
        <family val="2"/>
        <scheme val="minor"/>
      </rPr>
      <t>.</t>
    </r>
  </si>
  <si>
    <t>Empiric data (complete dataset): ART2 to death</t>
  </si>
  <si>
    <r>
      <t xml:space="preserve">Probability of remaining in </t>
    </r>
    <r>
      <rPr>
        <i/>
        <sz val="11"/>
        <color indexed="8"/>
        <rFont val="Calibri"/>
        <family val="2"/>
      </rPr>
      <t>Eligible_Old, In Care/on ART2</t>
    </r>
    <r>
      <rPr>
        <sz val="11"/>
        <color theme="1"/>
        <rFont val="Calibri"/>
        <family val="2"/>
        <scheme val="minor"/>
      </rPr>
      <t>.</t>
    </r>
  </si>
  <si>
    <r>
      <t xml:space="preserve">Probability of transitioning from </t>
    </r>
    <r>
      <rPr>
        <i/>
        <sz val="11"/>
        <color indexed="8"/>
        <rFont val="Calibri"/>
        <family val="2"/>
      </rPr>
      <t>Eligible_Old,</t>
    </r>
    <r>
      <rPr>
        <sz val="11"/>
        <color theme="1"/>
        <rFont val="Calibri"/>
        <family val="2"/>
        <scheme val="minor"/>
      </rPr>
      <t xml:space="preserve"> </t>
    </r>
    <r>
      <rPr>
        <i/>
        <sz val="11"/>
        <color indexed="8"/>
        <rFont val="Calibri"/>
        <family val="2"/>
      </rPr>
      <t xml:space="preserve">Lost to Follow-up </t>
    </r>
    <r>
      <rPr>
        <sz val="11"/>
        <color indexed="8"/>
        <rFont val="Calibri"/>
        <family val="2"/>
      </rPr>
      <t xml:space="preserve">to </t>
    </r>
    <r>
      <rPr>
        <i/>
        <sz val="11"/>
        <color indexed="8"/>
        <rFont val="Calibri"/>
        <family val="2"/>
      </rPr>
      <t>Eligible_Old, Dead</t>
    </r>
    <r>
      <rPr>
        <sz val="11"/>
        <color theme="1"/>
        <rFont val="Calibri"/>
        <family val="2"/>
        <scheme val="minor"/>
      </rPr>
      <t>.</t>
    </r>
  </si>
  <si>
    <r>
      <t xml:space="preserve">Probability of remaining in </t>
    </r>
    <r>
      <rPr>
        <i/>
        <sz val="11"/>
        <color indexed="8"/>
        <rFont val="Calibri"/>
        <family val="2"/>
      </rPr>
      <t>Eligible_OId, Lost to Follow-up</t>
    </r>
    <r>
      <rPr>
        <sz val="11"/>
        <color theme="1"/>
        <rFont val="Calibri"/>
        <family val="2"/>
        <scheme val="minor"/>
      </rPr>
      <t>.</t>
    </r>
  </si>
  <si>
    <t>Total</t>
  </si>
  <si>
    <t>Period</t>
  </si>
  <si>
    <t>Year</t>
  </si>
  <si>
    <t>Number of individuals in each state</t>
  </si>
  <si>
    <t>Number in Care, Off ART (includes asymptomatic)</t>
  </si>
  <si>
    <t>Number on ART (CD4&lt;350 cells/uL)</t>
  </si>
  <si>
    <t>Number eligible for ART (in care and off care, CD4&lt;200 cells/uL)</t>
  </si>
  <si>
    <t>Number eligible for ART (in care and off care, CD4&lt;350 cells/uL)</t>
  </si>
  <si>
    <t>Cumulative Deaths</t>
  </si>
  <si>
    <t>ART Coverage, CD4&lt;350 cells/uL</t>
  </si>
  <si>
    <t>Number on ART (CD4&lt;200 cells/uL)</t>
  </si>
  <si>
    <t>ART Coverage, CD4&lt;200 cells/uL</t>
  </si>
  <si>
    <t>Number of individuals living with HIV</t>
  </si>
  <si>
    <t>Summary Results</t>
  </si>
  <si>
    <t>Description</t>
  </si>
  <si>
    <t>Cumulative Deaths from 2010</t>
  </si>
  <si>
    <t>06.25.2013</t>
  </si>
  <si>
    <t>MODEL</t>
  </si>
  <si>
    <t>External calibration</t>
  </si>
  <si>
    <t>Projections</t>
  </si>
  <si>
    <t>time0</t>
  </si>
  <si>
    <t>time1</t>
  </si>
  <si>
    <t>time2</t>
  </si>
  <si>
    <t>time3</t>
  </si>
  <si>
    <t>time4</t>
  </si>
  <si>
    <t>time5</t>
  </si>
  <si>
    <t>time6</t>
  </si>
  <si>
    <t>time7</t>
  </si>
  <si>
    <t>time8</t>
  </si>
  <si>
    <t>time9</t>
  </si>
  <si>
    <t>time10</t>
  </si>
  <si>
    <t>time11</t>
  </si>
  <si>
    <t>time12</t>
  </si>
  <si>
    <t>time13</t>
  </si>
  <si>
    <t>time14</t>
  </si>
  <si>
    <t>time15</t>
  </si>
  <si>
    <t>time16</t>
  </si>
  <si>
    <t>Not in care</t>
  </si>
  <si>
    <t>In care, off ART*</t>
  </si>
  <si>
    <r>
      <t>Lost from care</t>
    </r>
    <r>
      <rPr>
        <sz val="11"/>
        <color indexed="8"/>
        <rFont val="Arial"/>
        <family val="2"/>
      </rPr>
      <t>†</t>
    </r>
  </si>
  <si>
    <t>Deaths</t>
  </si>
  <si>
    <t xml:space="preserve">     Not in care</t>
  </si>
  <si>
    <t xml:space="preserve">     In care, off ART</t>
  </si>
  <si>
    <t xml:space="preserve">     Lost from care</t>
  </si>
  <si>
    <t xml:space="preserve">     Subtotal - This period</t>
  </si>
  <si>
    <t>In care, on ART1</t>
  </si>
  <si>
    <t>In care, on ART2</t>
  </si>
  <si>
    <t xml:space="preserve">     In Care, Off ART</t>
  </si>
  <si>
    <t xml:space="preserve">     In Care, on ART1</t>
  </si>
  <si>
    <t xml:space="preserve">     In Care, on ART2</t>
  </si>
  <si>
    <t xml:space="preserve">     Subtotal - pre-ART</t>
  </si>
  <si>
    <t xml:space="preserve">     Subtotal - on ART</t>
  </si>
  <si>
    <t xml:space="preserve">     Subtotal lost</t>
  </si>
  <si>
    <t xml:space="preserve">     In care, Off ART</t>
  </si>
  <si>
    <t xml:space="preserve">     ART1</t>
  </si>
  <si>
    <t xml:space="preserve">     ART2</t>
  </si>
  <si>
    <t xml:space="preserve">          In Care, Off ART</t>
  </si>
  <si>
    <t xml:space="preserve">          In Care, on ART1</t>
  </si>
  <si>
    <t xml:space="preserve">          In Care, on ART2</t>
  </si>
  <si>
    <t xml:space="preserve">          Subtotal lost</t>
  </si>
  <si>
    <t>In care, on ART1 to 12mo</t>
  </si>
  <si>
    <t>In care, on ART1 post 12 mo</t>
  </si>
  <si>
    <t xml:space="preserve">     In Care, on ART1 to 12 mo</t>
  </si>
  <si>
    <t xml:space="preserve">     In Care, on ART1 post 12 mo</t>
  </si>
  <si>
    <t xml:space="preserve">     In care</t>
  </si>
  <si>
    <t xml:space="preserve">     ART1 to 12 mo</t>
  </si>
  <si>
    <t xml:space="preserve">     ART1 post 12 mo</t>
  </si>
  <si>
    <t xml:space="preserve">          In Care, on ART1 to 12 mo</t>
  </si>
  <si>
    <t xml:space="preserve">          In Care, on ART1 post 12 mo</t>
  </si>
  <si>
    <t>Total HIV-infected adult pop:</t>
  </si>
  <si>
    <t>Total adult population:</t>
  </si>
  <si>
    <t>Adult HIV prevalence:</t>
  </si>
  <si>
    <t>* ART:  antiretroviral therapy</t>
  </si>
  <si>
    <t>† Includes patients lost from care both prior to initiating ART and while on ART.</t>
  </si>
  <si>
    <t>Legend</t>
  </si>
  <si>
    <t>= not applicable</t>
  </si>
  <si>
    <t>7.5.2013</t>
  </si>
  <si>
    <t>Changed from transition matrices by year per tab to all transition matrices contained in a single tab</t>
  </si>
  <si>
    <t>7.11.2013</t>
  </si>
  <si>
    <t>Accomplished this using "Data Validation"</t>
  </si>
  <si>
    <t>7.23.2013</t>
  </si>
  <si>
    <t>8.21.2013</t>
  </si>
  <si>
    <t>Revised model to begin in 2004 instead of 2003; increased forecast period to 10 years</t>
  </si>
  <si>
    <t>01.18.2011v2</t>
  </si>
  <si>
    <t>Incorporated pre-ART LTFU multiplier (applies to parameter worksheet only)</t>
  </si>
  <si>
    <t>01.25.2011</t>
  </si>
  <si>
    <t>Revised model to include Calibration worksheet</t>
  </si>
  <si>
    <t>03.02.2011</t>
  </si>
  <si>
    <t>Updated parameter inputs with CIPRA estimates</t>
  </si>
  <si>
    <t>03.08.2011</t>
  </si>
  <si>
    <t>Added new "User Inputs" worksheet</t>
  </si>
  <si>
    <t>03.22.2011</t>
  </si>
  <si>
    <t>Revise model structure to include early mortality on 1st-line ART in "Eligible for ART, 2006 Guidelines" stage</t>
  </si>
  <si>
    <t>Updated parameter inputs to reflect values from "1st-line ART failures, complete" analysis</t>
  </si>
  <si>
    <t>Fixed bug re remaining in ART2 event (previous version did not track those in ART2 stage who remained in ART2 stage)</t>
  </si>
  <si>
    <t>Fixed bug in "Output (name refs)" worksheet re transitioning from InCare/OffART to InCare/OnART1ear for 2010 to 2019</t>
  </si>
  <si>
    <t>03.24.2011</t>
  </si>
  <si>
    <t>Revise user inputs select policy levers no longer zeroed out (Not In Care to In Care/OffART [all stages] and Not in Care to In Care/onART1 [Eligible Old stage only])</t>
  </si>
  <si>
    <t>04.05.2011</t>
  </si>
  <si>
    <t>Updated transition probability inputs re disease progression with updated derivations (slight changes to method for calculating time at risk)</t>
  </si>
  <si>
    <t>Updated transition probability inputs re transition from care onto ART</t>
  </si>
  <si>
    <t>04.12.2011</t>
  </si>
  <si>
    <t>Fixed coding errors and/or inputs areas as follows:</t>
  </si>
  <si>
    <t xml:space="preserve">   1) Pr(Remaining on ART1ear):  Incorporated function</t>
  </si>
  <si>
    <t xml:space="preserve">   2) Formula tracking LTFU in Eligible_Old stage (ART1late to LTFU)</t>
  </si>
  <si>
    <t xml:space="preserve">   3) Formula tracking deaths in Eligible_Old Stage (ART1late to Dead)</t>
  </si>
  <si>
    <t xml:space="preserve">   4) Formula for transitioning from In Care Off to In Care On for ENEW stage</t>
  </si>
  <si>
    <t xml:space="preserve">   5) Formula for ART2: Incorporated possibility of remaining on ART2 </t>
  </si>
  <si>
    <t>Updated upper/lower bounds for parameter estimates</t>
  </si>
  <si>
    <t>Updated conceptual framework</t>
  </si>
  <si>
    <t>05.05.2011</t>
  </si>
  <si>
    <t>Updated natural hx inputs (Asympt--&gt;Sympt, Sympt--&gt;AIDS) based on internal calibration of v2011.04.12</t>
  </si>
  <si>
    <t>Updated confidence bounds for policy levers (in care, off ART to in care, on ART)</t>
  </si>
  <si>
    <t>Updated prevalence inputs and made formula-specific</t>
  </si>
  <si>
    <t>06.01.2011</t>
  </si>
  <si>
    <t>Updated User Inputs based on external calibration results</t>
  </si>
  <si>
    <t>06.02.2011</t>
  </si>
  <si>
    <t>Summarized deaths by cause</t>
  </si>
  <si>
    <t>Summarized loss from care by ART status</t>
  </si>
  <si>
    <t>06.15.2011</t>
  </si>
  <si>
    <t>Revised model structure to allow for period-specific transitions from No Care --&gt; In Care, Off ART, by health stage</t>
  </si>
  <si>
    <t>06.21.2011</t>
  </si>
  <si>
    <t>Corrected bugs across worksheets (Output vs. Output(name refs))</t>
  </si>
  <si>
    <t>Fixed formula error in Summary Measures worksheet re # alive</t>
  </si>
  <si>
    <t>07.14.2011</t>
  </si>
  <si>
    <t>Updated User Inputs based on revised external calibration results</t>
  </si>
  <si>
    <t>Fixed output for calibration period (cut and pasted results for 2004-2009, so varying inputs will not change calibrated estimates)</t>
  </si>
  <si>
    <t>07.21.2011</t>
  </si>
  <si>
    <t>Fixed model bug for number in care/off ART | given early ART eligibility, for the period 2010+</t>
  </si>
  <si>
    <t>07.25.2011</t>
  </si>
  <si>
    <t>Fixed model bug re deaths attributed to loss from care (see rows 31 and 53 of the Output worksheets)</t>
  </si>
  <si>
    <t>07.28.2011</t>
  </si>
  <si>
    <t>Changed model structure to allow for those lost from care to experience natural history disease progression</t>
  </si>
  <si>
    <t>08.08.2011</t>
  </si>
  <si>
    <t>08.14.2011</t>
  </si>
  <si>
    <t>Changed model structure to allow for differential rates of mortality among those not in care and lost from care or treatment.</t>
  </si>
  <si>
    <t>Updated User Inputs based on revised external calibration results that account for differential mortality rates.</t>
  </si>
  <si>
    <t>08.24.2011</t>
  </si>
  <si>
    <t xml:space="preserve">Updated model to forecast to 2020.  </t>
  </si>
  <si>
    <t>Assume pr(ART initiation) in 2010 will stay the same as in 2009.</t>
  </si>
  <si>
    <t>Date</t>
  </si>
  <si>
    <t>04.26.2013</t>
  </si>
  <si>
    <t>05.22.2013</t>
  </si>
  <si>
    <t>06.10.2013</t>
  </si>
  <si>
    <t>Added transition matrices to model.</t>
  </si>
  <si>
    <t>m_preARTLTFU_Asympt</t>
  </si>
  <si>
    <t>m_preARTLTFU_Int</t>
  </si>
  <si>
    <t>Probability of transitioning from Not Eligible, Not in Care to Eligible_Asympt, Not in Care.</t>
  </si>
  <si>
    <t>Probability of transitioning from Not Eligible, Not in Care to Eligible_Asympt, In Care/Off ART.</t>
  </si>
  <si>
    <t>Probability of transitioning from Not Eligible, Not in Care to Eligible_Asympt, In Care/On ART1.</t>
  </si>
  <si>
    <t>Probability of transitioning from Not Eligible, In Care/off ART to Eligible_Asympt, In Care/Off ART.</t>
  </si>
  <si>
    <t>Probability of transitioning from Not Eligible, In Care/off ART to Eligible_Asympt, In Care/On ART1.</t>
  </si>
  <si>
    <t>Probability of transitioning from Eligible_Asympt, Not in Care to Eligible_Asympt, In Care/Off ART.</t>
  </si>
  <si>
    <t>Probability of transitioning from Eligible_Asympt, Not in Care to Eligible_Asympt, In Care/On ART1.</t>
  </si>
  <si>
    <t>Probability of transitioning from Eligible_Asympt, Not in Care to Eligible_Asympt, Dead.</t>
  </si>
  <si>
    <t>Probability of transitioning from Eligible_Asympt, Not in Care to Eligible_Old, Not in Care.</t>
  </si>
  <si>
    <t>Probability of transitioning from Eligible_Asympt, Not in Care to Eligible_Old, In Care/Off ART.</t>
  </si>
  <si>
    <t>Probability of transitioning from Eligible_Asympt, Not in Care to Eligible_Old, In Care/On ART1.</t>
  </si>
  <si>
    <t>Probability of remaining in Eligible_Asympt, Not in Care.</t>
  </si>
  <si>
    <t>Probability of transitioning from Eligible_Asympt, In Care/off ART to Eligible_Asympt, In Care/On ART1.</t>
  </si>
  <si>
    <t>Probability of transitioning from Eligible_Asympt, In Care/off ART to Eligible_Asympt, Lost to Follow-up.</t>
  </si>
  <si>
    <t>Probability of transitioning from Eligible_Asympt, In Care/off ART to Eligible_Asympt, Dead.</t>
  </si>
  <si>
    <t>Probability of transitioning from Eligible_Asympt, In Care/off ART to Eligible_Old, In Care/Off ART.</t>
  </si>
  <si>
    <t>Probability of remaining in Eligible_Asympt, In Care/off ART.</t>
  </si>
  <si>
    <t>Probability of transitioning from Eligible_Asympt, In Care/on ART1 to Eligible_Asympt, In Care/on ART2.</t>
  </si>
  <si>
    <t>Probability of transitioning from Eligible_Asympt, In Care/on ART1 to Eligible_Asympt, Lost to Follow-up.</t>
  </si>
  <si>
    <t>Probability of transitioning from Eligible_Asympt, In Care/on ART1 to Eligible_Asympt, Dead.</t>
  </si>
  <si>
    <t>Probability of remaining in Eligible_Asympt, In Care/on ART1.</t>
  </si>
  <si>
    <t>Probability of transitioning from Eligible_Asympt, In Care/on ART2 to Eligible_Asympt, Lost to Follow-up.</t>
  </si>
  <si>
    <t>Probability of transitioning from Eligible_Asympt, In Care/on ART2 to Eligible_Asympt, Dead.</t>
  </si>
  <si>
    <t>Probability of remaining in Eligible_Asympt, In Care/on ART2.</t>
  </si>
  <si>
    <t>Probability of transitioning from Eligible_Asympt, Lost to Follow-up to Eligible_Asympt, Dead.</t>
  </si>
  <si>
    <t>Probability of remaining in Eligible_Asympt, Lost to Follow-up.</t>
  </si>
  <si>
    <t>Inc_2014</t>
  </si>
  <si>
    <t>Inc_2015</t>
  </si>
  <si>
    <t>Inc_2016</t>
  </si>
  <si>
    <t>Inc_2017</t>
  </si>
  <si>
    <t>Inc_2018</t>
  </si>
  <si>
    <t>Inc_2019</t>
  </si>
  <si>
    <t>Inc_2005</t>
  </si>
  <si>
    <t>Inc_2006</t>
  </si>
  <si>
    <t>Inc_2007</t>
  </si>
  <si>
    <t>Inc_2008</t>
  </si>
  <si>
    <t>Inc_2009</t>
  </si>
  <si>
    <t>Inc_2010</t>
  </si>
  <si>
    <t>Inc_2011</t>
  </si>
  <si>
    <t>Inc_2012</t>
  </si>
  <si>
    <t>Inc_2013</t>
  </si>
  <si>
    <t>pAsympt_NoCare_Asympt_InCare_2004_2006</t>
  </si>
  <si>
    <t>pAsympt_NoCare_Int_InCare_2004_2006</t>
  </si>
  <si>
    <t>pInt_NoCare_Int_InCare_2004_2006</t>
  </si>
  <si>
    <t>pInt_NoCare_AIDS_InCare_2004_2006</t>
  </si>
  <si>
    <t>pAIDS_NoCare_AIDS_InCare_2004_2006</t>
  </si>
  <si>
    <t>Incorporated time-dependent parameter estimates for EOLD_InCare_AIDS_ART1</t>
  </si>
  <si>
    <t>Added variable (pInt_InCare_Int_ART1_2010_2019) to allow for variation in ART slot availability beginning in 2010.</t>
  </si>
  <si>
    <t>Changed variable name from pInt_InCare_Int_ART1 to pInt_InCare_Int_ART1_2005_2009</t>
  </si>
  <si>
    <t>pAIDS_InCare_AIDS_ART1ear_2005</t>
  </si>
  <si>
    <t>pAIDS_InCare_AIDS_ART1ear_2006</t>
  </si>
  <si>
    <t>pAIDS_InCare_AIDS_ART1ear_2007</t>
  </si>
  <si>
    <t>pAIDS_InCare_AIDS_ART1ear_2008</t>
  </si>
  <si>
    <t>pAIDS_InCare_AIDS_ART1ear_2009</t>
  </si>
  <si>
    <t>SUMMARY MEASURES</t>
  </si>
  <si>
    <t>Total Alive</t>
  </si>
  <si>
    <t>Number Not in Care</t>
  </si>
  <si>
    <t>Number in Care</t>
  </si>
  <si>
    <t>Initiating Early ART</t>
  </si>
  <si>
    <t xml:space="preserve">     Subtotal</t>
  </si>
  <si>
    <t>Initiating Deferred ART</t>
  </si>
  <si>
    <t>Subtotal ART1</t>
  </si>
  <si>
    <t>Subtotal ART2</t>
  </si>
  <si>
    <t>Number Currently Lost from Care</t>
  </si>
  <si>
    <t xml:space="preserve">     preART</t>
  </si>
  <si>
    <t xml:space="preserve">     on ART</t>
  </si>
  <si>
    <t>Subtotal preART</t>
  </si>
  <si>
    <t>Subtotal on ART</t>
  </si>
  <si>
    <t>Dead</t>
  </si>
  <si>
    <t xml:space="preserve">     Cumulative</t>
  </si>
  <si>
    <t xml:space="preserve">     ART1 or ART2</t>
  </si>
  <si>
    <t>Subtotal - This period</t>
  </si>
  <si>
    <t>Cumulative (since 2004)</t>
  </si>
  <si>
    <t>Cumulative (since 2010)</t>
  </si>
  <si>
    <t>9.24.2013</t>
  </si>
  <si>
    <t>Initiated the "No New ART" scenario in 2011 as opposed to 2004.</t>
  </si>
  <si>
    <t>10.01.2013</t>
  </si>
  <si>
    <t>Name Manager:</t>
  </si>
  <si>
    <t>Parameters:</t>
  </si>
  <si>
    <t>Asymptomatic</t>
  </si>
  <si>
    <t>Intermediate</t>
  </si>
  <si>
    <t>AIDS</t>
  </si>
  <si>
    <t>Transition Prob Mats tabs:</t>
  </si>
  <si>
    <t>Asympt_Dead</t>
  </si>
  <si>
    <t>Asympt_LTFU</t>
  </si>
  <si>
    <t>Asympt_InCare</t>
  </si>
  <si>
    <t>Asympt_NoCare</t>
  </si>
  <si>
    <t>Int_NoCare</t>
  </si>
  <si>
    <t>Int_InCare</t>
  </si>
  <si>
    <t>Int_ART1</t>
  </si>
  <si>
    <t>Int_ART2</t>
  </si>
  <si>
    <t>Int_LTFU</t>
  </si>
  <si>
    <t>Int_Dead</t>
  </si>
  <si>
    <t>AIDS_NoCare</t>
  </si>
  <si>
    <t>AIDS_InCare</t>
  </si>
  <si>
    <t>AIDS_ART1ear</t>
  </si>
  <si>
    <t>AIDS_ART1late</t>
  </si>
  <si>
    <t>AIDS_ART2</t>
  </si>
  <si>
    <t>AIDS_LTFU</t>
  </si>
  <si>
    <t>AIDS_DEAD</t>
  </si>
  <si>
    <t>pAsympt_NoCare_2004_2006</t>
  </si>
  <si>
    <t>Reflects internally valibrated value</t>
  </si>
  <si>
    <t>pInt_NoCare_2004_2006</t>
  </si>
  <si>
    <t>Trans 2 ART cohort (GHESKIO)</t>
  </si>
  <si>
    <t>Empiric data: 1st CD4&gt;200 &amp; &lt;=350 &amp; ART&lt;=200</t>
  </si>
  <si>
    <t>pAIDS_NoCare_2004_2006</t>
  </si>
  <si>
    <t>pAIDS_InCare_2006</t>
  </si>
  <si>
    <t>pAIDS_InCare_2007</t>
  </si>
  <si>
    <t>pAIDS_InCare_2008</t>
  </si>
  <si>
    <t>pAIDS_InCare_2009</t>
  </si>
  <si>
    <t>pAIDS_InCare_2005</t>
  </si>
  <si>
    <t>User Interface</t>
  </si>
  <si>
    <t>Tab</t>
  </si>
  <si>
    <t>Schematic</t>
  </si>
  <si>
    <t>User</t>
  </si>
  <si>
    <t>Log</t>
  </si>
  <si>
    <t>A visual schematic of the model framework</t>
  </si>
  <si>
    <t>A user interface</t>
  </si>
  <si>
    <t>A list of the parameters and their values</t>
  </si>
  <si>
    <t>Describes revisions</t>
  </si>
  <si>
    <t>Directory</t>
  </si>
  <si>
    <t>A tabled of the different tabs in the model and a description of each</t>
  </si>
  <si>
    <t>Regarding ART coverage, changed the definition of ART eligiblity to include those lost from care. Lost people are included because eligibility depends on course of the disease and not on the course of care. ART coverages are in agreement.</t>
  </si>
  <si>
    <t>Implemented other scenarios in 2011 as opposed to 2004. This eliminated all discrepancies except for the "Fixed Capacity" scenario. The "Fixed Capacity" scenario is implemented in the same way as the "Full Expansion" scenario and the "Full Expansion" scenario is in agreement with Kimmel et al. I would like to review Kimmel's model for this specific scenario and compare it to mine. This should reveal where the difference comes from.</t>
  </si>
  <si>
    <t>Moved documents in current folder to following location: S:\KimmelResearch\Personnel work\Stephanie\Haiti model (trying to clean up S: drive and make sure it is organized!)</t>
  </si>
  <si>
    <t>Added previous model log (from 2011.08.24_Model Structure_cal val fixed_For Stephanie.xlsx) to existing model log (for haiti_hiv_model_2013_08_21.xlsx)</t>
  </si>
  <si>
    <t>For model log, indicated the date when transition matrices were added to the model.</t>
  </si>
  <si>
    <t>Incorporated both of the Output files (the ones that contain cell references and variable names) from the 08.24.2011 version of April's model. Also included the Summary Measures page.</t>
  </si>
  <si>
    <t xml:space="preserve">For variable names, implemented an updated variable naming scheme. </t>
  </si>
  <si>
    <t>In the Name Manager (Formulas tab), removed duplicate variables names without values or any variable names that are not currently being used by the model.</t>
  </si>
  <si>
    <t>Regarding ART eligibility, included people "not in care" (in addition to people "in care")</t>
  </si>
  <si>
    <t>Assigned the excess probability to be absorbed to the health state from which the transition would otherwise occur.</t>
  </si>
  <si>
    <t>Compared Kimmel vs Bailey model to find discrepancies</t>
  </si>
  <si>
    <t>Reached agreement on number of deaths averted during the scale-up by changing from 2004-2009 to 2004-2010.</t>
  </si>
  <si>
    <t>Found a discrepancy in the number living with HIV by 2010. This was corrected by changing from 2004-2009 to 2004-2010.</t>
  </si>
  <si>
    <t>In User Interface, changed the way user is asked for scenario. Initially, asked for a number (1-5) corresponding to scenario. Now, user selects scenario from a drop down menu. This is more user friendly. I changed formulas that were dependent upon this setup.</t>
  </si>
  <si>
    <t xml:space="preserve">1. A typo in summary tables (cumulative number of deaths in 2020) was found. Upon fixing this, results for the "Current Rates" scenario are in good agreement. </t>
  </si>
  <si>
    <t>1.   Replaced “NE” with “Asympt”</t>
  </si>
  <si>
    <t>2.   Replaced “ENEW” with “Int”</t>
  </si>
  <si>
    <t>3.   Replaced “EOLD” with “AIDS”</t>
  </si>
  <si>
    <t>6.   Revised any variable name that includes “InCareOn” to “ART”</t>
  </si>
  <si>
    <t xml:space="preserve">1.   Found and deleted three outdated parameters that were duplicates of parameters that were properly updated. </t>
  </si>
  <si>
    <t>2.   Confirmed that the significant digits listed in Name Manager are due to how they are specified in referencing cells and not due to differences in entry across parameters. Changed all cells to 3 digits.</t>
  </si>
  <si>
    <t>1.  Added parameter names for prevalent cohort</t>
  </si>
  <si>
    <t>2.   Changed heading names throughout</t>
  </si>
  <si>
    <t>3.  Eliminated those probabilities labeled "Varies" and replaced them with time dependent probabilities. Changed formulas in Bailey and Kimmel worksheets.</t>
  </si>
  <si>
    <t>1.   Changed names of the health states to reflect those listed on the Parameters page.</t>
  </si>
  <si>
    <t>2.   Assigned 3 significant digits to parameter values</t>
  </si>
  <si>
    <t>3.   Changed column width to be as narrow as possible, again to improve readability and usability</t>
  </si>
  <si>
    <t>4.   Added table that lists all parameters that change according to different scenarios.</t>
  </si>
  <si>
    <t>1.  Data validation for "user cells" was not correct. A majority of the "user cells" did not reference the corresponding residual probability as it should have. Corrected this and also added the following: If residual prob is not less than 1, then use the default value.</t>
  </si>
  <si>
    <t>Added legend to transition probability matrices tab</t>
  </si>
  <si>
    <t>In transition probability matrices, changed prob of  transitioning from a given state to the same state such that it is a calculation (1 - …) as opposed to referencing a prob in another sheet</t>
  </si>
  <si>
    <t>Added another tab of transition probability matrices. One tab references variable names. The other tab references cell numbers.</t>
  </si>
  <si>
    <t>Added a user interface tab. User can vary transition probs but the prob of transitioning from a given state to the same state must be between 0 and 1. If criteria is not met, user gets error message.</t>
  </si>
  <si>
    <t>Protected default cells on tab "User Interface" (password: stephanie)</t>
  </si>
  <si>
    <t>Deleted four variables on tab "User Interface" that are involved in scenarios and therefore user should not have choice</t>
  </si>
  <si>
    <t>Hide transition probability matrix on tab "User Interface"</t>
  </si>
  <si>
    <t>Added results table to tab "User Interface", years in columns</t>
  </si>
  <si>
    <t xml:space="preserve"> Re-organized parameter list on tab "User Interface" by domains of care</t>
  </si>
  <si>
    <t xml:space="preserve"> Added a description of each prob on the user interface for easier understanding</t>
  </si>
  <si>
    <t xml:space="preserve"> Added complementary variables on tab "User Interface". These are the probs of transitioning from a given state to the same state. User cannot change these.</t>
  </si>
  <si>
    <t xml:space="preserve"> Added scenario-specific variables on tab "User Interface". User cannot change these.</t>
  </si>
  <si>
    <t xml:space="preserve"> Modified error text on "User Interface" tab to: "Value is outside allowable range."</t>
  </si>
  <si>
    <t>2. Regarding other scenarios, there remain some big differences.</t>
  </si>
  <si>
    <t>Found a typo in copying results from Kimmel et al to new computer. Number on ART in 2020 for "No new ART" scenario is 17,770. Mistakenly copied over 1,770.</t>
  </si>
  <si>
    <t>Added table of number of individuals transitioning from a given state to another.</t>
  </si>
  <si>
    <t>4.   Revised variable names for incident cohorts to reflect the year; assume all incident infections are Asymptomatic.</t>
  </si>
  <si>
    <t>5.   Revised any variable name that includes “InCareOff” to “InCare”</t>
  </si>
  <si>
    <t>Model log: Provided description for changes in versions 5/7/2013 – 6/19/2013. Listed out relevant changes from model housekeeping document for 9/24/2013 version of the model.</t>
  </si>
  <si>
    <t>pAsympt_NoCare_Asympt_InCare_2007_2009</t>
  </si>
  <si>
    <t>pAsympt_NoCare_Int_InCare_2007_2009</t>
  </si>
  <si>
    <t>pAsympt_NoCare_2007_2009</t>
  </si>
  <si>
    <t>pAsympt_NoCare_Asympt_InCare_2010_2012</t>
  </si>
  <si>
    <t>pAsympt_NoCare_Int_InCare_2010_2012</t>
  </si>
  <si>
    <t>pAsympt_NoCare_2010_2012</t>
  </si>
  <si>
    <t>pAsympt_NoCare_Asympt_InCare_2013plus</t>
  </si>
  <si>
    <t>pAsympt_NoCare_Int_InCare_2013plus</t>
  </si>
  <si>
    <t>pAsympt_NoCare_2013plus</t>
  </si>
  <si>
    <t>External Calibration (top 25 sets)</t>
  </si>
  <si>
    <t>pInt_NoCare_Int_InCare_2007_2009</t>
  </si>
  <si>
    <t>pInt_NoCare_AIDS_InCare_2007_2009</t>
  </si>
  <si>
    <t>pInt_NoCare_2007_2009</t>
  </si>
  <si>
    <t>pInt_NoCare_Int_InCare_2010_2012</t>
  </si>
  <si>
    <t>pInt_NoCare_AIDS_InCare_2010_2012</t>
  </si>
  <si>
    <t>pInt_NoCare_2010_2012</t>
  </si>
  <si>
    <t>pInt_NoCare_Int_InCare_2013plus</t>
  </si>
  <si>
    <t>pInt_NoCare_AIDS_InCare_2013plus</t>
  </si>
  <si>
    <t>pInt_NoCare_2013plus</t>
  </si>
  <si>
    <t>pAIDS_NoCare_AIDS_InCare_2007_2009</t>
  </si>
  <si>
    <t>pAIDS_NoCare_2007_2009</t>
  </si>
  <si>
    <t>pAIDS_NoCare_AIDS_InCare_2013plus</t>
  </si>
  <si>
    <t>pAIDS_NoCare_2013plus</t>
  </si>
  <si>
    <t>pAIDS_NoCare_AIDS_InCare_2010_2012</t>
  </si>
  <si>
    <t>pAIDS_NoCare_2010_2012</t>
  </si>
  <si>
    <t>pInt_InCare_Int_ART1_2013plus</t>
  </si>
  <si>
    <t>pInt_InCare_2013plus</t>
  </si>
  <si>
    <t>pAIDS_InCare_AIDS_ART1ear_2010</t>
  </si>
  <si>
    <t>pAIDS_InCare_2010</t>
  </si>
  <si>
    <t>pAIDS_InCare_AIDS_ART1ear_2011</t>
  </si>
  <si>
    <t>pAIDS_InCare_2011</t>
  </si>
  <si>
    <t>pAIDS_InCare_AIDS_ART1ear_2012</t>
  </si>
  <si>
    <t>pAIDS_InCare_2012</t>
  </si>
  <si>
    <t>pAIDS_InCare_AIDS_ART1ear_2013plus</t>
  </si>
  <si>
    <t>pAIDS_InCare_2013plus</t>
  </si>
  <si>
    <t>Params</t>
  </si>
  <si>
    <t>Inc_2020</t>
  </si>
  <si>
    <t>1. Changed the order of the tabs</t>
  </si>
  <si>
    <t>2. Added a new tab called "Directory" thatincludes a table of the different tabs in the model and a brief description of each.</t>
  </si>
  <si>
    <t>3. Renamed tab "Model Log" to "Log"</t>
  </si>
  <si>
    <t>4. Revised model log to read as polished documentation of model changes, avoiding informal, casual or personal language.</t>
  </si>
  <si>
    <t xml:space="preserve">5. Revised model to distinguish between model inputs that will be calibrated and those that will reflect policy projections. The new calibrated period is 2004-2012 and policy projections begin in 2013. </t>
  </si>
  <si>
    <t xml:space="preserve">     a) Subdivided any paraneters that are appended with "2007plus" into three different model inputs, as follows: "2007_2009", "2010_2012", and "2013plus".</t>
  </si>
  <si>
    <t xml:space="preserve">     b) Remaining parameters were subdivided by calibration period versus projection period.</t>
  </si>
  <si>
    <t>6. Renamed tab "User Interface" to "User"</t>
  </si>
  <si>
    <t>Number of individuals in each state (2004-2023)</t>
  </si>
  <si>
    <t>time17</t>
  </si>
  <si>
    <t>time18</t>
  </si>
  <si>
    <t>time19</t>
  </si>
  <si>
    <t>Inc_2021</t>
  </si>
  <si>
    <t>Inc_2022</t>
  </si>
  <si>
    <t>Inc_2023</t>
  </si>
  <si>
    <t>pAsympt_InCare_Asympt_LTFU_2004_2012</t>
  </si>
  <si>
    <t>pAsympt_InCare_Asympt_Dead_2004_2012</t>
  </si>
  <si>
    <t>pAsympt_InCare_Int_InCare_2004_2012</t>
  </si>
  <si>
    <t>pAsympt_InCare_Int_ART1_2004_2012</t>
  </si>
  <si>
    <t>pAsympt_InCare_2004_2012</t>
  </si>
  <si>
    <t>pAsympt_InCare_Asympt_LTFU_2013plus</t>
  </si>
  <si>
    <t>pAsympt_InCare_Asympt_Dead_2013plus</t>
  </si>
  <si>
    <t>pAsympt_InCare_Int_InCare_2013plus</t>
  </si>
  <si>
    <t>pAsympt_InCare_Int_ART1_2013plus</t>
  </si>
  <si>
    <t>pAsympt_InCare_2013plus</t>
  </si>
  <si>
    <t>pAsympt_LTFU_Asympt_Dead_2004_2012</t>
  </si>
  <si>
    <t>pAsympt_LTFU_Int_LTFU_2004_2012</t>
  </si>
  <si>
    <t>pAsympt_LTFU_2004_2012</t>
  </si>
  <si>
    <t>pAsympt_LTFU_Asympt_Dead_2013plus</t>
  </si>
  <si>
    <t>pAsympt_LTFU_Int_LTFU_2013plus</t>
  </si>
  <si>
    <t>pAsympt_LTFU_2013plus</t>
  </si>
  <si>
    <t>pAsympt_NoCare_Asympt_Dead_2004_2006</t>
  </si>
  <si>
    <t>pAsympt_NoCare_Int_NoCare_2004_2006</t>
  </si>
  <si>
    <t>pAsympt_NoCare_Int_ART1_2004_2006</t>
  </si>
  <si>
    <t>pAsympt_NoCare_Asympt_Dead_2007_2009</t>
  </si>
  <si>
    <t>pAsympt_NoCare_Int_NoCare_2007_2009</t>
  </si>
  <si>
    <t>pAsympt_NoCare_Int_ART1_2007_2009</t>
  </si>
  <si>
    <t>pAsympt_NoCare_Asympt_Dead_2010_2012</t>
  </si>
  <si>
    <t>pAsympt_NoCare_Int_NoCare_2010_2012</t>
  </si>
  <si>
    <t>pAsympt_NoCare_Int_ART1_2010_2012</t>
  </si>
  <si>
    <t>pAsympt_NoCare_Asympt_Dead_2013plus</t>
  </si>
  <si>
    <t>pAsympt_NoCare_Int_NoCare_2013plus</t>
  </si>
  <si>
    <t>pAsympt_NoCare_Int_ART1_2013plus</t>
  </si>
  <si>
    <t>pInt_NoCare_Int_ART1_2004_2006</t>
  </si>
  <si>
    <t>pInt_NoCare_Int_Dead_2004_2006</t>
  </si>
  <si>
    <t>pInt_NoCare_AIDS_NoCare_2004_2006</t>
  </si>
  <si>
    <t>pInt_NoCare_AIDS_ART1ear_2004_2006</t>
  </si>
  <si>
    <t>pInt_NoCare_Int_ART1_2007_2009</t>
  </si>
  <si>
    <t>pInt_NoCare_Int_Dead_2007_2009</t>
  </si>
  <si>
    <t>pInt_NoCare_AIDS_NoCare_2007_2009</t>
  </si>
  <si>
    <t>pInt_NoCare_AIDS_ART1ear_2007_2009</t>
  </si>
  <si>
    <t>pInt_NoCare_Int_ART1_2010_2012</t>
  </si>
  <si>
    <t>pInt_NoCare_Int_Dead_2010_2012</t>
  </si>
  <si>
    <t>pInt_NoCare_AIDS_NoCare_2010_2012</t>
  </si>
  <si>
    <t>pInt_NoCare_AIDS_ART1ear_2010_2012</t>
  </si>
  <si>
    <t>pInt_NoCare_Int_ART1_2013plus</t>
  </si>
  <si>
    <t>pInt_NoCare_Int_Dead_2013plus</t>
  </si>
  <si>
    <t>pInt_NoCare_AIDS_NoCare_2013plus</t>
  </si>
  <si>
    <t>pInt_NoCare_AIDS_ART1ear_2013plus</t>
  </si>
  <si>
    <t>pInt_InCare_Int_ART1_2004_2012</t>
  </si>
  <si>
    <t>pInt_InCare_Int_LTFU_2004_2012</t>
  </si>
  <si>
    <t>pInt_InCare_Int_Dead_2004_2012</t>
  </si>
  <si>
    <t>pInt_InCare_AIDS_InCare_2004_2012</t>
  </si>
  <si>
    <t>pInt_InCare_AIDS_ART1ear_2004_2012</t>
  </si>
  <si>
    <t>pInt_InCare_2004_2012</t>
  </si>
  <si>
    <t>pInt_InCare_Int_LTFU_2013plus</t>
  </si>
  <si>
    <t>pInt_InCare_Int_Dead_2013plus</t>
  </si>
  <si>
    <t>pInt_InCare_AIDS_InCare_2013plus</t>
  </si>
  <si>
    <t>pInt_InCare_AIDS_ART1ear_2013plus</t>
  </si>
  <si>
    <t>pInt_ART1_Int_ART2_2004_2012</t>
  </si>
  <si>
    <t>pInt_ART1_Int_LTFU_2004_2012</t>
  </si>
  <si>
    <t>pInt_ART1_Int_Dead_2004_2012</t>
  </si>
  <si>
    <t>pInt_ART1_2004_2012</t>
  </si>
  <si>
    <t>pInt_ART1_Int_ART2_2013plus</t>
  </si>
  <si>
    <t>pInt_ART1_Int_LTFU_2013plus</t>
  </si>
  <si>
    <t>pInt_ART1_Int_Dead_2013plus</t>
  </si>
  <si>
    <t>pInt_ART1_2013plus</t>
  </si>
  <si>
    <t>pInt_ART2_Int_LTFU_2004_2012</t>
  </si>
  <si>
    <t>pInt_ART2_Int_Dead_2004_2012</t>
  </si>
  <si>
    <t>pInt_ART2_2004_2012</t>
  </si>
  <si>
    <t>pInt_ART2_Int_LTFU_2013plus</t>
  </si>
  <si>
    <t>pInt_ART2_Int_Dead_2013plus</t>
  </si>
  <si>
    <t>pInt_ART2_2013plus</t>
  </si>
  <si>
    <t>pInt_LTFU_Int_Dead_2004_2012</t>
  </si>
  <si>
    <t>pInt_LTFU_AIDS_LTFU_2004_2012</t>
  </si>
  <si>
    <t>pInt_LTFU_2004_2012</t>
  </si>
  <si>
    <t>pInt_LTFU_Int_Dead_2013plus</t>
  </si>
  <si>
    <t>pInt_LTFU_AIDS_LTFU_2013plus</t>
  </si>
  <si>
    <t>pInt_LTFU_2013plus</t>
  </si>
  <si>
    <t>pAIDS_NoCare_AIDS_ART1ear_2004_2006</t>
  </si>
  <si>
    <t>pAIDS_NoCare_AIDS_Dead_2004_2006</t>
  </si>
  <si>
    <t>pAIDS_NoCare_AIDS_ART1ear_2007_2009</t>
  </si>
  <si>
    <t>pAIDS_NoCare_AIDS_Dead_2007_2009</t>
  </si>
  <si>
    <t>pAIDS_NoCare_AIDS_ART1ear_2010_2012</t>
  </si>
  <si>
    <t>pAIDS_NoCare_AIDS_Dead_2010_2012</t>
  </si>
  <si>
    <t>pAIDS_NoCare_AIDS_ART1ear_2013plus</t>
  </si>
  <si>
    <t>pAIDS_NoCare_AIDS_Dead_2013plus</t>
  </si>
  <si>
    <t>pAIDS_InCare_AIDS_LTFU_2004_2012</t>
  </si>
  <si>
    <t>pAIDS_InCare_AIDS_Dead_2004_2012</t>
  </si>
  <si>
    <t>pAIDS_InCare_AIDS_LTFU_2013plus</t>
  </si>
  <si>
    <t>pAIDS_InCare_AIDS_Dead_2013plus</t>
  </si>
  <si>
    <t>pAIDS_ART1ear_AIDS_ART1late_2004_2012</t>
  </si>
  <si>
    <t>pAIDS_ART1ear_AIDS_LTFU_2004_2012</t>
  </si>
  <si>
    <t>pAIDS_ART1ear_AIDS_Dead_2004_2012</t>
  </si>
  <si>
    <t>pAIDS_ART1ear_2004_2012</t>
  </si>
  <si>
    <t>pAIDS_ART1late_AIDS_ART2_2004_2012</t>
  </si>
  <si>
    <t>pAIDS_ART1late_AIDS_LTFU_2004_2012</t>
  </si>
  <si>
    <t>pAIDS_ART1late_AIDS_Dead_2004_2012</t>
  </si>
  <si>
    <t>pAIDS_ART1late_2004_2012</t>
  </si>
  <si>
    <t>pAIDS_ART1late_AIDS_ART2_2013plus</t>
  </si>
  <si>
    <t>pAIDS_ART1late_AIDS_LTFU_2013plus</t>
  </si>
  <si>
    <t>pAIDS_ART1late_AIDS_Dead_2013plus</t>
  </si>
  <si>
    <t>pAIDS_ART1late_2013plus</t>
  </si>
  <si>
    <t>pAIDS_ART2_AIDS_LTFU_2004_2012</t>
  </si>
  <si>
    <t>pAIDS_ART2_AIDS_Dead_2004_2012</t>
  </si>
  <si>
    <t>pAIDS_ART2_2004_2012</t>
  </si>
  <si>
    <t>pAIDS_ART2_AIDS_LTFU_2013plus</t>
  </si>
  <si>
    <t>pAIDS_ART2_AIDS_Dead_2013plus</t>
  </si>
  <si>
    <t>pAIDS_ART2_2013plus</t>
  </si>
  <si>
    <t>pAIDS_LTFU_AIDS_Dead_2004_2012</t>
  </si>
  <si>
    <t>pAIDS_LTFU_2004_2012</t>
  </si>
  <si>
    <t>pAIDS_LTFU_AIDS_Dead_2013plus</t>
  </si>
  <si>
    <t>pAIDS_LTFU_2013plus</t>
  </si>
  <si>
    <t>pAIDS_ART1ear_AIDS_ART1late_2013plus</t>
  </si>
  <si>
    <t>pAIDS_ART1ear_AIDS_LTFU_2013plus</t>
  </si>
  <si>
    <t>pAIDS_ART1ear_AIDS_Dead_2013plus</t>
  </si>
  <si>
    <t>pAIDS_ART1ear_2013plus</t>
  </si>
  <si>
    <t>10.31.2013</t>
  </si>
  <si>
    <t>7. On "User" tab, only kept parameters that reflect the projection perion (2013plus), divided into two groups: policy parameters and non-policy parameters.</t>
  </si>
  <si>
    <t>Lost from care</t>
  </si>
  <si>
    <t>Re-did user tab</t>
  </si>
  <si>
    <t>1. Eliminated results</t>
  </si>
  <si>
    <t>2. Made 2 tables: policy parameters and non-policy parameters</t>
  </si>
  <si>
    <t>3. Added headings: parameter name, chance of event occurring each year (default), highest possible user value, lowest possible user value</t>
  </si>
  <si>
    <t>PROPORTION OF 2005 POPULATION IN EACH STATE</t>
  </si>
  <si>
    <t>TRANSITION PROBABILITY MATRIX</t>
  </si>
  <si>
    <t>PROPORTION OF 2006 POPULATION IN EACH STATE</t>
  </si>
  <si>
    <t>PROPORTION OF 2007 POPULATION IN EACH STATE</t>
  </si>
  <si>
    <t>PROPORTION OF 2008 POPULATION IN EACH STATE</t>
  </si>
  <si>
    <t>PROPORTION OF 2009 POPULATION IN EACH STATE</t>
  </si>
  <si>
    <t>PROPORTION OF 2010 POPULATION IN EACH STATE</t>
  </si>
  <si>
    <t>PROPORTION OF 2011 POPULATION IN EACH STATE</t>
  </si>
  <si>
    <t>PROPORTION OF 2012 POPULATION IN EACH STATE</t>
  </si>
  <si>
    <t>PROPORTION OF 2013 POPULATION IN EACH STATE</t>
  </si>
  <si>
    <t>PROPORTION OF 2014 POPULATION IN EACH STATE</t>
  </si>
  <si>
    <t>PROPORTION OF 2015 POPULATION IN EACH STATE</t>
  </si>
  <si>
    <t>PROPORTION OF 2016 POPULATION IN EACH STATE</t>
  </si>
  <si>
    <t>PROPORTION OF 2017 POPULATION IN EACH STATE</t>
  </si>
  <si>
    <t>PROPORTION OF 2018 POPULATION IN EACH STATE</t>
  </si>
  <si>
    <t>PROPORTION OF 2019 POPULATION IN EACH STATE</t>
  </si>
  <si>
    <t>PROPORTION OF 2020 POPULATION IN EACH STATE</t>
  </si>
  <si>
    <t>PROPORTION OF 2021 POPULATION IN EACH STATE</t>
  </si>
  <si>
    <t>PROPORTION OF 2022 POPULATION IN EACH STATE</t>
  </si>
  <si>
    <t>PROPORTION OF 2023 POPULATION IN EACH STATE</t>
  </si>
  <si>
    <t>PROPORTION OF 2004 POPULATION IN EACH STATE</t>
  </si>
  <si>
    <t>Transition Prob Matrices method:</t>
  </si>
  <si>
    <t>1. Reduced to single tab called "TPM"</t>
  </si>
  <si>
    <t>2. Eliminated "other" scenarios.</t>
  </si>
  <si>
    <t>Output tabs</t>
  </si>
  <si>
    <t>Summary tabs</t>
  </si>
  <si>
    <t>3. Updated text in columns A and B to reflect current health state names</t>
  </si>
  <si>
    <t>3. Condensed ALL tables into one like Zaric</t>
  </si>
  <si>
    <t>4. Eliminated errant border lines</t>
  </si>
  <si>
    <t>4. Updated names of health states to reflect those listed on the Parameters page</t>
  </si>
  <si>
    <t>5. Assigned 3 significant digits to parameter values (for proportions) and included commas (for number of individuals in each state)</t>
  </si>
  <si>
    <t>5. Changed column width to be as narrow as possible.</t>
  </si>
  <si>
    <t>TPM</t>
  </si>
  <si>
    <t>Transition probability matrix model</t>
  </si>
  <si>
    <t>TPM Summary Measures</t>
  </si>
  <si>
    <t>TPM summary measured by year</t>
  </si>
  <si>
    <t>Summary Measures (diff)</t>
  </si>
  <si>
    <t>Output (diff)</t>
  </si>
  <si>
    <t>Updated Directory tab</t>
  </si>
  <si>
    <t>Number of individuals in each state: AIDS</t>
  </si>
  <si>
    <t xml:space="preserve">     In Care, Off ART (from asymptomatic)</t>
  </si>
  <si>
    <t xml:space="preserve">          In Care, Off ART (from asymptomatic</t>
  </si>
  <si>
    <t xml:space="preserve">     In Care, on ART1 (from intermediate)</t>
  </si>
  <si>
    <t xml:space="preserve">     In Care, Off ART (from intermediate)</t>
  </si>
  <si>
    <t xml:space="preserve">     In Care, on ART2 (from intermediate)</t>
  </si>
  <si>
    <t xml:space="preserve">          In Care, Off ART (from intermediate</t>
  </si>
  <si>
    <t xml:space="preserve">          In Care, on ART1 (from intermediate)</t>
  </si>
  <si>
    <t xml:space="preserve">          In Care, on ART2 (from intermediate)</t>
  </si>
  <si>
    <t xml:space="preserve">     In Care, Off ART (from intermediate --&gt; AIDS)</t>
  </si>
  <si>
    <t>LTFU (In Care, Off ART)</t>
  </si>
  <si>
    <t>LTFU (In Care, on ART1)</t>
  </si>
  <si>
    <t>LTFU (In Care, on ART2)</t>
  </si>
  <si>
    <t>In Care, Off ART</t>
  </si>
  <si>
    <t>In Care, on ART1</t>
  </si>
  <si>
    <t>In Care, on ART2</t>
  </si>
  <si>
    <t>In care, off ART</t>
  </si>
  <si>
    <t>ART1</t>
  </si>
  <si>
    <t>ART2</t>
  </si>
  <si>
    <t>In care</t>
  </si>
  <si>
    <t>ART1 to 12 mo</t>
  </si>
  <si>
    <t>ART1 post 12 mo</t>
  </si>
  <si>
    <t xml:space="preserve">          In Care, Off ART (from intermediate--&gt;AIDS)</t>
  </si>
  <si>
    <t>LTFU (In Care, on ART1 to 12 mo)</t>
  </si>
  <si>
    <t>LTFU (In Care, on ART1 post 12 mo)</t>
  </si>
  <si>
    <t>2. Added tab Summary Measures (diff) which is the difference between the two summary measures tabs, for debugging purposes</t>
  </si>
  <si>
    <t>DET Output (name)</t>
  </si>
  <si>
    <t>TPM Output (cell)</t>
  </si>
  <si>
    <t>DET Output (cell)</t>
  </si>
  <si>
    <t>DET Output (diff)</t>
  </si>
  <si>
    <t>DET Summary measures</t>
  </si>
  <si>
    <t>DET summary measured by year</t>
  </si>
  <si>
    <t>Difference between Summary Measures tabs (TPM - DET)</t>
  </si>
  <si>
    <t>Difference between Output tabs (TPM - DET)</t>
  </si>
  <si>
    <t>DET Outputs by year, referenced by cell name</t>
  </si>
  <si>
    <t>DET Outputs by year, referenced by cell</t>
  </si>
  <si>
    <t>DET Difference between output tabs</t>
  </si>
  <si>
    <t>TPM Outputs by year, referenced by cell</t>
  </si>
  <si>
    <t>1. Renamed "Output" tab to "DET Output" tab; DET refers to deterministic implementation</t>
  </si>
  <si>
    <t>3. Added formulae for 2004-2010, similar to the formulae for 2011-2020.</t>
  </si>
  <si>
    <t>4. Added tab Output (diff) which is the difference between the two output tabs (TPM-DET), for debugging purposes</t>
  </si>
  <si>
    <t>5. Added tab DET Output (diff) which is the difference between the "name" and "cell" tabs corresponding to DET, for debugging purposes</t>
  </si>
  <si>
    <t>6. Eliminated errant border lines</t>
  </si>
  <si>
    <t>7. Updated columns A and B to reflect current health states</t>
  </si>
  <si>
    <t>1. Renamed "Summary Measures" tab to "DET Summary Measures"; DET refers to deterministic implementation</t>
  </si>
  <si>
    <t>2. Created a tab that is similar to the existing "DET Output" tab but that is based on TPM model results; called "TPM Output"</t>
  </si>
  <si>
    <t>2. Created a tab that is similar to the existing "DET Summary Measures" tab but that is based on TPM model results; called "TPM Summary Measures"</t>
  </si>
  <si>
    <t>12.02.2013</t>
  </si>
  <si>
    <t>12.09.2013</t>
  </si>
  <si>
    <t>init_prop_Asympt_NoCare</t>
  </si>
  <si>
    <t>init_prop_Asympt_InCare</t>
  </si>
  <si>
    <t>init_prop_Asympt_LTFU</t>
  </si>
  <si>
    <t>init_prop_Asympt_Dead</t>
  </si>
  <si>
    <t>init_prop_Int_NoCare</t>
  </si>
  <si>
    <t>init_prop_Int_InCare</t>
  </si>
  <si>
    <t>init_prop_Int_ART1</t>
  </si>
  <si>
    <t>init_prop_Int_ART2</t>
  </si>
  <si>
    <t>init_prop_Int_LTFU</t>
  </si>
  <si>
    <t>init_prop_Int_Dead</t>
  </si>
  <si>
    <t>init_prop_AIDS_NoCare</t>
  </si>
  <si>
    <t>init_prop_AIDS_InCare</t>
  </si>
  <si>
    <t>init_prop_AIDS_ART1ear</t>
  </si>
  <si>
    <t>init_prop_AIDS_ART1late</t>
  </si>
  <si>
    <t>init_prop_AIDS_ART2</t>
  </si>
  <si>
    <t>init_prop_AIDS_LTFU</t>
  </si>
  <si>
    <t>init_prop_AIDS_DEAD</t>
  </si>
  <si>
    <t>Params:</t>
  </si>
  <si>
    <t>1. Re-checked that the complements are calculated as 1-SUM(…) as opposed to just a value that was copied and pasted</t>
  </si>
  <si>
    <t>2. Added parameters corresponding to initial proportion of population in each state</t>
  </si>
  <si>
    <t>3. Discovered discrepancy in Column C between DET Output (name) and DET Output (cell): some values were copied and pasted as opposed to calculated</t>
  </si>
  <si>
    <t>4. Some confusion about prevalences versus initial proportion in each state times initial population. They are not the same. I used the latter.</t>
  </si>
  <si>
    <t>1. Found a few typos in calculations which accounted for discrepancies in Output (diff) and Summary Measures (diff)</t>
  </si>
  <si>
    <t>From Asymptomatic to Asymptomatic</t>
  </si>
  <si>
    <t>From Asymptomatic to Intermediate</t>
  </si>
  <si>
    <t xml:space="preserve">     </t>
  </si>
  <si>
    <t>From Intermediate to Intermediate</t>
  </si>
  <si>
    <t>From AIDS to AIDS</t>
  </si>
  <si>
    <t>From Intermediate to AIDS</t>
  </si>
  <si>
    <t>User:</t>
  </si>
  <si>
    <t>1. Made a second attempt at table</t>
  </si>
  <si>
    <t>LTFU</t>
  </si>
  <si>
    <t>In Care</t>
  </si>
  <si>
    <t>ART1ear</t>
  </si>
  <si>
    <t>From</t>
  </si>
  <si>
    <t>To</t>
  </si>
  <si>
    <t>No Care</t>
  </si>
  <si>
    <t xml:space="preserve">     No Care To</t>
  </si>
  <si>
    <t xml:space="preserve">     In Care To</t>
  </si>
  <si>
    <t>Asymptomatic to Intermediate</t>
  </si>
  <si>
    <t xml:space="preserve">     ART1 To</t>
  </si>
  <si>
    <t xml:space="preserve">     ART2 To</t>
  </si>
  <si>
    <t xml:space="preserve">     ART1ear To</t>
  </si>
  <si>
    <t xml:space="preserve">     ART1late To</t>
  </si>
  <si>
    <t xml:space="preserve">     No Care to</t>
  </si>
  <si>
    <t xml:space="preserve">     In Care to</t>
  </si>
  <si>
    <t xml:space="preserve">     LTFU to</t>
  </si>
  <si>
    <t xml:space="preserve">     In Care to </t>
  </si>
  <si>
    <t>1.22.2014</t>
  </si>
  <si>
    <t xml:space="preserve">     c. In User tab, add "_u" to all parameters</t>
  </si>
  <si>
    <t xml:space="preserve">     d. Add "_u" parameters to Name Manager</t>
  </si>
  <si>
    <t>Number of individuals in each state: Int</t>
  </si>
  <si>
    <t>In Care, Off ART (from asympt)</t>
  </si>
  <si>
    <t>In Care, Off ART (from Int--&gt;AIDS)</t>
  </si>
  <si>
    <t>In Care, Off ART (from Int)</t>
  </si>
  <si>
    <t xml:space="preserve">     In Care, on ART1 (from Int)</t>
  </si>
  <si>
    <t>In Care, on ART1 (from Int)</t>
  </si>
  <si>
    <t>In Care, on ART1 post 12 mo</t>
  </si>
  <si>
    <t>In Care, on ART1 to 12 mo</t>
  </si>
  <si>
    <t>In Care, on ART2 (from Int)</t>
  </si>
  <si>
    <t>Number of individuals in each state: Asympt</t>
  </si>
  <si>
    <t>In Care, Off ART (from Asympt)</t>
  </si>
  <si>
    <t>LTFU (In Care, Off ART (from Asympt))</t>
  </si>
  <si>
    <t>LTFU (In Care, Off ART (from Int--&gt;AIDS))</t>
  </si>
  <si>
    <t>LTFU (In Care, Off ART (from Int))</t>
  </si>
  <si>
    <t>LTFU (In Care, on ART1 (from Int))</t>
  </si>
  <si>
    <t>LTFU (In Care, on ART2 (from Int))</t>
  </si>
  <si>
    <t xml:space="preserve">     In Care, Off ART (from Asympt)</t>
  </si>
  <si>
    <t xml:space="preserve">          In Care, Off ART (from Asympt)</t>
  </si>
  <si>
    <t xml:space="preserve">     In Care, Off ART (from Int --&gt; AIDS)</t>
  </si>
  <si>
    <t xml:space="preserve">     In Care, Off ART (from Int)</t>
  </si>
  <si>
    <t xml:space="preserve">     In Care, on ART2 (from Int)</t>
  </si>
  <si>
    <t xml:space="preserve">          In Care, Off ART (from Int--&gt;AIDS)</t>
  </si>
  <si>
    <t xml:space="preserve">          In Care, Off ART (from Int)</t>
  </si>
  <si>
    <t xml:space="preserve">          In Care, on ART1 (from Int)</t>
  </si>
  <si>
    <t xml:space="preserve">          In Care, on ART2 (from Int)</t>
  </si>
  <si>
    <t xml:space="preserve">     e. For each of the three methods below, record implementation time.</t>
  </si>
  <si>
    <t xml:space="preserve">     a. In User tab, replace heading in column E to "Data-defined Annual Prob"</t>
  </si>
  <si>
    <t xml:space="preserve">     b. In User tab, add column for "User-defined annual prob".</t>
  </si>
  <si>
    <t xml:space="preserve">     f. Method 1: In TPM, add "_u" to all probs in TPM 2013</t>
  </si>
  <si>
    <t xml:space="preserve">     g. Method 2: In DET Output (name), add "_u" to all parameters in 2013+.</t>
  </si>
  <si>
    <t xml:space="preserve">     h. Method 3: In DET Output (cell), replace references to "data-defined annual probs" in 2013+ with "annual probs"</t>
  </si>
  <si>
    <t xml:space="preserve">User: </t>
  </si>
  <si>
    <t>TPM: Beginning with Column BN, shorten column headings (Intermediate becomes Int, Asymptomatic becomes Asympt)</t>
  </si>
  <si>
    <t>DET Output: Shorten row headings (Intermediate becomes Int, Asymptomatic becomes Asympt)</t>
  </si>
  <si>
    <t>How to implement user-defined annual probabilities:</t>
  </si>
  <si>
    <t xml:space="preserve">     1. Agreed on user table #2. Deleted user tables 1 and 3.</t>
  </si>
  <si>
    <t xml:space="preserve">     2. Added table for non-policy parameters to the right of existing table.</t>
  </si>
  <si>
    <t xml:space="preserve">     3. Added data-defined annual probs.</t>
  </si>
  <si>
    <t xml:space="preserve">     4. Added columns for user-defined annual probs and model probs.</t>
  </si>
  <si>
    <t xml:space="preserve">     b. In User tab, add column for "Model Annual prob". IF user entered an annual prob, then use "User-defined prob". ELSE, use "Data-defined annual prob". So we have 3 probs ("Data-defined annual prob", "User-defined annual prob", and "Model Annual prob")</t>
  </si>
  <si>
    <t>Params: Changing pInt_ART1_Int_Dead=0.005 to 0.8 produces more non-zeros on "Summary Measures (diff)". Reverted back to 0.005. Not a permanent change.</t>
  </si>
  <si>
    <t>Annual Probability</t>
  </si>
  <si>
    <t>User-defined</t>
  </si>
  <si>
    <t xml:space="preserve">     2. Changed number format to 4 significant figures</t>
  </si>
  <si>
    <t>2.4.2014</t>
  </si>
  <si>
    <t xml:space="preserve">     1. Added table heading "Annual probability" to make headings more concise.</t>
  </si>
  <si>
    <t xml:space="preserve">     3. Inserted values for lower/upper bounds.</t>
  </si>
  <si>
    <t xml:space="preserve">     4. I indicated where point estimates fall outside the lower/upper bounds with (!!!). I verified that the lower/upper bounds are the same as older versions.</t>
  </si>
  <si>
    <t>2.17.2014</t>
  </si>
  <si>
    <t>Parameter names are listed in columns D and M.</t>
  </si>
  <si>
    <t>Initial and final stages of transition (aymptomatic, intermediate, and AIDS) are listed in columns B and K.</t>
  </si>
  <si>
    <t xml:space="preserve">Initial treatment state of transition (no care, in care, ART1, ART2, ART1ear, ATR1late, LTFU) is listed in columns B  and K. </t>
  </si>
  <si>
    <t>Final treatment state of transition (in care, ART1, ART2, LTFU, Dead, ART1ear, ART1late) is listed in columns C and L.</t>
  </si>
  <si>
    <t>Locked</t>
  </si>
  <si>
    <t>Not Locked</t>
  </si>
  <si>
    <t>Directions</t>
  </si>
  <si>
    <t>x</t>
  </si>
  <si>
    <t xml:space="preserve">     1. Added directions/instructions for use at top of sheet. </t>
  </si>
  <si>
    <t>Policy Parameter Name</t>
  </si>
  <si>
    <t>Non-Policy Parameter Name</t>
  </si>
  <si>
    <t>pAsympt_NoCare_Asympt_InCare_2013plus_u</t>
  </si>
  <si>
    <t>pAsympt_NoCare_Asympt_Dead_2013plus_u</t>
  </si>
  <si>
    <t>pAsympt_InCare_Asympt_LTFU_2013plus_u</t>
  </si>
  <si>
    <t>pAsympt_InCare_Asympt_Dead_2013plus_u</t>
  </si>
  <si>
    <t>pAsympt_LTFU_Asympt_Dead_2013plus_u</t>
  </si>
  <si>
    <t>pAsympt_NoCare_Int_InCare_2013plus_u</t>
  </si>
  <si>
    <t>pAsympt_NoCare_Int_ART1_2013plus_u</t>
  </si>
  <si>
    <t>pAsympt_NoCare_Int_NoCare_2013plus_u</t>
  </si>
  <si>
    <t>pAsympt_InCare_Int_ART1_2013plus_u</t>
  </si>
  <si>
    <t>pAsympt_InCare_Int_InCare_2013plus_u</t>
  </si>
  <si>
    <t>pAsympt_LTFU_Int_LTFU_2013plus_u</t>
  </si>
  <si>
    <t>pInt_NoCare_Int_InCare_2013plus_u</t>
  </si>
  <si>
    <t>pInt_NoCare_Int_ART1_2013plus_u</t>
  </si>
  <si>
    <t>pInt_NoCare_Int_Dead_2013plus_u</t>
  </si>
  <si>
    <t>pInt_InCare_Int_ART1_2013plus_u</t>
  </si>
  <si>
    <t>pInt_InCare_Int_Dead_2013plus_u</t>
  </si>
  <si>
    <t>pInt_InCare_Int_LTFU_2013plus_u</t>
  </si>
  <si>
    <t>pInt_LTFU_Int_Dead_2013plus_u</t>
  </si>
  <si>
    <t>pInt_ART1_Int_ART2_2013plus_u</t>
  </si>
  <si>
    <t>pInt_ART1_Int_LTFU_2013plus_u</t>
  </si>
  <si>
    <t>pInt_NoCare_AIDS_NoCare_2013plus_u</t>
  </si>
  <si>
    <t>pInt_ART1_Int_Dead_2013plus_u</t>
  </si>
  <si>
    <t>pInt_InCare_AIDS_InCare_2013plus_u</t>
  </si>
  <si>
    <t>pInt_ART2_Int_LTFU_2013plus_u</t>
  </si>
  <si>
    <t>pInt_ART2_Int_Dead_2013plus_u</t>
  </si>
  <si>
    <t>pAIDS_NoCare_AIDS_Dead_2013plus_u</t>
  </si>
  <si>
    <t>pAIDS_InCare_AIDS_Dead_2013plus_u</t>
  </si>
  <si>
    <t>pInt_NoCare_AIDS_InCare_2013plus_u</t>
  </si>
  <si>
    <t>pInt_LTFU_AIDS_LTFU_2013plus_u</t>
  </si>
  <si>
    <t>pInt_NoCare_AIDS_ART1ear_2013plus_u</t>
  </si>
  <si>
    <t>pAIDS_LTFU_AIDS_Dead_2013plus_u</t>
  </si>
  <si>
    <t>pInt_InCare_AIDS_ART1ear_2013plus_u</t>
  </si>
  <si>
    <t>pAIDS_NoCare_AIDS_InCare_2013plus_u</t>
  </si>
  <si>
    <t>pAIDS_NoCare_AIDS_ART1ear_2013plus_u</t>
  </si>
  <si>
    <t>pAIDS_InCare_AIDS_ART1ear_2013plus_u</t>
  </si>
  <si>
    <t>pAIDS_InCare_AIDS_LTFU_2013plus_u</t>
  </si>
  <si>
    <t>pAIDS_ART1ear_AIDS_ART1late_2013plus_u</t>
  </si>
  <si>
    <t>pAIDS_ART1ear_AIDS_LTFU_2013plus_u</t>
  </si>
  <si>
    <t>pAIDS_ART1ear_AIDS_Dead_2013plus_u</t>
  </si>
  <si>
    <t>pAIDS_ART1late_AIDS_ART2_2013plus_u</t>
  </si>
  <si>
    <t>pAIDS_ART1late_AIDS_LTFU_2013plus_u</t>
  </si>
  <si>
    <t>pAIDS_ART1late_AIDS_Dead_2013plus_u</t>
  </si>
  <si>
    <t>pAIDS_ART2_AIDS_Dead_2013plus_u</t>
  </si>
  <si>
    <t xml:space="preserve">     3. Added formula/logic for "model annual probability".</t>
  </si>
  <si>
    <t xml:space="preserve">     2. Added "_u" to parameter names.</t>
  </si>
  <si>
    <t xml:space="preserve">     6. Locked everything but the columns corresponding to user-defined annual probability.</t>
  </si>
  <si>
    <t xml:space="preserve">     7. Protected sheet (password: stephanie)</t>
  </si>
  <si>
    <t xml:space="preserve">     5. Created range names from selection for "_u" parameters. Verified names are now in name manager.</t>
  </si>
  <si>
    <t xml:space="preserve">     4. Rearranged table columns so model annual probabilitiy is adjacent to user parameter names. This is a requirement to create range names from selection.</t>
  </si>
  <si>
    <t>The user enters user-defined annual probabilities in columns I and R. The user-defined probability is constrained by the lower and upper bounds.</t>
  </si>
  <si>
    <t>Final Input</t>
  </si>
  <si>
    <t>Baseline</t>
  </si>
  <si>
    <t>The baseline annual probability is the point estimate and is provided in Columns F and O.</t>
  </si>
  <si>
    <t>The lower/upper bounds of the baseline annual probability point esrimates are provided in columns G/H and P/Q.</t>
  </si>
  <si>
    <t>If the user enters a user-defined probability, then the final input probability becomes the user-defined probaility. Otherwise, the final input probability becomes the data-defined probability.</t>
  </si>
  <si>
    <t>pAIDS_ART2_AIDS_LTFU_2013plus_u</t>
  </si>
  <si>
    <t>time (min)</t>
  </si>
  <si>
    <t>Complementary Parameters</t>
  </si>
  <si>
    <t xml:space="preserve">     LTFU To</t>
  </si>
  <si>
    <t xml:space="preserve">    ART2 To</t>
  </si>
  <si>
    <t xml:space="preserve">     No Care</t>
  </si>
  <si>
    <t xml:space="preserve">     In Care</t>
  </si>
  <si>
    <t xml:space="preserve">     LTFU</t>
  </si>
  <si>
    <t xml:space="preserve">    ART2</t>
  </si>
  <si>
    <t>pAsympt_NoCare_2013plus_u</t>
  </si>
  <si>
    <t>pAsympt_InCare_2013plus_u</t>
  </si>
  <si>
    <t>pAsympt_LTFU_2013plus_u</t>
  </si>
  <si>
    <t>pInt_NoCare_2013plus_u</t>
  </si>
  <si>
    <t>pInt_InCare_2013plus_u</t>
  </si>
  <si>
    <t>pInt_ART1_2013plus_u</t>
  </si>
  <si>
    <t>pInt_ART2_2013plus_u</t>
  </si>
  <si>
    <t>pInt_LTFU_2013plus_u</t>
  </si>
  <si>
    <t>pAIDS_NoCare_2013plus_u</t>
  </si>
  <si>
    <t>pAIDS_InCare_2013plus_u</t>
  </si>
  <si>
    <t>pAIDS_ART1late_2013plus_u</t>
  </si>
  <si>
    <t>pAIDS_ART2_2013plus_u</t>
  </si>
  <si>
    <t>pAIDS_LTFU_2013plus_u</t>
  </si>
  <si>
    <t xml:space="preserve">     ART1late</t>
  </si>
  <si>
    <t xml:space="preserve">     ART1ear</t>
  </si>
  <si>
    <t>pAIDS_ART1ear_2013plus_u</t>
  </si>
  <si>
    <t xml:space="preserve">     a. In TPM, replace all instances of "2013plus" with "2013plus_u" (Find and Replace)</t>
  </si>
  <si>
    <t>1. Replace tab name "TPM Output (cell)" with "TPM Output"</t>
  </si>
  <si>
    <t>2. Replace tab names that refer to "DET" with "SCF" for Single Cell Formula</t>
  </si>
  <si>
    <t>3. Replace tab name "Output (diff)" with "Output1 (diff)". This is TPM - SCF(name)</t>
  </si>
  <si>
    <t>4. Added tab "Output2 (diff)". This is TPM - SCF(cell)</t>
  </si>
  <si>
    <t xml:space="preserve">     b. In SCF Output (name), replace all instances of "2013plus" with "2013plus_u"  (Find and Replace)</t>
  </si>
  <si>
    <t xml:space="preserve">     c. In SCF Output (cell), replace references to baseline annual probs in 2013+ with final input annual probs</t>
  </si>
  <si>
    <t>Table on upper left corresponds to policy parameters, table on upper right corresponds to non-policy parameters, table on lower left corresponds to complements.</t>
  </si>
  <si>
    <t xml:space="preserve">     a. Added pInt_NoCare_AIDS_ART1ear to matrices (probably forgot to do this because baseline value is zero)</t>
  </si>
  <si>
    <t xml:space="preserve">     b. Added pAsympt_NoCare_Int_ART1 to matrices (probably forgot to do this because baseline value is zero)</t>
  </si>
  <si>
    <t>errors</t>
  </si>
  <si>
    <t xml:space="preserve">     c. Note: There is no complement for pAIDS_ART1ear_AIDS_ so user should not be allowed to toggle these parameters.</t>
  </si>
  <si>
    <t xml:space="preserve">     d. Made correction to column BY (years 2013+ made references to 2004_2012 parameters)</t>
  </si>
  <si>
    <t xml:space="preserve"> </t>
  </si>
  <si>
    <t>5. User:</t>
  </si>
  <si>
    <t>7. Added tab "Error Report" to keep track of case study results (errors, time)</t>
  </si>
  <si>
    <t>8. TPM:</t>
  </si>
  <si>
    <t>9. TPM Output: Corrected row 31 (columns D and E were identical)</t>
  </si>
  <si>
    <t>10. Case study 1: implement the user interface.</t>
  </si>
  <si>
    <t>11. Notes:</t>
  </si>
  <si>
    <t xml:space="preserve">     a. Changed table headings. "Data-defined" to "Baseline, "Model" to "Final Input"</t>
  </si>
  <si>
    <t xml:space="preserve">     b. Added a dashed border around baseline/upper/lower to help user understand that upper and lower bounds correspond to baseline value.</t>
  </si>
  <si>
    <t xml:space="preserve">     c. Added pAIDS_ART2_AIDS_LTFU_2013plus_u to table (we forgot this parameter).</t>
  </si>
  <si>
    <t>6. Params: Changed number format from 3 to 4 significant figures to be consistent with User tab.</t>
  </si>
  <si>
    <t xml:space="preserve">     b. On TPM tab, matrices and formulas to the right of matrices refer to cell names. We may want to change this such that</t>
  </si>
  <si>
    <t xml:space="preserve">     d. Small discrepancies we observed in "Summary Measures (diff)" tab are gone. One or both errors identified above contributed to discrepanices.</t>
  </si>
  <si>
    <t xml:space="preserve">     a. On User tab, pInt_LTFU_AIDS_LTFU_2013plus_u is in the wrong category. Currently, it is in "AIDS to AIDS". It should be in "Int to AIDS".</t>
  </si>
  <si>
    <t xml:space="preserve">     d. Added table for complementary probs</t>
  </si>
  <si>
    <t xml:space="preserve">        I cannot fix this because it will mess up any tab that uses cell references.</t>
  </si>
  <si>
    <t xml:space="preserve">        matrices still refer to cell names but formulas to the right refer to cell references. This way, when making a revision such as this case study, </t>
  </si>
  <si>
    <t xml:space="preserve">        "find and replace" will only replace cell names in matrices (as opposed to over 5,000 instances in entire tab).</t>
  </si>
  <si>
    <t xml:space="preserve">     c. On param tab, using no specific number format (15 decimal places) versus 4 decimal places causes no change in output. </t>
  </si>
  <si>
    <t>3.24.2014</t>
  </si>
  <si>
    <t>TPM Output - SCF Output (name)</t>
  </si>
  <si>
    <t>TPM Output - SCF Output (cell)</t>
  </si>
  <si>
    <t>1. On tab "Output1 (diff)", added text "TPM Output - SCF Output (name)" in cell B2</t>
  </si>
  <si>
    <t>2. On tab "Output2 (diff)", added text "TPM Output - SCF Output (cell)" in cell B2</t>
  </si>
  <si>
    <t>3. User:</t>
  </si>
  <si>
    <t xml:space="preserve">     a. Put pInt_LTFU_AIDS_LTFU_2013plus_u in correct category in table.</t>
  </si>
  <si>
    <t xml:space="preserve">     c. Hid table of complements</t>
  </si>
  <si>
    <t xml:space="preserve">     b. Moved pAIDS_ART1ear_AIDS_ART1late_2013plus_u to table of complements</t>
  </si>
  <si>
    <t>SCF (name)</t>
  </si>
  <si>
    <t>SCF (cell)</t>
  </si>
  <si>
    <t>find and replace</t>
  </si>
  <si>
    <t>type parameter names in user tab</t>
  </si>
  <si>
    <t>add parameter names to Name Manager</t>
  </si>
  <si>
    <t>replace cell references to 2013+ data-defined probs with user probs</t>
  </si>
  <si>
    <t>total</t>
  </si>
  <si>
    <t>4. Error report:</t>
  </si>
  <si>
    <t xml:space="preserve">     a. Added tasks to time table</t>
  </si>
  <si>
    <t xml:space="preserve">      typically (but not always) reflecting the clinical course of disease or related treatment/prevention</t>
  </si>
  <si>
    <t>5. Log: Modified version numbers such that versions don't change unless there's a major structural improvement,</t>
  </si>
  <si>
    <t>5.27.2014</t>
  </si>
  <si>
    <t>1. On tab "TPM", fixed equation in cells J31 and J53: "pInt_NoCare_AIDS_InCare_2004_2006" changed to "pInt_NoCare_Int_InCare_2004_2006"</t>
  </si>
  <si>
    <t>CASE STUDY 1</t>
  </si>
  <si>
    <t>CASE STUDY 2</t>
  </si>
  <si>
    <t>User tab</t>
  </si>
  <si>
    <t>pAsympt_LTFU_Int_ART1_2013plus_u</t>
  </si>
  <si>
    <t>pInt_LTFU_Int_ART1_2013plus_u</t>
  </si>
  <si>
    <t>pInt_LTFU_Int_ART2_2013plus_u</t>
  </si>
  <si>
    <t>pAIDS_LTFU_AIDS_ART2_2013plus_u</t>
  </si>
  <si>
    <t>Param tab</t>
  </si>
  <si>
    <t>pAsympt_LTFU_Int_ART1_2004_2012</t>
  </si>
  <si>
    <t>pAsympt_LTFU_Int_ART1_2013plus</t>
  </si>
  <si>
    <t>pInt_LTFU_Int_ART1_2004_2012</t>
  </si>
  <si>
    <t>pInt_LTFU_Int_ART1_2013plus</t>
  </si>
  <si>
    <t>pInt_LTFU_Int_ART2_2004_2012</t>
  </si>
  <si>
    <t>pInt_LTFU_Int_ART2_2013plus</t>
  </si>
  <si>
    <t>pAIDS_LTFU_AIDS_ART2_2004_2012</t>
  </si>
  <si>
    <t>pAIDS_LTFU_AIDS_ART2_2013plus</t>
  </si>
  <si>
    <t>11 min</t>
  </si>
  <si>
    <t>13 min</t>
  </si>
  <si>
    <t>TPM tab</t>
  </si>
  <si>
    <t>pAIDS_LTFU_AIDS_ART1ear_2013plus_u</t>
  </si>
  <si>
    <t>pAIDS_LTFU_AIDS_ART1ear_2004_2012</t>
  </si>
  <si>
    <t>pAIDS_LTFU_AIDS_ART1ear_2013plus</t>
  </si>
  <si>
    <t>15 min</t>
  </si>
  <si>
    <t>Step 1: Re-entry into care</t>
  </si>
  <si>
    <t>SCF Output (name)</t>
  </si>
  <si>
    <t>16 min</t>
  </si>
  <si>
    <t>SCF Output (cell)</t>
  </si>
  <si>
    <t>24 min</t>
  </si>
  <si>
    <t>Step 1: Re-entry into care (see schematic)</t>
  </si>
  <si>
    <t>3.15.2014_case_study1</t>
  </si>
  <si>
    <t>5.28.2014_case_study2_redo_step1</t>
  </si>
  <si>
    <t>Case Study 2, step 1</t>
  </si>
  <si>
    <t>Notes</t>
  </si>
  <si>
    <t>Description of the different tabs in the file</t>
  </si>
  <si>
    <t>A list of model parameters and their values</t>
  </si>
  <si>
    <t>Model (SN)</t>
  </si>
  <si>
    <t>Output for Single Name model version</t>
  </si>
  <si>
    <t>Model (SC)</t>
  </si>
  <si>
    <t>Output for Single Cell model version</t>
  </si>
  <si>
    <t>Model (Matrix)</t>
  </si>
  <si>
    <t>Output for Matrix model version, compact version</t>
  </si>
  <si>
    <t>Model (Matrix calcs)</t>
  </si>
  <si>
    <t>Transition probability matrices underlying Matrix model version</t>
  </si>
  <si>
    <t>Diff (SN-SC)</t>
  </si>
  <si>
    <t>Difference in model output for Single Name and Single Cell model versions, used to identify unintentional errors</t>
  </si>
  <si>
    <t>Diff (SN-Matrix)</t>
  </si>
  <si>
    <t>Difference in model output for Single Name and Matrix model versions, used to identify unintentional errors</t>
  </si>
  <si>
    <t>Diff (SC-Matrix)</t>
  </si>
  <si>
    <t>Difference in model output for Single Cell and Matrix model versions, used to identify unintentional errors</t>
  </si>
  <si>
    <t>Inc_2004</t>
  </si>
  <si>
    <t>Note: Data in this file are provided in order to duplicate findings for the current analysis. We emphasize that the current analysis does not incorporate calibrated parameter values that might be incorporated after model revision and formal model performance assesment. Therefore, the models presented should be used only to elucidate the process for identifying unintentional errors and should not be used for policy analysis.</t>
  </si>
  <si>
    <t>L39</t>
  </si>
  <si>
    <t>Copied propagations (n)</t>
  </si>
  <si>
    <t>Incorrect cell name</t>
  </si>
  <si>
    <t>Errors</t>
  </si>
  <si>
    <t>List of original errors, by model version, including location, error type, and number of copied propagations</t>
  </si>
  <si>
    <t>Total original unintentional errors:</t>
  </si>
  <si>
    <t>Original error cell reference</t>
  </si>
  <si>
    <t>Type of original error</t>
  </si>
  <si>
    <t>Assumption - same as 2009 calibrated value</t>
  </si>
  <si>
    <t>Empiric data: 1st CD4 &gt;350 &amp; ART CD4 &gt;200 &amp; &lt;=350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</si>
</sst>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0.0000"/>
  </numFmts>
  <fonts count="27"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i/>
      <sz val="11"/>
      <color indexed="8"/>
      <name val="Calibri"/>
      <family val="2"/>
    </font>
    <font>
      <b/>
      <u/>
      <sz val="11"/>
      <color theme="1"/>
      <name val="Calibri"/>
      <family val="2"/>
      <scheme val="minor"/>
    </font>
    <font>
      <sz val="11"/>
      <name val="Calibri"/>
      <family val="2"/>
      <scheme val="minor"/>
    </font>
    <font>
      <sz val="9"/>
      <color theme="1"/>
      <name val="Calibri"/>
      <family val="2"/>
      <scheme val="minor"/>
    </font>
    <font>
      <u/>
      <sz val="11"/>
      <color theme="1"/>
      <name val="Calibri"/>
      <family val="2"/>
      <scheme val="minor"/>
    </font>
    <font>
      <b/>
      <sz val="8"/>
      <color indexed="81"/>
      <name val="Tahoma"/>
      <family val="2"/>
    </font>
    <font>
      <sz val="8"/>
      <color indexed="81"/>
      <name val="Tahoma"/>
      <family val="2"/>
    </font>
    <font>
      <b/>
      <sz val="9"/>
      <color theme="1"/>
      <name val="Calibri"/>
      <family val="2"/>
      <scheme val="minor"/>
    </font>
    <font>
      <i/>
      <sz val="8"/>
      <color theme="1"/>
      <name val="Calibri"/>
      <family val="2"/>
      <scheme val="minor"/>
    </font>
    <font>
      <sz val="11"/>
      <color indexed="8"/>
      <name val="Calibri"/>
      <family val="2"/>
    </font>
    <font>
      <sz val="9"/>
      <color theme="1"/>
      <name val="Arial"/>
      <family val="2"/>
    </font>
    <font>
      <b/>
      <sz val="10"/>
      <name val="Arial"/>
      <family val="2"/>
    </font>
    <font>
      <i/>
      <sz val="11"/>
      <color theme="1"/>
      <name val="Calibri"/>
      <family val="2"/>
      <scheme val="minor"/>
    </font>
    <font>
      <sz val="11"/>
      <color indexed="8"/>
      <name val="Arial"/>
      <family val="2"/>
    </font>
    <font>
      <i/>
      <sz val="8"/>
      <color indexed="81"/>
      <name val="Tahoma"/>
      <family val="2"/>
    </font>
    <font>
      <b/>
      <i/>
      <sz val="8"/>
      <color theme="1"/>
      <name val="Calibri"/>
      <family val="2"/>
      <scheme val="minor"/>
    </font>
    <font>
      <i/>
      <sz val="9"/>
      <color theme="1"/>
      <name val="Calibri"/>
      <family val="2"/>
      <scheme val="minor"/>
    </font>
    <font>
      <sz val="10"/>
      <color theme="1"/>
      <name val="Verdana"/>
      <family val="2"/>
    </font>
    <font>
      <sz val="11"/>
      <color theme="1"/>
      <name val="Calibri"/>
      <family val="2"/>
    </font>
    <font>
      <b/>
      <sz val="9"/>
      <name val="Arial"/>
      <family val="2"/>
    </font>
    <font>
      <sz val="12"/>
      <color theme="1"/>
      <name val="Times New Roman"/>
      <family val="1"/>
    </font>
    <font>
      <sz val="12"/>
      <color theme="1"/>
      <name val="Calibri"/>
      <family val="2"/>
      <scheme val="minor"/>
    </font>
  </fonts>
  <fills count="19">
    <fill>
      <patternFill patternType="none"/>
    </fill>
    <fill>
      <patternFill patternType="gray125"/>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FF0000"/>
        <bgColor indexed="64"/>
      </patternFill>
    </fill>
    <fill>
      <patternFill patternType="solid">
        <fgColor theme="0" tint="-0.34998626667073579"/>
        <bgColor indexed="64"/>
      </patternFill>
    </fill>
    <fill>
      <patternFill patternType="solid">
        <fgColor rgb="FFFFFF00"/>
        <bgColor indexed="64"/>
      </patternFill>
    </fill>
    <fill>
      <patternFill patternType="solid">
        <fgColor rgb="FFFF00FF"/>
        <bgColor indexed="64"/>
      </patternFill>
    </fill>
    <fill>
      <patternFill patternType="solid">
        <fgColor rgb="FF7030A0"/>
        <bgColor indexed="64"/>
      </patternFill>
    </fill>
    <fill>
      <patternFill patternType="solid">
        <fgColor theme="9" tint="-0.249977111117893"/>
        <bgColor indexed="64"/>
      </patternFill>
    </fill>
    <fill>
      <patternFill patternType="solid">
        <fgColor theme="1"/>
        <bgColor indexed="64"/>
      </patternFill>
    </fill>
    <fill>
      <patternFill patternType="solid">
        <fgColor theme="0"/>
        <bgColor indexed="64"/>
      </patternFill>
    </fill>
    <fill>
      <patternFill patternType="solid">
        <fgColor theme="0" tint="-0.499984740745262"/>
        <bgColor indexed="64"/>
      </patternFill>
    </fill>
    <fill>
      <patternFill patternType="solid">
        <fgColor theme="8"/>
        <bgColor indexed="64"/>
      </patternFill>
    </fill>
    <fill>
      <patternFill patternType="solid">
        <fgColor theme="3" tint="0.79998168889431442"/>
        <bgColor indexed="64"/>
      </patternFill>
    </fill>
    <fill>
      <patternFill patternType="solid">
        <fgColor theme="3"/>
        <bgColor indexed="64"/>
      </patternFill>
    </fill>
    <fill>
      <patternFill patternType="solid">
        <fgColor theme="4"/>
        <bgColor indexed="64"/>
      </patternFill>
    </fill>
    <fill>
      <patternFill patternType="solid">
        <fgColor theme="4" tint="0.59999389629810485"/>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hair">
        <color indexed="64"/>
      </right>
      <top/>
      <bottom/>
      <diagonal/>
    </border>
    <border>
      <left/>
      <right style="hair">
        <color indexed="64"/>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hair">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Dashed">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style="mediumDashed">
        <color indexed="64"/>
      </right>
      <top style="mediumDashed">
        <color indexed="64"/>
      </top>
      <bottom style="thin">
        <color indexed="64"/>
      </bottom>
      <diagonal/>
    </border>
    <border>
      <left style="mediumDashed">
        <color indexed="64"/>
      </left>
      <right style="thin">
        <color indexed="64"/>
      </right>
      <top style="thin">
        <color indexed="64"/>
      </top>
      <bottom style="thin">
        <color indexed="64"/>
      </bottom>
      <diagonal/>
    </border>
    <border>
      <left style="thin">
        <color indexed="64"/>
      </left>
      <right style="mediumDashed">
        <color indexed="64"/>
      </right>
      <top style="thin">
        <color indexed="64"/>
      </top>
      <bottom style="thin">
        <color indexed="64"/>
      </bottom>
      <diagonal/>
    </border>
    <border>
      <left style="mediumDashed">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style="mediumDashed">
        <color indexed="64"/>
      </right>
      <top style="thin">
        <color indexed="64"/>
      </top>
      <bottom style="mediumDashed">
        <color indexed="64"/>
      </bottom>
      <diagonal/>
    </border>
    <border>
      <left style="mediumDashed">
        <color indexed="64"/>
      </left>
      <right style="thin">
        <color indexed="64"/>
      </right>
      <top style="thin">
        <color indexed="64"/>
      </top>
      <bottom/>
      <diagonal/>
    </border>
    <border>
      <left style="thin">
        <color indexed="64"/>
      </left>
      <right style="mediumDashed">
        <color indexed="64"/>
      </right>
      <top style="thin">
        <color indexed="64"/>
      </top>
      <bottom/>
      <diagonal/>
    </border>
  </borders>
  <cellStyleXfs count="2">
    <xf numFmtId="0" fontId="0" fillId="0" borderId="0"/>
    <xf numFmtId="0" fontId="1" fillId="0" borderId="0"/>
  </cellStyleXfs>
  <cellXfs count="356">
    <xf numFmtId="0" fontId="0" fillId="0" borderId="0" xfId="0"/>
    <xf numFmtId="0" fontId="3" fillId="3" borderId="0" xfId="0" applyFont="1" applyFill="1" applyAlignment="1">
      <alignment horizontal="left"/>
    </xf>
    <xf numFmtId="0" fontId="0" fillId="3" borderId="0" xfId="0" applyFill="1" applyAlignment="1">
      <alignment wrapText="1"/>
    </xf>
    <xf numFmtId="0" fontId="0" fillId="3" borderId="0" xfId="0" applyFill="1" applyAlignment="1">
      <alignment horizontal="center" wrapText="1"/>
    </xf>
    <xf numFmtId="0" fontId="8" fillId="3" borderId="0" xfId="0" applyFont="1" applyFill="1" applyAlignment="1">
      <alignment horizontal="center" wrapText="1"/>
    </xf>
    <xf numFmtId="0" fontId="0" fillId="3" borderId="0" xfId="0" applyFill="1"/>
    <xf numFmtId="0" fontId="2" fillId="4" borderId="0" xfId="0" applyFont="1" applyFill="1"/>
    <xf numFmtId="0" fontId="4" fillId="4" borderId="0" xfId="0" applyFont="1" applyFill="1"/>
    <xf numFmtId="14" fontId="6" fillId="0" borderId="0" xfId="0" applyNumberFormat="1" applyFont="1"/>
    <xf numFmtId="0" fontId="3" fillId="0" borderId="0" xfId="0" applyFont="1" applyFill="1" applyAlignment="1">
      <alignment wrapText="1"/>
    </xf>
    <xf numFmtId="0" fontId="3" fillId="0" borderId="0" xfId="0" applyFont="1" applyFill="1" applyAlignment="1">
      <alignment horizontal="center" wrapText="1"/>
    </xf>
    <xf numFmtId="0" fontId="12" fillId="0" borderId="0" xfId="0" applyFont="1" applyFill="1" applyAlignment="1">
      <alignment horizontal="center" wrapText="1"/>
    </xf>
    <xf numFmtId="0" fontId="0" fillId="0" borderId="0" xfId="0" applyFont="1" applyFill="1"/>
    <xf numFmtId="0" fontId="0" fillId="0" borderId="0" xfId="0" applyFill="1"/>
    <xf numFmtId="0" fontId="0" fillId="0" borderId="0" xfId="0" applyFill="1" applyAlignment="1">
      <alignment wrapText="1"/>
    </xf>
    <xf numFmtId="3" fontId="0" fillId="0" borderId="0" xfId="0" applyNumberFormat="1" applyFill="1" applyAlignment="1">
      <alignment horizontal="center" wrapText="1"/>
    </xf>
    <xf numFmtId="0" fontId="8" fillId="0" borderId="0" xfId="0" applyFont="1" applyFill="1" applyAlignment="1">
      <alignment horizontal="center" wrapText="1"/>
    </xf>
    <xf numFmtId="0" fontId="0" fillId="0" borderId="0" xfId="0" applyFill="1" applyAlignment="1">
      <alignment horizontal="center" wrapText="1"/>
    </xf>
    <xf numFmtId="0" fontId="0" fillId="0" borderId="0" xfId="0" applyFont="1" applyFill="1" applyBorder="1"/>
    <xf numFmtId="0" fontId="8" fillId="0" borderId="0" xfId="0" applyFont="1" applyFill="1" applyAlignment="1">
      <alignment horizontal="center"/>
    </xf>
    <xf numFmtId="0" fontId="8" fillId="0" borderId="0" xfId="0" applyFont="1" applyFill="1" applyAlignment="1">
      <alignment horizontal="left"/>
    </xf>
    <xf numFmtId="3" fontId="8" fillId="0" borderId="0" xfId="0" applyNumberFormat="1" applyFont="1" applyFill="1" applyAlignment="1">
      <alignment horizontal="center" wrapText="1"/>
    </xf>
    <xf numFmtId="0" fontId="0" fillId="0" borderId="0" xfId="0" applyFill="1" applyAlignment="1">
      <alignment vertical="center" wrapText="1"/>
    </xf>
    <xf numFmtId="0" fontId="8" fillId="0" borderId="0" xfId="0" applyFont="1" applyFill="1" applyAlignment="1">
      <alignment horizontal="center" vertical="center" wrapText="1"/>
    </xf>
    <xf numFmtId="0" fontId="0" fillId="0" borderId="0" xfId="0" applyFill="1" applyAlignment="1">
      <alignment horizontal="center"/>
    </xf>
    <xf numFmtId="0" fontId="0" fillId="2" borderId="0" xfId="0" applyFont="1" applyFill="1"/>
    <xf numFmtId="0" fontId="0" fillId="0" borderId="0" xfId="0" applyFill="1" applyAlignment="1"/>
    <xf numFmtId="3" fontId="0" fillId="0" borderId="0" xfId="0" applyNumberFormat="1" applyFill="1" applyAlignment="1">
      <alignment horizontal="center"/>
    </xf>
    <xf numFmtId="3" fontId="8" fillId="0" borderId="0" xfId="0" applyNumberFormat="1" applyFont="1" applyFill="1" applyAlignment="1">
      <alignment horizontal="center"/>
    </xf>
    <xf numFmtId="0" fontId="8" fillId="0" borderId="0" xfId="0" applyFont="1" applyFill="1"/>
    <xf numFmtId="0" fontId="8" fillId="0" borderId="0" xfId="0" applyFont="1" applyAlignment="1">
      <alignment horizontal="center"/>
    </xf>
    <xf numFmtId="0" fontId="0" fillId="5" borderId="0" xfId="0" applyFill="1" applyAlignment="1">
      <alignment horizontal="center"/>
    </xf>
    <xf numFmtId="0" fontId="7" fillId="0" borderId="0" xfId="0" applyFont="1" applyFill="1"/>
    <xf numFmtId="164" fontId="0" fillId="5" borderId="0" xfId="0" applyNumberFormat="1" applyFill="1" applyBorder="1" applyAlignment="1">
      <alignment horizontal="center" wrapText="1"/>
    </xf>
    <xf numFmtId="0" fontId="0" fillId="5" borderId="0" xfId="0" applyFill="1" applyBorder="1" applyAlignment="1">
      <alignment horizontal="center" wrapText="1"/>
    </xf>
    <xf numFmtId="0" fontId="8" fillId="0" borderId="0" xfId="0" applyFont="1" applyFill="1" applyBorder="1" applyAlignment="1">
      <alignment horizontal="center" wrapText="1"/>
    </xf>
    <xf numFmtId="164" fontId="8" fillId="0" borderId="0" xfId="0" applyNumberFormat="1" applyFont="1" applyFill="1" applyAlignment="1">
      <alignment horizontal="center" wrapText="1"/>
    </xf>
    <xf numFmtId="164" fontId="0" fillId="0" borderId="0" xfId="0" applyNumberFormat="1" applyFill="1" applyAlignment="1">
      <alignment horizontal="center" wrapText="1"/>
    </xf>
    <xf numFmtId="0" fontId="0" fillId="0" borderId="0" xfId="0" applyFill="1" applyBorder="1" applyAlignment="1">
      <alignment horizontal="center" wrapText="1"/>
    </xf>
    <xf numFmtId="164" fontId="7" fillId="6" borderId="0" xfId="0" applyNumberFormat="1" applyFont="1" applyFill="1" applyAlignment="1" applyProtection="1">
      <alignment horizontal="center" wrapText="1"/>
    </xf>
    <xf numFmtId="0" fontId="0" fillId="0" borderId="0" xfId="0" applyAlignment="1">
      <alignment horizontal="center" wrapText="1"/>
    </xf>
    <xf numFmtId="0" fontId="8" fillId="0" borderId="0" xfId="0" applyFont="1" applyAlignment="1">
      <alignment horizontal="center" wrapText="1"/>
    </xf>
    <xf numFmtId="0" fontId="0" fillId="7" borderId="0" xfId="0" applyFill="1" applyBorder="1" applyAlignment="1">
      <alignment horizontal="center" wrapText="1"/>
    </xf>
    <xf numFmtId="164" fontId="0" fillId="6" borderId="0" xfId="0" applyNumberFormat="1" applyFill="1" applyAlignment="1" applyProtection="1">
      <alignment horizontal="center" wrapText="1"/>
    </xf>
    <xf numFmtId="0" fontId="0" fillId="0" borderId="0" xfId="0" applyFill="1" applyAlignment="1">
      <alignment vertical="center"/>
    </xf>
    <xf numFmtId="164" fontId="8" fillId="0" borderId="0" xfId="0" applyNumberFormat="1" applyFont="1" applyFill="1" applyAlignment="1">
      <alignment horizontal="center" vertical="center" wrapText="1"/>
    </xf>
    <xf numFmtId="164" fontId="0" fillId="0" borderId="0" xfId="0" applyNumberFormat="1" applyFill="1" applyBorder="1" applyAlignment="1">
      <alignment horizontal="center" vertical="center" wrapText="1"/>
    </xf>
    <xf numFmtId="0" fontId="8" fillId="0" borderId="0" xfId="0" applyFont="1" applyFill="1" applyBorder="1" applyAlignment="1">
      <alignment horizontal="center" vertical="center" wrapText="1"/>
    </xf>
    <xf numFmtId="164" fontId="0" fillId="0" borderId="0" xfId="0" applyNumberFormat="1" applyFont="1" applyFill="1" applyAlignment="1">
      <alignment horizontal="center" vertical="center" wrapText="1"/>
    </xf>
    <xf numFmtId="0" fontId="8" fillId="0" borderId="0" xfId="0" applyFont="1" applyBorder="1" applyAlignment="1">
      <alignment horizontal="center" wrapText="1"/>
    </xf>
    <xf numFmtId="0" fontId="0" fillId="0" borderId="0" xfId="0" applyBorder="1" applyAlignment="1">
      <alignment horizontal="center" wrapText="1"/>
    </xf>
    <xf numFmtId="164" fontId="0" fillId="6" borderId="0" xfId="0" applyNumberFormat="1" applyFill="1" applyAlignment="1">
      <alignment horizontal="center" wrapText="1"/>
    </xf>
    <xf numFmtId="164" fontId="0" fillId="0" borderId="0" xfId="0" applyNumberFormat="1" applyFill="1" applyAlignment="1">
      <alignment horizontal="center" vertical="center" wrapText="1"/>
    </xf>
    <xf numFmtId="164" fontId="0" fillId="8" borderId="0" xfId="0" applyNumberFormat="1" applyFill="1" applyAlignment="1">
      <alignment horizontal="center" wrapText="1"/>
    </xf>
    <xf numFmtId="164" fontId="0" fillId="0" borderId="0" xfId="0" applyNumberFormat="1" applyFill="1" applyBorder="1" applyAlignment="1">
      <alignment horizontal="center" wrapText="1"/>
    </xf>
    <xf numFmtId="164" fontId="8" fillId="0" borderId="0" xfId="0" applyNumberFormat="1" applyFont="1" applyFill="1" applyBorder="1" applyAlignment="1">
      <alignment horizontal="center" wrapText="1"/>
    </xf>
    <xf numFmtId="1" fontId="0" fillId="0" borderId="0" xfId="0" applyNumberFormat="1" applyFill="1" applyBorder="1" applyAlignment="1">
      <alignment horizontal="center" wrapText="1"/>
    </xf>
    <xf numFmtId="164" fontId="8" fillId="0" borderId="0" xfId="0" applyNumberFormat="1" applyFont="1" applyFill="1" applyAlignment="1">
      <alignment horizontal="left"/>
    </xf>
    <xf numFmtId="164" fontId="0" fillId="9" borderId="0" xfId="0" applyNumberFormat="1" applyFill="1" applyAlignment="1">
      <alignment horizontal="center" wrapText="1"/>
    </xf>
    <xf numFmtId="164" fontId="0" fillId="10" borderId="0" xfId="0" applyNumberFormat="1" applyFill="1" applyAlignment="1">
      <alignment horizontal="center" wrapText="1"/>
    </xf>
    <xf numFmtId="0" fontId="0" fillId="0" borderId="0" xfId="0" applyAlignment="1">
      <alignment wrapText="1"/>
    </xf>
    <xf numFmtId="0" fontId="15" fillId="0" borderId="1" xfId="0" applyFont="1" applyBorder="1"/>
    <xf numFmtId="0" fontId="15" fillId="0" borderId="0" xfId="0" applyFont="1" applyFill="1" applyBorder="1"/>
    <xf numFmtId="0" fontId="0" fillId="0" borderId="0" xfId="0" applyFill="1" applyBorder="1"/>
    <xf numFmtId="0" fontId="0" fillId="0" borderId="0" xfId="0" applyBorder="1"/>
    <xf numFmtId="0" fontId="0" fillId="0" borderId="0" xfId="0" applyFont="1"/>
    <xf numFmtId="0" fontId="0" fillId="0" borderId="1" xfId="0" applyFont="1" applyBorder="1"/>
    <xf numFmtId="0" fontId="0" fillId="0" borderId="1" xfId="0" applyFont="1" applyFill="1" applyBorder="1"/>
    <xf numFmtId="0" fontId="0" fillId="0" borderId="1" xfId="0" applyBorder="1"/>
    <xf numFmtId="1" fontId="0" fillId="0" borderId="1" xfId="0" applyNumberFormat="1" applyFont="1" applyBorder="1"/>
    <xf numFmtId="164" fontId="0" fillId="0" borderId="1" xfId="0" applyNumberFormat="1" applyFont="1" applyBorder="1"/>
    <xf numFmtId="0" fontId="3" fillId="0" borderId="0" xfId="0" applyFont="1"/>
    <xf numFmtId="164" fontId="0" fillId="0" borderId="1" xfId="0" applyNumberFormat="1" applyBorder="1"/>
    <xf numFmtId="3" fontId="0" fillId="0" borderId="1" xfId="0" applyNumberFormat="1" applyBorder="1"/>
    <xf numFmtId="0" fontId="3" fillId="3" borderId="2" xfId="0" applyFont="1" applyFill="1" applyBorder="1"/>
    <xf numFmtId="0" fontId="0" fillId="3" borderId="3" xfId="0" applyFill="1" applyBorder="1"/>
    <xf numFmtId="0" fontId="0" fillId="3" borderId="3" xfId="0" applyFill="1" applyBorder="1" applyAlignment="1">
      <alignment horizontal="center"/>
    </xf>
    <xf numFmtId="0" fontId="0" fillId="3" borderId="0" xfId="0" applyFill="1" applyBorder="1"/>
    <xf numFmtId="0" fontId="3" fillId="0" borderId="4" xfId="0" applyFont="1" applyFill="1" applyBorder="1"/>
    <xf numFmtId="0" fontId="13" fillId="0" borderId="4" xfId="0" applyFont="1" applyFill="1" applyBorder="1" applyAlignment="1">
      <alignment horizontal="center"/>
    </xf>
    <xf numFmtId="0" fontId="13" fillId="0" borderId="0" xfId="0" applyFont="1" applyFill="1" applyBorder="1" applyAlignment="1">
      <alignment horizontal="center"/>
    </xf>
    <xf numFmtId="0" fontId="13" fillId="0" borderId="5" xfId="0" applyFont="1" applyFill="1" applyBorder="1" applyAlignment="1">
      <alignment horizontal="center"/>
    </xf>
    <xf numFmtId="0" fontId="0" fillId="0" borderId="4" xfId="0" applyBorder="1"/>
    <xf numFmtId="0" fontId="17" fillId="0" borderId="4" xfId="0" applyFont="1" applyBorder="1" applyAlignment="1">
      <alignment horizontal="center"/>
    </xf>
    <xf numFmtId="0" fontId="17" fillId="0" borderId="0" xfId="0" applyFont="1" applyBorder="1" applyAlignment="1">
      <alignment horizontal="center"/>
    </xf>
    <xf numFmtId="0" fontId="17" fillId="0" borderId="5" xfId="0" applyFont="1" applyBorder="1" applyAlignment="1">
      <alignment horizontal="center"/>
    </xf>
    <xf numFmtId="0" fontId="3" fillId="0" borderId="4" xfId="0" applyFont="1" applyBorder="1"/>
    <xf numFmtId="0" fontId="0" fillId="0" borderId="2" xfId="0" applyBorder="1" applyAlignment="1">
      <alignment horizontal="center"/>
    </xf>
    <xf numFmtId="0" fontId="0" fillId="0" borderId="3" xfId="0" applyBorder="1"/>
    <xf numFmtId="0" fontId="0" fillId="0" borderId="2" xfId="0" applyBorder="1"/>
    <xf numFmtId="3" fontId="0" fillId="0" borderId="4" xfId="0" applyNumberFormat="1" applyBorder="1" applyAlignment="1">
      <alignment horizontal="center"/>
    </xf>
    <xf numFmtId="3" fontId="0" fillId="0" borderId="0" xfId="0" applyNumberFormat="1" applyBorder="1" applyAlignment="1">
      <alignment horizontal="center"/>
    </xf>
    <xf numFmtId="3" fontId="0" fillId="0" borderId="5" xfId="0" applyNumberFormat="1" applyBorder="1" applyAlignment="1">
      <alignment horizontal="center"/>
    </xf>
    <xf numFmtId="3" fontId="0" fillId="0" borderId="4" xfId="0" applyNumberFormat="1" applyFont="1" applyBorder="1" applyAlignment="1">
      <alignment horizontal="center"/>
    </xf>
    <xf numFmtId="3" fontId="0" fillId="0" borderId="4" xfId="0" applyNumberFormat="1" applyFill="1" applyBorder="1" applyAlignment="1">
      <alignment horizontal="center"/>
    </xf>
    <xf numFmtId="3" fontId="0" fillId="13" borderId="4" xfId="0" applyNumberFormat="1" applyFill="1" applyBorder="1" applyAlignment="1">
      <alignment horizontal="center"/>
    </xf>
    <xf numFmtId="0" fontId="0" fillId="0" borderId="0" xfId="0" applyAlignment="1">
      <alignment horizontal="center"/>
    </xf>
    <xf numFmtId="1" fontId="0" fillId="0" borderId="0" xfId="0" applyNumberFormat="1" applyAlignment="1">
      <alignment horizontal="center"/>
    </xf>
    <xf numFmtId="0" fontId="0" fillId="0" borderId="0" xfId="0" applyFill="1" applyBorder="1" applyAlignment="1">
      <alignment horizontal="left"/>
    </xf>
    <xf numFmtId="3" fontId="0" fillId="0" borderId="8" xfId="0" applyNumberFormat="1" applyBorder="1" applyAlignment="1">
      <alignment horizontal="center"/>
    </xf>
    <xf numFmtId="3" fontId="0" fillId="0" borderId="9" xfId="0" applyNumberFormat="1" applyBorder="1" applyAlignment="1">
      <alignment horizontal="center"/>
    </xf>
    <xf numFmtId="3" fontId="0" fillId="0" borderId="10" xfId="0" applyNumberFormat="1" applyBorder="1" applyAlignment="1">
      <alignment horizontal="center"/>
    </xf>
    <xf numFmtId="3" fontId="8" fillId="0" borderId="2" xfId="0" applyNumberFormat="1" applyFont="1" applyBorder="1" applyAlignment="1">
      <alignment horizontal="center"/>
    </xf>
    <xf numFmtId="3" fontId="0" fillId="0" borderId="3" xfId="0" applyNumberFormat="1" applyBorder="1" applyAlignment="1">
      <alignment horizontal="center"/>
    </xf>
    <xf numFmtId="0" fontId="0" fillId="0" borderId="3" xfId="0" applyBorder="1" applyAlignment="1">
      <alignment horizontal="center"/>
    </xf>
    <xf numFmtId="0" fontId="8" fillId="0" borderId="0" xfId="0" applyFont="1" applyBorder="1" applyAlignment="1">
      <alignment horizontal="right"/>
    </xf>
    <xf numFmtId="3" fontId="8" fillId="0" borderId="4" xfId="0" applyNumberFormat="1" applyFont="1" applyBorder="1" applyAlignment="1">
      <alignment horizontal="center"/>
    </xf>
    <xf numFmtId="0" fontId="0" fillId="0" borderId="0" xfId="0" applyBorder="1" applyAlignment="1">
      <alignment horizontal="right"/>
    </xf>
    <xf numFmtId="3" fontId="0" fillId="0" borderId="0" xfId="0" applyNumberFormat="1" applyFont="1" applyBorder="1" applyAlignment="1">
      <alignment horizontal="center"/>
    </xf>
    <xf numFmtId="3" fontId="0" fillId="0" borderId="0" xfId="0" applyNumberFormat="1" applyFont="1" applyFill="1" applyBorder="1" applyAlignment="1">
      <alignment horizontal="center"/>
    </xf>
    <xf numFmtId="3" fontId="0" fillId="14" borderId="4" xfId="0" applyNumberFormat="1" applyFill="1" applyBorder="1" applyAlignment="1">
      <alignment horizontal="center"/>
    </xf>
    <xf numFmtId="3" fontId="0" fillId="14" borderId="0" xfId="0" applyNumberFormat="1" applyFill="1" applyBorder="1" applyAlignment="1">
      <alignment horizontal="center"/>
    </xf>
    <xf numFmtId="0" fontId="0" fillId="0" borderId="8" xfId="0" applyBorder="1"/>
    <xf numFmtId="0" fontId="0" fillId="0" borderId="9" xfId="0" applyBorder="1" applyAlignment="1">
      <alignment horizontal="right"/>
    </xf>
    <xf numFmtId="164" fontId="0" fillId="0" borderId="8" xfId="0" applyNumberFormat="1" applyBorder="1" applyAlignment="1">
      <alignment horizontal="center"/>
    </xf>
    <xf numFmtId="164" fontId="0" fillId="0" borderId="9" xfId="0" applyNumberFormat="1" applyBorder="1" applyAlignment="1">
      <alignment horizontal="center"/>
    </xf>
    <xf numFmtId="0" fontId="0" fillId="0" borderId="9" xfId="0" applyBorder="1"/>
    <xf numFmtId="0" fontId="0" fillId="0" borderId="4" xfId="0" applyBorder="1" applyAlignment="1">
      <alignment horizontal="center"/>
    </xf>
    <xf numFmtId="0" fontId="18" fillId="0" borderId="0" xfId="0" applyFont="1"/>
    <xf numFmtId="0" fontId="0" fillId="0" borderId="4" xfId="0" quotePrefix="1" applyBorder="1" applyAlignment="1">
      <alignment horizontal="left"/>
    </xf>
    <xf numFmtId="0" fontId="0" fillId="13" borderId="0" xfId="0" applyFill="1"/>
    <xf numFmtId="0" fontId="0" fillId="0" borderId="0" xfId="0" quotePrefix="1" applyAlignment="1">
      <alignment horizontal="left"/>
    </xf>
    <xf numFmtId="0" fontId="0" fillId="0" borderId="1" xfId="0" applyFill="1" applyBorder="1"/>
    <xf numFmtId="0" fontId="3" fillId="0" borderId="0" xfId="0" applyFont="1" applyFill="1" applyBorder="1"/>
    <xf numFmtId="1" fontId="0" fillId="0" borderId="0" xfId="0" applyNumberFormat="1" applyBorder="1"/>
    <xf numFmtId="0" fontId="0" fillId="0" borderId="4" xfId="0" applyFill="1" applyBorder="1" applyAlignment="1">
      <alignment horizontal="center"/>
    </xf>
    <xf numFmtId="165" fontId="0" fillId="0" borderId="0" xfId="0" quotePrefix="1" applyNumberFormat="1"/>
    <xf numFmtId="0" fontId="0" fillId="0" borderId="0" xfId="0"/>
    <xf numFmtId="0" fontId="9" fillId="0" borderId="0" xfId="0" applyFont="1"/>
    <xf numFmtId="0" fontId="2" fillId="4" borderId="0" xfId="0" applyFont="1" applyFill="1"/>
    <xf numFmtId="0" fontId="0" fillId="0" borderId="0" xfId="0" quotePrefix="1"/>
    <xf numFmtId="0" fontId="6" fillId="0" borderId="0" xfId="0" applyFont="1"/>
    <xf numFmtId="165" fontId="0" fillId="0" borderId="0" xfId="0" applyNumberFormat="1"/>
    <xf numFmtId="0" fontId="0" fillId="0" borderId="12" xfId="0" applyFill="1" applyBorder="1" applyAlignment="1">
      <alignment horizontal="center"/>
    </xf>
    <xf numFmtId="0" fontId="20" fillId="0" borderId="4" xfId="0" applyFont="1" applyFill="1" applyBorder="1" applyAlignment="1">
      <alignment horizontal="center"/>
    </xf>
    <xf numFmtId="0" fontId="17" fillId="0" borderId="0" xfId="0" applyFont="1" applyFill="1" applyBorder="1" applyAlignment="1">
      <alignment horizontal="center"/>
    </xf>
    <xf numFmtId="0" fontId="13" fillId="0" borderId="12" xfId="0" applyFont="1" applyFill="1" applyBorder="1" applyAlignment="1">
      <alignment horizontal="center"/>
    </xf>
    <xf numFmtId="0" fontId="13" fillId="0" borderId="0" xfId="0" applyFont="1" applyFill="1" applyAlignment="1">
      <alignment horizontal="center"/>
    </xf>
    <xf numFmtId="0" fontId="17" fillId="0" borderId="12" xfId="0" applyFont="1" applyBorder="1" applyAlignment="1">
      <alignment horizontal="center"/>
    </xf>
    <xf numFmtId="0" fontId="0" fillId="0" borderId="11" xfId="0" applyBorder="1"/>
    <xf numFmtId="3" fontId="0" fillId="0" borderId="12" xfId="0" applyNumberFormat="1" applyBorder="1" applyAlignment="1">
      <alignment horizontal="center"/>
    </xf>
    <xf numFmtId="0" fontId="0" fillId="13" borderId="4" xfId="0" applyFill="1" applyBorder="1" applyAlignment="1">
      <alignment horizontal="center"/>
    </xf>
    <xf numFmtId="3" fontId="0" fillId="0" borderId="13" xfId="0" applyNumberFormat="1" applyBorder="1" applyAlignment="1">
      <alignment horizontal="center"/>
    </xf>
    <xf numFmtId="0" fontId="3" fillId="3" borderId="3" xfId="0" applyFont="1" applyFill="1" applyBorder="1"/>
    <xf numFmtId="0" fontId="0" fillId="3" borderId="0" xfId="0" applyFill="1" applyBorder="1" applyAlignment="1">
      <alignment horizontal="center"/>
    </xf>
    <xf numFmtId="0" fontId="3" fillId="3" borderId="4" xfId="0" applyFont="1" applyFill="1" applyBorder="1"/>
    <xf numFmtId="0" fontId="3" fillId="3" borderId="0" xfId="0" applyFont="1" applyFill="1" applyBorder="1"/>
    <xf numFmtId="3" fontId="0" fillId="0" borderId="2" xfId="0" applyNumberFormat="1" applyBorder="1" applyAlignment="1">
      <alignment horizontal="center"/>
    </xf>
    <xf numFmtId="3" fontId="0" fillId="0" borderId="11" xfId="0" applyNumberFormat="1" applyBorder="1" applyAlignment="1">
      <alignment horizontal="center"/>
    </xf>
    <xf numFmtId="3" fontId="0" fillId="0" borderId="6" xfId="0" applyNumberFormat="1" applyBorder="1" applyAlignment="1">
      <alignment horizontal="center"/>
    </xf>
    <xf numFmtId="0" fontId="3" fillId="0" borderId="2" xfId="0" applyFont="1" applyBorder="1"/>
    <xf numFmtId="0" fontId="3" fillId="0" borderId="8" xfId="0" applyFont="1" applyBorder="1"/>
    <xf numFmtId="0" fontId="0" fillId="0" borderId="9" xfId="0" applyFill="1" applyBorder="1" applyAlignment="1">
      <alignment horizontal="right"/>
    </xf>
    <xf numFmtId="0" fontId="0" fillId="0" borderId="0" xfId="0" applyBorder="1" applyAlignment="1">
      <alignment horizontal="left"/>
    </xf>
    <xf numFmtId="0" fontId="0" fillId="0" borderId="9" xfId="0" applyFill="1" applyBorder="1" applyAlignment="1">
      <alignment horizontal="left"/>
    </xf>
    <xf numFmtId="0" fontId="0" fillId="13" borderId="8" xfId="0" applyFill="1" applyBorder="1" applyAlignment="1">
      <alignment horizontal="center"/>
    </xf>
    <xf numFmtId="0" fontId="0" fillId="13" borderId="9" xfId="0" applyFill="1" applyBorder="1"/>
    <xf numFmtId="0" fontId="0" fillId="0" borderId="3" xfId="0" applyFill="1" applyBorder="1" applyAlignment="1">
      <alignment horizontal="center"/>
    </xf>
    <xf numFmtId="0" fontId="21" fillId="0" borderId="0" xfId="0" applyFont="1" applyFill="1" applyAlignment="1">
      <alignment horizontal="center"/>
    </xf>
    <xf numFmtId="3" fontId="8" fillId="0" borderId="0" xfId="0" applyNumberFormat="1" applyFont="1" applyAlignment="1">
      <alignment horizontal="center"/>
    </xf>
    <xf numFmtId="3" fontId="0" fillId="0" borderId="0" xfId="0" applyNumberFormat="1" applyAlignment="1">
      <alignment horizontal="center"/>
    </xf>
    <xf numFmtId="0" fontId="9" fillId="0" borderId="0" xfId="0" applyFont="1" applyFill="1"/>
    <xf numFmtId="0" fontId="0" fillId="0" borderId="0" xfId="0" quotePrefix="1" applyFill="1" applyAlignment="1">
      <alignment horizontal="left"/>
    </xf>
    <xf numFmtId="0" fontId="0" fillId="0" borderId="0" xfId="0" applyFont="1" applyAlignment="1">
      <alignment vertical="top"/>
    </xf>
    <xf numFmtId="0" fontId="0" fillId="0" borderId="0" xfId="0" applyFont="1" applyAlignment="1">
      <alignment horizontal="left" vertical="top"/>
    </xf>
    <xf numFmtId="0" fontId="22" fillId="0" borderId="0" xfId="0" applyFont="1" applyAlignment="1">
      <alignment vertical="center"/>
    </xf>
    <xf numFmtId="0" fontId="23" fillId="0" borderId="0" xfId="0" applyFont="1" applyAlignment="1">
      <alignment vertical="top"/>
    </xf>
    <xf numFmtId="0" fontId="23" fillId="0" borderId="0" xfId="0" applyFont="1" applyAlignment="1"/>
    <xf numFmtId="0" fontId="0" fillId="0" borderId="0" xfId="0" applyFont="1" applyAlignment="1"/>
    <xf numFmtId="164" fontId="15" fillId="11" borderId="1" xfId="0" applyNumberFormat="1" applyFont="1" applyFill="1" applyBorder="1"/>
    <xf numFmtId="164" fontId="15" fillId="0" borderId="1" xfId="0" applyNumberFormat="1" applyFont="1" applyBorder="1"/>
    <xf numFmtId="164" fontId="15" fillId="12" borderId="1" xfId="0" applyNumberFormat="1" applyFont="1" applyFill="1" applyBorder="1"/>
    <xf numFmtId="164" fontId="15" fillId="0" borderId="1" xfId="0" applyNumberFormat="1" applyFont="1" applyFill="1" applyBorder="1"/>
    <xf numFmtId="164" fontId="15" fillId="0" borderId="0" xfId="0" applyNumberFormat="1" applyFont="1" applyFill="1" applyBorder="1"/>
    <xf numFmtId="3" fontId="0" fillId="0" borderId="0" xfId="0" applyNumberFormat="1"/>
    <xf numFmtId="164" fontId="0" fillId="0" borderId="0" xfId="0" applyNumberFormat="1" applyFill="1" applyAlignment="1" applyProtection="1">
      <alignment horizontal="center" wrapText="1"/>
    </xf>
    <xf numFmtId="0" fontId="0" fillId="0" borderId="0" xfId="0" applyBorder="1" applyAlignment="1">
      <alignment horizontal="center"/>
    </xf>
    <xf numFmtId="0" fontId="0" fillId="0" borderId="4" xfId="0" applyFill="1" applyBorder="1" applyAlignment="1">
      <alignment horizontal="center"/>
    </xf>
    <xf numFmtId="0" fontId="0" fillId="2" borderId="0" xfId="0" applyFill="1" applyBorder="1"/>
    <xf numFmtId="0" fontId="15" fillId="0" borderId="11" xfId="0" applyFont="1" applyBorder="1"/>
    <xf numFmtId="164" fontId="15" fillId="11" borderId="11" xfId="0" applyNumberFormat="1" applyFont="1" applyFill="1" applyBorder="1"/>
    <xf numFmtId="0" fontId="15" fillId="0" borderId="13" xfId="0" applyFont="1" applyBorder="1"/>
    <xf numFmtId="0" fontId="15" fillId="2" borderId="0" xfId="0" applyFont="1" applyFill="1" applyBorder="1"/>
    <xf numFmtId="164" fontId="15" fillId="2" borderId="0" xfId="0" applyNumberFormat="1" applyFont="1" applyFill="1" applyBorder="1"/>
    <xf numFmtId="0" fontId="24" fillId="0" borderId="16" xfId="0" applyFont="1" applyFill="1" applyBorder="1" applyAlignment="1">
      <alignment horizontal="center"/>
    </xf>
    <xf numFmtId="0" fontId="15" fillId="0" borderId="16" xfId="0" applyFont="1" applyBorder="1"/>
    <xf numFmtId="0" fontId="15" fillId="0" borderId="7" xfId="0" applyFont="1" applyBorder="1"/>
    <xf numFmtId="0" fontId="24" fillId="0" borderId="14" xfId="0" applyFont="1" applyFill="1" applyBorder="1" applyAlignment="1">
      <alignment horizontal="center"/>
    </xf>
    <xf numFmtId="0" fontId="0" fillId="0" borderId="13" xfId="0" applyBorder="1"/>
    <xf numFmtId="0" fontId="15" fillId="2" borderId="1" xfId="0" applyFont="1" applyFill="1" applyBorder="1"/>
    <xf numFmtId="0" fontId="0" fillId="2" borderId="0" xfId="0" applyFill="1"/>
    <xf numFmtId="0" fontId="0" fillId="0" borderId="12" xfId="0" applyBorder="1"/>
    <xf numFmtId="0" fontId="0" fillId="0" borderId="16" xfId="0" applyFont="1" applyBorder="1"/>
    <xf numFmtId="0" fontId="16" fillId="2" borderId="0" xfId="0" applyFont="1" applyFill="1"/>
    <xf numFmtId="1" fontId="0" fillId="2" borderId="1" xfId="0" applyNumberFormat="1" applyFont="1" applyFill="1" applyBorder="1"/>
    <xf numFmtId="1" fontId="0" fillId="2" borderId="0" xfId="0" applyNumberFormat="1" applyFont="1" applyFill="1" applyBorder="1"/>
    <xf numFmtId="1" fontId="0" fillId="0" borderId="0" xfId="0" applyNumberFormat="1" applyFont="1" applyFill="1" applyBorder="1"/>
    <xf numFmtId="0" fontId="0" fillId="2" borderId="4" xfId="0" applyFill="1" applyBorder="1"/>
    <xf numFmtId="0" fontId="24" fillId="0" borderId="0" xfId="0" applyFont="1" applyFill="1" applyBorder="1" applyAlignment="1">
      <alignment horizontal="center"/>
    </xf>
    <xf numFmtId="0" fontId="0" fillId="2" borderId="0" xfId="0" applyFont="1" applyFill="1" applyBorder="1"/>
    <xf numFmtId="3" fontId="0" fillId="0" borderId="0" xfId="0" applyNumberFormat="1" applyBorder="1" applyAlignment="1">
      <alignment horizontal="right"/>
    </xf>
    <xf numFmtId="3" fontId="0" fillId="0" borderId="0" xfId="0" applyNumberFormat="1" applyBorder="1" applyAlignment="1">
      <alignment horizontal="center" vertical="top"/>
    </xf>
    <xf numFmtId="3" fontId="0" fillId="0" borderId="0" xfId="0" applyNumberFormat="1" applyFill="1" applyBorder="1" applyAlignment="1">
      <alignment horizontal="center"/>
    </xf>
    <xf numFmtId="0" fontId="0" fillId="0" borderId="0" xfId="0" applyAlignment="1">
      <alignment horizontal="center"/>
    </xf>
    <xf numFmtId="0" fontId="25" fillId="0" borderId="0" xfId="0" applyFont="1"/>
    <xf numFmtId="0" fontId="17" fillId="0" borderId="9" xfId="0" applyFont="1" applyBorder="1" applyAlignment="1">
      <alignment horizontal="center"/>
    </xf>
    <xf numFmtId="0" fontId="0" fillId="3" borderId="11" xfId="0" applyFill="1" applyBorder="1"/>
    <xf numFmtId="0" fontId="0" fillId="3" borderId="12" xfId="0" applyFill="1" applyBorder="1"/>
    <xf numFmtId="1" fontId="0" fillId="0" borderId="12" xfId="0" applyNumberFormat="1" applyBorder="1"/>
    <xf numFmtId="4" fontId="0" fillId="0" borderId="0" xfId="0" applyNumberFormat="1" applyBorder="1" applyAlignment="1">
      <alignment horizontal="center"/>
    </xf>
    <xf numFmtId="0" fontId="21" fillId="0" borderId="0" xfId="0" applyFont="1" applyFill="1" applyBorder="1" applyAlignment="1">
      <alignment horizontal="center"/>
    </xf>
    <xf numFmtId="3" fontId="8" fillId="0" borderId="0" xfId="0" applyNumberFormat="1" applyFont="1" applyFill="1" applyBorder="1" applyAlignment="1">
      <alignment horizontal="center"/>
    </xf>
    <xf numFmtId="3" fontId="0" fillId="0" borderId="17" xfId="0" applyNumberFormat="1" applyBorder="1" applyAlignment="1">
      <alignment horizontal="center"/>
    </xf>
    <xf numFmtId="3" fontId="0" fillId="2" borderId="0" xfId="0" applyNumberFormat="1" applyFont="1" applyFill="1"/>
    <xf numFmtId="3" fontId="15" fillId="0" borderId="1" xfId="0" applyNumberFormat="1" applyFont="1" applyBorder="1"/>
    <xf numFmtId="3" fontId="0" fillId="0" borderId="1" xfId="0" applyNumberFormat="1" applyFont="1" applyBorder="1"/>
    <xf numFmtId="3" fontId="0" fillId="2" borderId="1" xfId="0" applyNumberFormat="1" applyFont="1" applyFill="1" applyBorder="1"/>
    <xf numFmtId="3" fontId="0" fillId="2" borderId="0" xfId="0" applyNumberFormat="1" applyFill="1"/>
    <xf numFmtId="3" fontId="0" fillId="0" borderId="1" xfId="0" applyNumberFormat="1" applyFill="1" applyBorder="1"/>
    <xf numFmtId="3" fontId="0" fillId="0" borderId="1" xfId="0" applyNumberFormat="1" applyFont="1" applyFill="1" applyBorder="1"/>
    <xf numFmtId="3" fontId="0" fillId="0" borderId="15" xfId="0" applyNumberFormat="1" applyFont="1" applyFill="1" applyBorder="1"/>
    <xf numFmtId="164" fontId="0" fillId="0" borderId="0" xfId="0" applyNumberFormat="1"/>
    <xf numFmtId="164" fontId="0" fillId="2" borderId="0" xfId="0" applyNumberFormat="1" applyFill="1"/>
    <xf numFmtId="164" fontId="0" fillId="0" borderId="1" xfId="0" applyNumberFormat="1" applyFont="1" applyFill="1" applyBorder="1"/>
    <xf numFmtId="0" fontId="0" fillId="0" borderId="4" xfId="0" applyFill="1" applyBorder="1" applyAlignment="1">
      <alignment horizontal="center"/>
    </xf>
    <xf numFmtId="0" fontId="0" fillId="0" borderId="0" xfId="0" applyFill="1" applyBorder="1" applyAlignment="1">
      <alignment horizontal="center"/>
    </xf>
    <xf numFmtId="0" fontId="0" fillId="0" borderId="0" xfId="0" applyAlignment="1">
      <alignment horizontal="center"/>
    </xf>
    <xf numFmtId="0" fontId="0" fillId="0" borderId="1" xfId="0" applyFill="1" applyBorder="1" applyAlignment="1">
      <alignment vertical="top"/>
    </xf>
    <xf numFmtId="0" fontId="26" fillId="0" borderId="0" xfId="0" applyFont="1" applyAlignment="1">
      <alignment horizontal="left"/>
    </xf>
    <xf numFmtId="0" fontId="22" fillId="0" borderId="0" xfId="0" applyFont="1"/>
    <xf numFmtId="0" fontId="22" fillId="0" borderId="0" xfId="0" applyFont="1" applyAlignment="1">
      <alignment horizontal="left"/>
    </xf>
    <xf numFmtId="0" fontId="0" fillId="0" borderId="0" xfId="0" applyProtection="1">
      <protection locked="0"/>
    </xf>
    <xf numFmtId="0" fontId="0" fillId="0" borderId="0" xfId="0" applyFill="1" applyBorder="1" applyProtection="1">
      <protection locked="0"/>
    </xf>
    <xf numFmtId="0" fontId="0" fillId="0" borderId="0" xfId="0" applyFill="1" applyBorder="1" applyAlignment="1" applyProtection="1">
      <alignment vertical="center"/>
      <protection locked="0"/>
    </xf>
    <xf numFmtId="0" fontId="3" fillId="0" borderId="0" xfId="0" applyFont="1" applyFill="1" applyBorder="1" applyProtection="1">
      <protection locked="0"/>
    </xf>
    <xf numFmtId="0" fontId="4" fillId="16" borderId="1" xfId="0" applyFont="1" applyFill="1" applyBorder="1" applyProtection="1"/>
    <xf numFmtId="0" fontId="3" fillId="17" borderId="1" xfId="0" applyFont="1" applyFill="1" applyBorder="1" applyProtection="1"/>
    <xf numFmtId="0" fontId="0" fillId="17" borderId="1" xfId="0" applyFill="1" applyBorder="1" applyProtection="1"/>
    <xf numFmtId="0" fontId="3" fillId="2" borderId="1" xfId="0" applyFont="1" applyFill="1" applyBorder="1" applyProtection="1"/>
    <xf numFmtId="0" fontId="0" fillId="15" borderId="1" xfId="0" applyFill="1" applyBorder="1" applyProtection="1"/>
    <xf numFmtId="0" fontId="0" fillId="0" borderId="1" xfId="0" applyFill="1" applyBorder="1" applyProtection="1"/>
    <xf numFmtId="0" fontId="0" fillId="0" borderId="1" xfId="0" applyFill="1" applyBorder="1" applyAlignment="1" applyProtection="1">
      <alignment vertical="center"/>
    </xf>
    <xf numFmtId="166" fontId="0" fillId="17" borderId="1" xfId="0" applyNumberFormat="1" applyFill="1" applyBorder="1" applyProtection="1"/>
    <xf numFmtId="166" fontId="3" fillId="2" borderId="1" xfId="0" applyNumberFormat="1" applyFont="1" applyFill="1" applyBorder="1" applyProtection="1"/>
    <xf numFmtId="0" fontId="7" fillId="0" borderId="1" xfId="0" applyFont="1" applyFill="1" applyBorder="1" applyProtection="1"/>
    <xf numFmtId="0" fontId="2" fillId="16" borderId="1" xfId="0" applyFont="1" applyFill="1" applyBorder="1" applyProtection="1"/>
    <xf numFmtId="0" fontId="0" fillId="18" borderId="1" xfId="0" applyFill="1" applyBorder="1" applyAlignment="1" applyProtection="1">
      <alignment horizontal="center"/>
    </xf>
    <xf numFmtId="0" fontId="4" fillId="16" borderId="15" xfId="0" applyFont="1" applyFill="1" applyBorder="1" applyProtection="1"/>
    <xf numFmtId="0" fontId="3" fillId="2" borderId="15" xfId="0" applyFont="1" applyFill="1" applyBorder="1" applyProtection="1"/>
    <xf numFmtId="0" fontId="4" fillId="16" borderId="16" xfId="0" applyFont="1" applyFill="1" applyBorder="1" applyProtection="1"/>
    <xf numFmtId="0" fontId="3" fillId="2" borderId="16" xfId="0" applyFont="1" applyFill="1" applyBorder="1" applyProtection="1"/>
    <xf numFmtId="166" fontId="0" fillId="0" borderId="16" xfId="0" applyNumberFormat="1" applyFill="1" applyBorder="1" applyProtection="1">
      <protection locked="0"/>
    </xf>
    <xf numFmtId="166" fontId="0" fillId="17" borderId="16" xfId="0" applyNumberFormat="1" applyFill="1" applyBorder="1" applyProtection="1">
      <protection locked="0"/>
    </xf>
    <xf numFmtId="166" fontId="7" fillId="0" borderId="16" xfId="0" applyNumberFormat="1" applyFont="1" applyFill="1" applyBorder="1" applyProtection="1">
      <protection locked="0"/>
    </xf>
    <xf numFmtId="0" fontId="4" fillId="16" borderId="18" xfId="0" applyFont="1" applyFill="1" applyBorder="1" applyProtection="1"/>
    <xf numFmtId="0" fontId="4" fillId="16" borderId="19" xfId="0" applyFont="1" applyFill="1" applyBorder="1" applyProtection="1"/>
    <xf numFmtId="0" fontId="4" fillId="16" borderId="20" xfId="0" applyFont="1" applyFill="1" applyBorder="1" applyProtection="1"/>
    <xf numFmtId="0" fontId="3" fillId="2" borderId="21" xfId="0" applyFont="1" applyFill="1" applyBorder="1" applyProtection="1"/>
    <xf numFmtId="0" fontId="3" fillId="2" borderId="22" xfId="0" applyFont="1" applyFill="1" applyBorder="1" applyProtection="1"/>
    <xf numFmtId="166" fontId="0" fillId="17" borderId="21" xfId="0" applyNumberFormat="1" applyFill="1" applyBorder="1" applyProtection="1"/>
    <xf numFmtId="166" fontId="0" fillId="17" borderId="22" xfId="0" applyNumberFormat="1" applyFill="1" applyBorder="1" applyProtection="1"/>
    <xf numFmtId="0" fontId="4" fillId="16" borderId="16" xfId="0" applyFont="1" applyFill="1" applyBorder="1" applyProtection="1">
      <protection locked="0"/>
    </xf>
    <xf numFmtId="0" fontId="3" fillId="2" borderId="16" xfId="0" applyFont="1" applyFill="1" applyBorder="1" applyProtection="1">
      <protection locked="0"/>
    </xf>
    <xf numFmtId="166" fontId="0" fillId="0" borderId="16" xfId="0" applyNumberFormat="1" applyBorder="1" applyProtection="1">
      <protection locked="0"/>
    </xf>
    <xf numFmtId="166" fontId="3" fillId="2" borderId="22" xfId="0" applyNumberFormat="1" applyFont="1" applyFill="1" applyBorder="1" applyProtection="1"/>
    <xf numFmtId="0" fontId="0" fillId="0" borderId="0" xfId="0" applyAlignment="1">
      <alignment horizontal="center"/>
    </xf>
    <xf numFmtId="166" fontId="0" fillId="0" borderId="0" xfId="0" applyNumberFormat="1" applyProtection="1">
      <protection locked="0"/>
    </xf>
    <xf numFmtId="0" fontId="0" fillId="0" borderId="0" xfId="0" applyProtection="1"/>
    <xf numFmtId="0" fontId="0" fillId="0" borderId="1" xfId="0" applyBorder="1" applyProtection="1"/>
    <xf numFmtId="166" fontId="0" fillId="17" borderId="16" xfId="0" applyNumberFormat="1" applyFill="1" applyBorder="1" applyProtection="1"/>
    <xf numFmtId="0" fontId="0" fillId="15" borderId="11" xfId="0" applyFill="1" applyBorder="1" applyProtection="1"/>
    <xf numFmtId="0" fontId="0" fillId="0" borderId="11" xfId="0" applyBorder="1" applyProtection="1"/>
    <xf numFmtId="0" fontId="0" fillId="0" borderId="16" xfId="0" applyBorder="1"/>
    <xf numFmtId="20" fontId="0" fillId="0" borderId="0" xfId="0" applyNumberFormat="1"/>
    <xf numFmtId="0" fontId="0" fillId="15" borderId="15" xfId="0" applyFill="1" applyBorder="1" applyProtection="1"/>
    <xf numFmtId="0" fontId="0" fillId="0" borderId="11" xfId="0" applyFill="1" applyBorder="1" applyProtection="1"/>
    <xf numFmtId="0" fontId="0" fillId="17" borderId="13" xfId="0" applyFill="1" applyBorder="1" applyProtection="1"/>
    <xf numFmtId="166" fontId="0" fillId="0" borderId="7" xfId="0" applyNumberFormat="1" applyFill="1" applyBorder="1" applyProtection="1">
      <protection locked="0"/>
    </xf>
    <xf numFmtId="0" fontId="0" fillId="15" borderId="1" xfId="0" applyFill="1" applyBorder="1" applyProtection="1">
      <protection locked="0"/>
    </xf>
    <xf numFmtId="0" fontId="0" fillId="0" borderId="16" xfId="0" applyBorder="1" applyProtection="1">
      <protection locked="0"/>
    </xf>
    <xf numFmtId="0" fontId="0" fillId="12" borderId="16" xfId="0" applyFill="1" applyBorder="1" applyProtection="1"/>
    <xf numFmtId="0" fontId="0" fillId="12" borderId="7" xfId="0" applyFill="1" applyBorder="1" applyProtection="1"/>
    <xf numFmtId="166" fontId="0" fillId="12" borderId="16" xfId="0" applyNumberFormat="1" applyFill="1" applyBorder="1" applyProtection="1">
      <protection locked="0"/>
    </xf>
    <xf numFmtId="166" fontId="0" fillId="13" borderId="21" xfId="0" applyNumberFormat="1" applyFill="1" applyBorder="1" applyProtection="1"/>
    <xf numFmtId="166" fontId="0" fillId="13" borderId="26" xfId="0" applyNumberFormat="1" applyFill="1" applyBorder="1" applyProtection="1"/>
    <xf numFmtId="0" fontId="0" fillId="13" borderId="1" xfId="0" applyFill="1" applyBorder="1" applyProtection="1"/>
    <xf numFmtId="0" fontId="0" fillId="13" borderId="22" xfId="0" applyFill="1" applyBorder="1" applyProtection="1"/>
    <xf numFmtId="0" fontId="0" fillId="13" borderId="11" xfId="0" applyFill="1" applyBorder="1" applyProtection="1"/>
    <xf numFmtId="0" fontId="0" fillId="13" borderId="27" xfId="0" applyFill="1" applyBorder="1" applyProtection="1"/>
    <xf numFmtId="166" fontId="0" fillId="13" borderId="1" xfId="0" applyNumberFormat="1" applyFill="1" applyBorder="1" applyProtection="1"/>
    <xf numFmtId="166" fontId="0" fillId="13" borderId="22" xfId="0" applyNumberFormat="1" applyFill="1" applyBorder="1" applyProtection="1"/>
    <xf numFmtId="166" fontId="7" fillId="13" borderId="21" xfId="0" applyNumberFormat="1" applyFont="1" applyFill="1" applyBorder="1" applyProtection="1"/>
    <xf numFmtId="166" fontId="0" fillId="13" borderId="11" xfId="0" applyNumberFormat="1" applyFill="1" applyBorder="1" applyProtection="1"/>
    <xf numFmtId="166" fontId="0" fillId="13" borderId="27" xfId="0" applyNumberFormat="1" applyFill="1" applyBorder="1" applyProtection="1"/>
    <xf numFmtId="0" fontId="0" fillId="13" borderId="21" xfId="0" applyFill="1" applyBorder="1" applyProtection="1">
      <protection locked="0"/>
    </xf>
    <xf numFmtId="0" fontId="0" fillId="13" borderId="1" xfId="0" applyFill="1" applyBorder="1" applyProtection="1">
      <protection locked="0"/>
    </xf>
    <xf numFmtId="0" fontId="0" fillId="13" borderId="22" xfId="0" applyFill="1" applyBorder="1" applyProtection="1">
      <protection locked="0"/>
    </xf>
    <xf numFmtId="0" fontId="0" fillId="13" borderId="23" xfId="0" applyFill="1" applyBorder="1" applyProtection="1">
      <protection locked="0"/>
    </xf>
    <xf numFmtId="0" fontId="0" fillId="13" borderId="24" xfId="0" applyFill="1" applyBorder="1" applyProtection="1">
      <protection locked="0"/>
    </xf>
    <xf numFmtId="0" fontId="0" fillId="13" borderId="25" xfId="0" applyFill="1" applyBorder="1" applyProtection="1">
      <protection locked="0"/>
    </xf>
    <xf numFmtId="166" fontId="0" fillId="13" borderId="21" xfId="0" applyNumberFormat="1" applyFill="1" applyBorder="1" applyAlignment="1" applyProtection="1">
      <alignment vertical="center"/>
    </xf>
    <xf numFmtId="166" fontId="0" fillId="13" borderId="23" xfId="0" applyNumberFormat="1" applyFill="1" applyBorder="1" applyProtection="1"/>
    <xf numFmtId="166" fontId="0" fillId="13" borderId="24" xfId="0" applyNumberFormat="1" applyFill="1" applyBorder="1" applyProtection="1"/>
    <xf numFmtId="166" fontId="0" fillId="13" borderId="25" xfId="0" applyNumberFormat="1" applyFill="1" applyBorder="1" applyProtection="1"/>
    <xf numFmtId="0" fontId="0" fillId="0" borderId="0" xfId="0" applyNumberFormat="1"/>
    <xf numFmtId="0" fontId="0" fillId="0" borderId="0" xfId="0" applyAlignment="1">
      <alignment horizontal="center"/>
    </xf>
    <xf numFmtId="0" fontId="0" fillId="0" borderId="0" xfId="0" applyFill="1" applyBorder="1" applyAlignment="1">
      <alignment horizontal="center"/>
    </xf>
    <xf numFmtId="3" fontId="0" fillId="0" borderId="1" xfId="0" applyNumberFormat="1" applyBorder="1" applyAlignment="1">
      <alignment horizontal="center"/>
    </xf>
    <xf numFmtId="3" fontId="0" fillId="13" borderId="9" xfId="0" applyNumberFormat="1" applyFill="1" applyBorder="1" applyAlignment="1">
      <alignment horizontal="center"/>
    </xf>
    <xf numFmtId="0" fontId="0" fillId="0" borderId="9" xfId="0" applyFill="1" applyBorder="1"/>
    <xf numFmtId="0" fontId="0" fillId="0" borderId="4" xfId="0" applyFill="1" applyBorder="1" applyAlignment="1">
      <alignment horizontal="center"/>
    </xf>
    <xf numFmtId="0" fontId="0" fillId="0" borderId="0" xfId="0" applyAlignment="1">
      <alignment horizontal="center"/>
    </xf>
    <xf numFmtId="166" fontId="0" fillId="0" borderId="0" xfId="0" applyNumberFormat="1" applyFill="1" applyBorder="1" applyAlignment="1">
      <alignment horizontal="center" wrapText="1"/>
    </xf>
    <xf numFmtId="166" fontId="0" fillId="0" borderId="0" xfId="0" applyNumberFormat="1" applyFill="1" applyBorder="1" applyAlignment="1">
      <alignment horizontal="center" vertical="center" wrapText="1"/>
    </xf>
    <xf numFmtId="164" fontId="0" fillId="0" borderId="0" xfId="0" applyNumberFormat="1" applyFill="1" applyBorder="1" applyAlignment="1">
      <alignment horizontal="center"/>
    </xf>
    <xf numFmtId="164" fontId="0" fillId="0" borderId="0" xfId="0" applyNumberFormat="1" applyFont="1" applyFill="1" applyBorder="1" applyAlignment="1">
      <alignment horizontal="center" wrapText="1"/>
    </xf>
    <xf numFmtId="166" fontId="7" fillId="0" borderId="0" xfId="0" applyNumberFormat="1" applyFont="1" applyFill="1" applyBorder="1" applyAlignment="1" applyProtection="1">
      <alignment horizontal="center" wrapText="1"/>
    </xf>
    <xf numFmtId="166" fontId="0" fillId="0" borderId="0" xfId="0" applyNumberFormat="1" applyFill="1" applyBorder="1" applyAlignment="1" applyProtection="1">
      <alignment horizontal="center" wrapText="1"/>
    </xf>
    <xf numFmtId="3" fontId="0" fillId="0" borderId="4" xfId="0" applyNumberFormat="1" applyFont="1" applyFill="1" applyBorder="1" applyAlignment="1">
      <alignment horizontal="center"/>
    </xf>
    <xf numFmtId="3" fontId="8" fillId="0" borderId="2" xfId="0" applyNumberFormat="1" applyFont="1" applyFill="1" applyBorder="1" applyAlignment="1">
      <alignment horizontal="center"/>
    </xf>
    <xf numFmtId="166" fontId="0" fillId="0" borderId="0" xfId="0" applyNumberFormat="1" applyFont="1" applyFill="1" applyBorder="1" applyAlignment="1">
      <alignment horizontal="center"/>
    </xf>
    <xf numFmtId="0" fontId="0" fillId="0" borderId="17" xfId="0" applyBorder="1" applyAlignment="1">
      <alignment wrapText="1"/>
    </xf>
    <xf numFmtId="0" fontId="0" fillId="0" borderId="0" xfId="0" applyFont="1" applyBorder="1"/>
    <xf numFmtId="3" fontId="0" fillId="0" borderId="0" xfId="0" applyNumberFormat="1" applyFont="1" applyFill="1" applyBorder="1" applyAlignment="1">
      <alignment horizontal="center" wrapText="1"/>
    </xf>
    <xf numFmtId="0" fontId="0" fillId="0" borderId="0" xfId="0" applyBorder="1" applyAlignment="1">
      <alignment wrapText="1"/>
    </xf>
    <xf numFmtId="0" fontId="7" fillId="0" borderId="0" xfId="0" applyFont="1" applyFill="1" applyBorder="1" applyProtection="1"/>
    <xf numFmtId="0" fontId="0" fillId="0" borderId="0" xfId="0" applyFill="1" applyBorder="1" applyProtection="1"/>
    <xf numFmtId="0" fontId="0" fillId="0" borderId="0" xfId="0" applyBorder="1" applyProtection="1"/>
    <xf numFmtId="0" fontId="0" fillId="0" borderId="0" xfId="0" applyFill="1" applyBorder="1" applyAlignment="1" applyProtection="1">
      <alignment vertical="center"/>
    </xf>
    <xf numFmtId="166" fontId="0" fillId="0" borderId="0" xfId="0" applyNumberFormat="1" applyFill="1" applyBorder="1" applyAlignment="1" applyProtection="1">
      <alignment horizontal="center"/>
    </xf>
    <xf numFmtId="166" fontId="0" fillId="0" borderId="0" xfId="0" applyNumberFormat="1" applyBorder="1" applyAlignment="1" applyProtection="1">
      <alignment horizontal="center"/>
    </xf>
    <xf numFmtId="0" fontId="3" fillId="0" borderId="0" xfId="0" applyFont="1" applyBorder="1" applyAlignment="1">
      <alignment wrapText="1"/>
    </xf>
    <xf numFmtId="0" fontId="3" fillId="0" borderId="0" xfId="0" applyFont="1" applyBorder="1" applyAlignment="1">
      <alignment horizontal="left"/>
    </xf>
    <xf numFmtId="0" fontId="3" fillId="0" borderId="0" xfId="0" applyFont="1" applyBorder="1" applyAlignment="1">
      <alignment horizontal="left" wrapText="1"/>
    </xf>
    <xf numFmtId="0" fontId="0" fillId="0" borderId="0" xfId="0" applyAlignment="1">
      <alignment horizontal="left"/>
    </xf>
    <xf numFmtId="0" fontId="0" fillId="0" borderId="0" xfId="0" applyBorder="1" applyAlignment="1">
      <alignment horizontal="left" vertical="top"/>
    </xf>
    <xf numFmtId="0" fontId="0" fillId="0" borderId="0" xfId="0" applyBorder="1" applyAlignment="1">
      <alignment vertical="top" wrapText="1"/>
    </xf>
    <xf numFmtId="0" fontId="0" fillId="0" borderId="0" xfId="0" applyAlignment="1">
      <alignment vertical="top"/>
    </xf>
    <xf numFmtId="0" fontId="0" fillId="0" borderId="0" xfId="0" applyFont="1" applyAlignment="1">
      <alignment horizontal="left"/>
    </xf>
    <xf numFmtId="0" fontId="4" fillId="16" borderId="1" xfId="0" applyFont="1" applyFill="1" applyBorder="1" applyAlignment="1" applyProtection="1">
      <alignment horizontal="center"/>
    </xf>
    <xf numFmtId="0" fontId="4" fillId="16" borderId="11" xfId="0" applyFont="1" applyFill="1" applyBorder="1" applyAlignment="1" applyProtection="1">
      <alignment horizontal="center"/>
    </xf>
    <xf numFmtId="0" fontId="2" fillId="16" borderId="1" xfId="0" applyFont="1" applyFill="1" applyBorder="1" applyAlignment="1" applyProtection="1"/>
    <xf numFmtId="0" fontId="0" fillId="0" borderId="1" xfId="0" applyBorder="1" applyAlignment="1" applyProtection="1"/>
    <xf numFmtId="0" fontId="0" fillId="0" borderId="15" xfId="0" applyBorder="1" applyAlignment="1" applyProtection="1"/>
    <xf numFmtId="0" fontId="0" fillId="0" borderId="0" xfId="0" applyAlignment="1">
      <alignment horizontal="left" wrapText="1"/>
    </xf>
    <xf numFmtId="0" fontId="0" fillId="0" borderId="11" xfId="0" applyBorder="1" applyAlignment="1"/>
    <xf numFmtId="0" fontId="0" fillId="0" borderId="12" xfId="0" applyBorder="1" applyAlignment="1"/>
    <xf numFmtId="0" fontId="0" fillId="0" borderId="13" xfId="0" applyBorder="1" applyAlignment="1"/>
    <xf numFmtId="3" fontId="0" fillId="2" borderId="1" xfId="0" applyNumberFormat="1" applyFont="1" applyFill="1" applyBorder="1" applyAlignment="1">
      <alignment horizontal="center"/>
    </xf>
    <xf numFmtId="3" fontId="0" fillId="0" borderId="1" xfId="0" applyNumberFormat="1" applyBorder="1" applyAlignment="1"/>
    <xf numFmtId="3" fontId="0" fillId="2" borderId="1" xfId="0" applyNumberFormat="1" applyFill="1" applyBorder="1" applyAlignment="1">
      <alignment horizontal="center"/>
    </xf>
    <xf numFmtId="3" fontId="0" fillId="2" borderId="15" xfId="0" applyNumberFormat="1" applyFill="1" applyBorder="1" applyAlignment="1">
      <alignment horizontal="center"/>
    </xf>
    <xf numFmtId="0" fontId="0" fillId="0" borderId="4" xfId="0" applyFill="1" applyBorder="1" applyAlignment="1">
      <alignment horizontal="center"/>
    </xf>
    <xf numFmtId="0" fontId="0" fillId="0" borderId="0" xfId="0" applyAlignment="1">
      <alignment horizontal="center"/>
    </xf>
    <xf numFmtId="0" fontId="0" fillId="0" borderId="0" xfId="0" applyFill="1" applyBorder="1" applyAlignment="1">
      <alignment horizontal="center"/>
    </xf>
    <xf numFmtId="0" fontId="0" fillId="0" borderId="0" xfId="0" applyAlignment="1"/>
  </cellXfs>
  <cellStyles count="2">
    <cellStyle name="Normal" xfId="0" builtinId="0"/>
    <cellStyle name="Normal 2" xfId="1"/>
  </cellStyles>
  <dxfs count="10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strike/>
        <color rgb="FFFFFF00"/>
      </font>
    </dxf>
    <dxf>
      <font>
        <b/>
        <i val="0"/>
        <strike/>
        <color rgb="FFFFFF00"/>
      </font>
      <border>
        <left/>
        <right/>
        <top/>
        <bottom/>
      </border>
    </dxf>
    <dxf>
      <font>
        <b/>
        <i val="0"/>
        <strike/>
        <color rgb="FFFF0000"/>
        <name val="Cambria"/>
        <scheme val="none"/>
      </font>
      <border>
        <left/>
        <right/>
        <top/>
        <bottom/>
      </border>
    </dxf>
    <dxf>
      <font>
        <b/>
        <i val="0"/>
        <strike/>
        <color rgb="FFFFFF00"/>
      </font>
    </dxf>
    <dxf>
      <font>
        <condense val="0"/>
        <extend val="0"/>
        <color rgb="FF9C0006"/>
      </font>
      <fill>
        <patternFill>
          <bgColor rgb="FFFFC7CE"/>
        </patternFill>
      </fill>
    </dxf>
    <dxf>
      <font>
        <condense val="0"/>
        <extend val="0"/>
        <color rgb="FF9C0006"/>
      </font>
      <fill>
        <patternFill>
          <bgColor rgb="FFFFC7CE"/>
        </patternFill>
      </fill>
    </dxf>
    <dxf>
      <font>
        <b/>
        <i val="0"/>
        <strike/>
        <color rgb="FFFFFF00"/>
      </font>
    </dxf>
    <dxf>
      <font>
        <b/>
        <i val="0"/>
        <strike/>
        <color rgb="FFFFFF00"/>
      </font>
      <border>
        <left/>
        <right/>
        <top/>
        <bottom/>
      </border>
    </dxf>
    <dxf>
      <font>
        <b/>
        <i val="0"/>
        <strike/>
        <color rgb="FFFF0000"/>
        <name val="Cambria"/>
        <scheme val="none"/>
      </font>
      <border>
        <left/>
        <right/>
        <top/>
        <bottom/>
      </border>
    </dxf>
    <dxf>
      <font>
        <b/>
        <i val="0"/>
        <strike/>
        <color rgb="FFFFFF00"/>
      </font>
    </dxf>
    <dxf>
      <font>
        <condense val="0"/>
        <extend val="0"/>
        <color rgb="FF9C0006"/>
      </font>
      <fill>
        <patternFill>
          <bgColor rgb="FFFFC7CE"/>
        </patternFill>
      </fill>
    </dxf>
    <dxf>
      <font>
        <condense val="0"/>
        <extend val="0"/>
        <color rgb="FF9C0006"/>
      </font>
      <fill>
        <patternFill>
          <bgColor rgb="FFFFC7CE"/>
        </patternFill>
      </fill>
    </dxf>
    <dxf>
      <font>
        <b/>
        <i val="0"/>
        <strike/>
        <color rgb="FFFFFF00"/>
      </font>
    </dxf>
    <dxf>
      <font>
        <b/>
        <i val="0"/>
        <strike/>
        <color rgb="FFFFFF00"/>
      </font>
      <border>
        <left/>
        <right/>
        <top/>
        <bottom/>
      </border>
    </dxf>
    <dxf>
      <font>
        <b/>
        <i val="0"/>
        <strike/>
        <color rgb="FFFF0000"/>
        <name val="Cambria"/>
        <scheme val="none"/>
      </font>
      <border>
        <left/>
        <right/>
        <top/>
        <bottom/>
      </border>
    </dxf>
    <dxf>
      <font>
        <b/>
        <i val="0"/>
        <strike/>
        <color rgb="FFFFFF00"/>
      </font>
    </dxf>
    <dxf>
      <font>
        <condense val="0"/>
        <extend val="0"/>
        <color rgb="FF9C0006"/>
      </font>
      <fill>
        <patternFill>
          <bgColor rgb="FFFFC7CE"/>
        </patternFill>
      </fill>
    </dxf>
    <dxf>
      <font>
        <condense val="0"/>
        <extend val="0"/>
        <color rgb="FF9C0006"/>
      </font>
      <fill>
        <patternFill>
          <bgColor rgb="FFFFC7CE"/>
        </patternFill>
      </fill>
    </dxf>
    <dxf>
      <font>
        <b/>
        <i val="0"/>
        <strike/>
        <color rgb="FFFFFF00"/>
      </font>
    </dxf>
    <dxf>
      <font>
        <b/>
        <i val="0"/>
        <strike/>
        <color rgb="FFFFFF00"/>
      </font>
      <border>
        <left/>
        <right/>
        <top/>
        <bottom/>
      </border>
    </dxf>
    <dxf>
      <font>
        <b/>
        <i val="0"/>
        <strike/>
        <color rgb="FFFF0000"/>
        <name val="Cambria"/>
        <scheme val="none"/>
      </font>
      <border>
        <left/>
        <right/>
        <top/>
        <bottom/>
      </border>
    </dxf>
    <dxf>
      <font>
        <b/>
        <i val="0"/>
        <strike/>
        <color rgb="FFFFFF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strike/>
        <color rgb="FFFFFF00"/>
      </font>
    </dxf>
    <dxf>
      <font>
        <b/>
        <i val="0"/>
        <strike/>
        <color rgb="FFFFFF00"/>
      </font>
      <border>
        <left/>
        <right/>
        <top/>
        <bottom/>
      </border>
    </dxf>
    <dxf>
      <font>
        <b/>
        <i val="0"/>
        <strike/>
        <color rgb="FFFF0000"/>
        <name val="Cambria"/>
        <scheme val="none"/>
      </font>
      <border>
        <left/>
        <right/>
        <top/>
        <bottom/>
      </border>
    </dxf>
    <dxf>
      <font>
        <b/>
        <i val="0"/>
        <strike/>
        <color rgb="FFFFFF00"/>
      </font>
    </dxf>
    <dxf>
      <font>
        <condense val="0"/>
        <extend val="0"/>
        <color rgb="FF9C0006"/>
      </font>
      <fill>
        <patternFill>
          <bgColor rgb="FFFFC7CE"/>
        </patternFill>
      </fill>
    </dxf>
    <dxf>
      <font>
        <b/>
        <i val="0"/>
        <strike/>
        <color rgb="FFFFFF00"/>
      </font>
    </dxf>
    <dxf>
      <font>
        <b/>
        <i val="0"/>
        <strike/>
        <color rgb="FFFFFF00"/>
      </font>
      <border>
        <left/>
        <right/>
        <top/>
        <bottom/>
      </border>
    </dxf>
    <dxf>
      <font>
        <b/>
        <i val="0"/>
        <strike/>
        <color rgb="FFFF0000"/>
        <name val="Cambria"/>
        <scheme val="none"/>
      </font>
      <border>
        <left/>
        <right/>
        <top/>
        <bottom/>
      </border>
    </dxf>
    <dxf>
      <font>
        <b/>
        <i val="0"/>
        <strike/>
        <color rgb="FFFFFF00"/>
      </font>
    </dxf>
    <dxf>
      <font>
        <condense val="0"/>
        <extend val="0"/>
        <color rgb="FF9C0006"/>
      </font>
      <fill>
        <patternFill>
          <bgColor rgb="FFFFC7CE"/>
        </patternFill>
      </fill>
    </dxf>
    <dxf>
      <font>
        <condense val="0"/>
        <extend val="0"/>
        <color rgb="FF9C0006"/>
      </font>
      <fill>
        <patternFill>
          <bgColor rgb="FFFFC7CE"/>
        </patternFill>
      </fill>
    </dxf>
    <dxf>
      <font>
        <b/>
        <i val="0"/>
        <strike/>
        <color rgb="FFFFFF00"/>
      </font>
    </dxf>
    <dxf>
      <font>
        <b/>
        <i val="0"/>
        <strike/>
        <color rgb="FFFFFF00"/>
      </font>
      <border>
        <left/>
        <right/>
        <top/>
        <bottom/>
      </border>
    </dxf>
    <dxf>
      <font>
        <b/>
        <i val="0"/>
        <strike/>
        <color rgb="FFFF0000"/>
        <name val="Cambria"/>
        <scheme val="none"/>
      </font>
      <border>
        <left/>
        <right/>
        <top/>
        <bottom/>
      </border>
    </dxf>
    <dxf>
      <font>
        <b/>
        <i val="0"/>
        <strike/>
        <color rgb="FFFFFF00"/>
      </font>
    </dxf>
    <dxf>
      <font>
        <condense val="0"/>
        <extend val="0"/>
        <color rgb="FF9C0006"/>
      </font>
      <fill>
        <patternFill>
          <bgColor rgb="FFFFC7CE"/>
        </patternFill>
      </fill>
    </dxf>
    <dxf>
      <font>
        <condense val="0"/>
        <extend val="0"/>
        <color rgb="FF9C0006"/>
      </font>
      <fill>
        <patternFill>
          <bgColor rgb="FFFFC7CE"/>
        </patternFill>
      </fill>
    </dxf>
    <dxf>
      <font>
        <b/>
        <i val="0"/>
        <strike/>
        <color rgb="FFFFFF00"/>
      </font>
    </dxf>
    <dxf>
      <font>
        <b/>
        <i val="0"/>
        <strike/>
        <color rgb="FFFFFF00"/>
      </font>
      <border>
        <left/>
        <right/>
        <top/>
        <bottom/>
      </border>
    </dxf>
    <dxf>
      <font>
        <b/>
        <i val="0"/>
        <strike/>
        <color rgb="FFFF0000"/>
        <name val="Cambria"/>
        <scheme val="none"/>
      </font>
      <border>
        <left/>
        <right/>
        <top/>
        <bottom/>
      </border>
    </dxf>
    <dxf>
      <font>
        <b/>
        <i val="0"/>
        <strike/>
        <color rgb="FFFFFF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strike/>
        <color rgb="FFFFFF00"/>
      </font>
      <border>
        <left/>
        <right/>
        <top/>
        <bottom/>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strike/>
        <color rgb="FFFFFF00"/>
      </font>
      <border>
        <left/>
        <right/>
        <top/>
        <bottom/>
      </border>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25400</xdr:colOff>
      <xdr:row>7</xdr:row>
      <xdr:rowOff>36513</xdr:rowOff>
    </xdr:from>
    <xdr:to>
      <xdr:col>3</xdr:col>
      <xdr:colOff>406400</xdr:colOff>
      <xdr:row>27</xdr:row>
      <xdr:rowOff>115888</xdr:rowOff>
    </xdr:to>
    <xdr:grpSp>
      <xdr:nvGrpSpPr>
        <xdr:cNvPr id="4" name="Group 3"/>
        <xdr:cNvGrpSpPr>
          <a:grpSpLocks/>
        </xdr:cNvGrpSpPr>
      </xdr:nvGrpSpPr>
      <xdr:grpSpPr bwMode="auto">
        <a:xfrm>
          <a:off x="635000" y="1325563"/>
          <a:ext cx="1600200" cy="3762375"/>
          <a:chOff x="39688" y="798513"/>
          <a:chExt cx="1600240" cy="3889375"/>
        </a:xfrm>
      </xdr:grpSpPr>
      <xdr:sp macro="" textlink="">
        <xdr:nvSpPr>
          <xdr:cNvPr id="99" name="Rounded Rectangle 98"/>
          <xdr:cNvSpPr/>
        </xdr:nvSpPr>
        <xdr:spPr bwMode="auto">
          <a:xfrm>
            <a:off x="39688" y="798513"/>
            <a:ext cx="1600240" cy="914400"/>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wrap="square"/>
          <a:lstStyle/>
          <a:p>
            <a:endParaRPr lang="en-US"/>
          </a:p>
        </xdr:txBody>
      </xdr:sp>
      <xdr:sp macro="" textlink="">
        <xdr:nvSpPr>
          <xdr:cNvPr id="100" name="Right Arrow 4"/>
          <xdr:cNvSpPr/>
        </xdr:nvSpPr>
        <xdr:spPr bwMode="auto">
          <a:xfrm>
            <a:off x="871559" y="2225675"/>
            <a:ext cx="325445" cy="341313"/>
          </a:xfrm>
          <a:prstGeom prst="rect">
            <a:avLst/>
          </a:prstGeom>
        </xdr:spPr>
        <xdr:style>
          <a:lnRef idx="0">
            <a:scrgbClr r="0" g="0" b="0"/>
          </a:lnRef>
          <a:fillRef idx="0">
            <a:scrgbClr r="0" g="0" b="0"/>
          </a:fillRef>
          <a:effectRef idx="0">
            <a:scrgbClr r="0" g="0" b="0"/>
          </a:effectRef>
          <a:fontRef idx="minor">
            <a:schemeClr val="lt1"/>
          </a:fontRef>
        </xdr:style>
        <xdr:txBody>
          <a:bodyPr wrap="square" lIns="0" tIns="0" rIns="0" bIns="0"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800100" fontAlgn="auto">
              <a:lnSpc>
                <a:spcPct val="90000"/>
              </a:lnSpc>
              <a:spcBef>
                <a:spcPts val="0"/>
              </a:spcBef>
              <a:spcAft>
                <a:spcPct val="35000"/>
              </a:spcAft>
              <a:defRPr/>
            </a:pPr>
            <a:endParaRPr lang="en-US"/>
          </a:p>
        </xdr:txBody>
      </xdr:sp>
      <xdr:sp macro="" textlink="">
        <xdr:nvSpPr>
          <xdr:cNvPr id="101" name="Right Arrow 6"/>
          <xdr:cNvSpPr/>
        </xdr:nvSpPr>
        <xdr:spPr bwMode="auto">
          <a:xfrm>
            <a:off x="871559" y="4370388"/>
            <a:ext cx="325445" cy="317500"/>
          </a:xfrm>
          <a:prstGeom prst="rect">
            <a:avLst/>
          </a:prstGeom>
        </xdr:spPr>
        <xdr:style>
          <a:lnRef idx="0">
            <a:scrgbClr r="0" g="0" b="0"/>
          </a:lnRef>
          <a:fillRef idx="0">
            <a:scrgbClr r="0" g="0" b="0"/>
          </a:fillRef>
          <a:effectRef idx="0">
            <a:scrgbClr r="0" g="0" b="0"/>
          </a:effectRef>
          <a:fontRef idx="minor">
            <a:schemeClr val="lt1"/>
          </a:fontRef>
        </xdr:style>
        <xdr:txBody>
          <a:bodyPr wrap="square" lIns="0" tIns="0" rIns="0" bIns="0"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800100" fontAlgn="auto">
              <a:lnSpc>
                <a:spcPct val="90000"/>
              </a:lnSpc>
              <a:spcBef>
                <a:spcPts val="0"/>
              </a:spcBef>
              <a:spcAft>
                <a:spcPct val="35000"/>
              </a:spcAft>
              <a:defRPr/>
            </a:pPr>
            <a:endParaRPr lang="en-US"/>
          </a:p>
        </xdr:txBody>
      </xdr:sp>
    </xdr:grpSp>
    <xdr:clientData/>
  </xdr:twoCellAnchor>
  <xdr:twoCellAnchor>
    <xdr:from>
      <xdr:col>3</xdr:col>
      <xdr:colOff>406400</xdr:colOff>
      <xdr:row>19</xdr:row>
      <xdr:rowOff>183895</xdr:rowOff>
    </xdr:from>
    <xdr:to>
      <xdr:col>15</xdr:col>
      <xdr:colOff>62119</xdr:colOff>
      <xdr:row>25</xdr:row>
      <xdr:rowOff>176212</xdr:rowOff>
    </xdr:to>
    <xdr:grpSp>
      <xdr:nvGrpSpPr>
        <xdr:cNvPr id="5" name="Group 4"/>
        <xdr:cNvGrpSpPr>
          <a:grpSpLocks/>
        </xdr:cNvGrpSpPr>
      </xdr:nvGrpSpPr>
      <xdr:grpSpPr bwMode="auto">
        <a:xfrm>
          <a:off x="2235200" y="3682745"/>
          <a:ext cx="6970919" cy="1097217"/>
          <a:chOff x="1992362" y="3270250"/>
          <a:chExt cx="6971094" cy="1135317"/>
        </a:xfrm>
      </xdr:grpSpPr>
      <xdr:grpSp>
        <xdr:nvGrpSpPr>
          <xdr:cNvPr id="77" name="Group 76"/>
          <xdr:cNvGrpSpPr>
            <a:grpSpLocks/>
          </xdr:cNvGrpSpPr>
        </xdr:nvGrpSpPr>
        <xdr:grpSpPr bwMode="auto">
          <a:xfrm>
            <a:off x="1992362" y="3270250"/>
            <a:ext cx="6971094" cy="644525"/>
            <a:chOff x="1992362" y="3270250"/>
            <a:chExt cx="6971094" cy="644525"/>
          </a:xfrm>
        </xdr:grpSpPr>
        <xdr:sp macro="" textlink="">
          <xdr:nvSpPr>
            <xdr:cNvPr id="89" name="Freeform 88"/>
            <xdr:cNvSpPr/>
          </xdr:nvSpPr>
          <xdr:spPr>
            <a:xfrm>
              <a:off x="1992362" y="3270250"/>
              <a:ext cx="838221" cy="644525"/>
            </a:xfrm>
            <a:custGeom>
              <a:avLst/>
              <a:gdLst>
                <a:gd name="connsiteX0" fmla="*/ 0 w 838265"/>
                <a:gd name="connsiteY0" fmla="*/ 64442 h 644416"/>
                <a:gd name="connsiteX1" fmla="*/ 18875 w 838265"/>
                <a:gd name="connsiteY1" fmla="*/ 18875 h 644416"/>
                <a:gd name="connsiteX2" fmla="*/ 64442 w 838265"/>
                <a:gd name="connsiteY2" fmla="*/ 0 h 644416"/>
                <a:gd name="connsiteX3" fmla="*/ 773823 w 838265"/>
                <a:gd name="connsiteY3" fmla="*/ 0 h 644416"/>
                <a:gd name="connsiteX4" fmla="*/ 819390 w 838265"/>
                <a:gd name="connsiteY4" fmla="*/ 18875 h 644416"/>
                <a:gd name="connsiteX5" fmla="*/ 838265 w 838265"/>
                <a:gd name="connsiteY5" fmla="*/ 64442 h 644416"/>
                <a:gd name="connsiteX6" fmla="*/ 838265 w 838265"/>
                <a:gd name="connsiteY6" fmla="*/ 579974 h 644416"/>
                <a:gd name="connsiteX7" fmla="*/ 819390 w 838265"/>
                <a:gd name="connsiteY7" fmla="*/ 625541 h 644416"/>
                <a:gd name="connsiteX8" fmla="*/ 773823 w 838265"/>
                <a:gd name="connsiteY8" fmla="*/ 644416 h 644416"/>
                <a:gd name="connsiteX9" fmla="*/ 64442 w 838265"/>
                <a:gd name="connsiteY9" fmla="*/ 644416 h 644416"/>
                <a:gd name="connsiteX10" fmla="*/ 18875 w 838265"/>
                <a:gd name="connsiteY10" fmla="*/ 625541 h 644416"/>
                <a:gd name="connsiteX11" fmla="*/ 0 w 838265"/>
                <a:gd name="connsiteY11" fmla="*/ 579974 h 644416"/>
                <a:gd name="connsiteX12" fmla="*/ 0 w 838265"/>
                <a:gd name="connsiteY12" fmla="*/ 64442 h 6444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838265" h="644416">
                  <a:moveTo>
                    <a:pt x="0" y="64442"/>
                  </a:moveTo>
                  <a:cubicBezTo>
                    <a:pt x="0" y="47351"/>
                    <a:pt x="6789" y="30960"/>
                    <a:pt x="18875" y="18875"/>
                  </a:cubicBezTo>
                  <a:cubicBezTo>
                    <a:pt x="30960" y="6790"/>
                    <a:pt x="47351" y="0"/>
                    <a:pt x="64442" y="0"/>
                  </a:cubicBezTo>
                  <a:lnTo>
                    <a:pt x="773823" y="0"/>
                  </a:lnTo>
                  <a:cubicBezTo>
                    <a:pt x="790914" y="0"/>
                    <a:pt x="807305" y="6789"/>
                    <a:pt x="819390" y="18875"/>
                  </a:cubicBezTo>
                  <a:cubicBezTo>
                    <a:pt x="831475" y="30960"/>
                    <a:pt x="838265" y="47351"/>
                    <a:pt x="838265" y="64442"/>
                  </a:cubicBezTo>
                  <a:lnTo>
                    <a:pt x="838265" y="579974"/>
                  </a:lnTo>
                  <a:cubicBezTo>
                    <a:pt x="838265" y="597065"/>
                    <a:pt x="831476" y="613456"/>
                    <a:pt x="819390" y="625541"/>
                  </a:cubicBezTo>
                  <a:cubicBezTo>
                    <a:pt x="807305" y="637626"/>
                    <a:pt x="790914" y="644416"/>
                    <a:pt x="773823" y="644416"/>
                  </a:cubicBezTo>
                  <a:lnTo>
                    <a:pt x="64442" y="644416"/>
                  </a:lnTo>
                  <a:cubicBezTo>
                    <a:pt x="47351" y="644416"/>
                    <a:pt x="30960" y="637627"/>
                    <a:pt x="18875" y="625541"/>
                  </a:cubicBezTo>
                  <a:cubicBezTo>
                    <a:pt x="6790" y="613456"/>
                    <a:pt x="0" y="597065"/>
                    <a:pt x="0" y="579974"/>
                  </a:cubicBezTo>
                  <a:lnTo>
                    <a:pt x="0" y="64442"/>
                  </a:lnTo>
                  <a:close/>
                </a:path>
              </a:pathLst>
            </a:custGeom>
            <a:solidFill>
              <a:schemeClr val="accent2"/>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wrap="square" lIns="83644" tIns="83644" rIns="83644" bIns="83644"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755650">
                <a:lnSpc>
                  <a:spcPct val="90000"/>
                </a:lnSpc>
                <a:spcAft>
                  <a:spcPct val="35000"/>
                </a:spcAft>
                <a:defRPr/>
              </a:pPr>
              <a:r>
                <a:rPr lang="en-US" sz="1600"/>
                <a:t>Not in care</a:t>
              </a:r>
            </a:p>
          </xdr:txBody>
        </xdr:sp>
        <xdr:sp macro="" textlink="">
          <xdr:nvSpPr>
            <xdr:cNvPr id="90" name="Freeform 89"/>
            <xdr:cNvSpPr/>
          </xdr:nvSpPr>
          <xdr:spPr>
            <a:xfrm>
              <a:off x="3181429" y="3489325"/>
              <a:ext cx="120653" cy="206375"/>
            </a:xfrm>
            <a:custGeom>
              <a:avLst/>
              <a:gdLst>
                <a:gd name="connsiteX0" fmla="*/ 0 w 121366"/>
                <a:gd name="connsiteY0" fmla="*/ 41578 h 207889"/>
                <a:gd name="connsiteX1" fmla="*/ 60683 w 121366"/>
                <a:gd name="connsiteY1" fmla="*/ 41578 h 207889"/>
                <a:gd name="connsiteX2" fmla="*/ 60683 w 121366"/>
                <a:gd name="connsiteY2" fmla="*/ 0 h 207889"/>
                <a:gd name="connsiteX3" fmla="*/ 121366 w 121366"/>
                <a:gd name="connsiteY3" fmla="*/ 103945 h 207889"/>
                <a:gd name="connsiteX4" fmla="*/ 60683 w 121366"/>
                <a:gd name="connsiteY4" fmla="*/ 207889 h 207889"/>
                <a:gd name="connsiteX5" fmla="*/ 60683 w 121366"/>
                <a:gd name="connsiteY5" fmla="*/ 166311 h 207889"/>
                <a:gd name="connsiteX6" fmla="*/ 0 w 121366"/>
                <a:gd name="connsiteY6" fmla="*/ 166311 h 207889"/>
                <a:gd name="connsiteX7" fmla="*/ 0 w 121366"/>
                <a:gd name="connsiteY7" fmla="*/ 41578 h 2078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21366" h="207889">
                  <a:moveTo>
                    <a:pt x="0" y="41578"/>
                  </a:moveTo>
                  <a:lnTo>
                    <a:pt x="60683" y="41578"/>
                  </a:lnTo>
                  <a:lnTo>
                    <a:pt x="60683" y="0"/>
                  </a:lnTo>
                  <a:lnTo>
                    <a:pt x="121366" y="103945"/>
                  </a:lnTo>
                  <a:lnTo>
                    <a:pt x="60683" y="207889"/>
                  </a:lnTo>
                  <a:lnTo>
                    <a:pt x="60683" y="166311"/>
                  </a:lnTo>
                  <a:lnTo>
                    <a:pt x="0" y="166311"/>
                  </a:lnTo>
                  <a:lnTo>
                    <a:pt x="0" y="41578"/>
                  </a:lnTo>
                  <a:close/>
                </a:path>
              </a:pathLst>
            </a:custGeom>
            <a:noFill/>
          </xdr:spPr>
          <xdr:style>
            <a:lnRef idx="0">
              <a:schemeClr val="accent1">
                <a:tint val="60000"/>
                <a:hueOff val="0"/>
                <a:satOff val="0"/>
                <a:lumOff val="0"/>
                <a:alphaOff val="0"/>
              </a:schemeClr>
            </a:lnRef>
            <a:fillRef idx="1">
              <a:scrgbClr r="0" g="0" b="0"/>
            </a:fillRef>
            <a:effectRef idx="0">
              <a:schemeClr val="accent1">
                <a:tint val="60000"/>
                <a:hueOff val="0"/>
                <a:satOff val="0"/>
                <a:lumOff val="0"/>
                <a:alphaOff val="0"/>
              </a:schemeClr>
            </a:effectRef>
            <a:fontRef idx="minor">
              <a:schemeClr val="lt1"/>
            </a:fontRef>
          </xdr:style>
          <xdr:txBody>
            <a:bodyPr wrap="square" lIns="0" tIns="41578" rIns="36410" bIns="41578"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755650">
                <a:lnSpc>
                  <a:spcPct val="90000"/>
                </a:lnSpc>
                <a:spcAft>
                  <a:spcPct val="35000"/>
                </a:spcAft>
                <a:defRPr/>
              </a:pPr>
              <a:endParaRPr lang="en-US" sz="1600"/>
            </a:p>
          </xdr:txBody>
        </xdr:sp>
        <xdr:sp macro="" textlink="">
          <xdr:nvSpPr>
            <xdr:cNvPr id="91" name="Freeform 90"/>
            <xdr:cNvSpPr/>
          </xdr:nvSpPr>
          <xdr:spPr>
            <a:xfrm>
              <a:off x="3138566" y="3270250"/>
              <a:ext cx="838221" cy="644525"/>
            </a:xfrm>
            <a:custGeom>
              <a:avLst/>
              <a:gdLst>
                <a:gd name="connsiteX0" fmla="*/ 0 w 838265"/>
                <a:gd name="connsiteY0" fmla="*/ 64442 h 644416"/>
                <a:gd name="connsiteX1" fmla="*/ 18875 w 838265"/>
                <a:gd name="connsiteY1" fmla="*/ 18875 h 644416"/>
                <a:gd name="connsiteX2" fmla="*/ 64442 w 838265"/>
                <a:gd name="connsiteY2" fmla="*/ 0 h 644416"/>
                <a:gd name="connsiteX3" fmla="*/ 773823 w 838265"/>
                <a:gd name="connsiteY3" fmla="*/ 0 h 644416"/>
                <a:gd name="connsiteX4" fmla="*/ 819390 w 838265"/>
                <a:gd name="connsiteY4" fmla="*/ 18875 h 644416"/>
                <a:gd name="connsiteX5" fmla="*/ 838265 w 838265"/>
                <a:gd name="connsiteY5" fmla="*/ 64442 h 644416"/>
                <a:gd name="connsiteX6" fmla="*/ 838265 w 838265"/>
                <a:gd name="connsiteY6" fmla="*/ 579974 h 644416"/>
                <a:gd name="connsiteX7" fmla="*/ 819390 w 838265"/>
                <a:gd name="connsiteY7" fmla="*/ 625541 h 644416"/>
                <a:gd name="connsiteX8" fmla="*/ 773823 w 838265"/>
                <a:gd name="connsiteY8" fmla="*/ 644416 h 644416"/>
                <a:gd name="connsiteX9" fmla="*/ 64442 w 838265"/>
                <a:gd name="connsiteY9" fmla="*/ 644416 h 644416"/>
                <a:gd name="connsiteX10" fmla="*/ 18875 w 838265"/>
                <a:gd name="connsiteY10" fmla="*/ 625541 h 644416"/>
                <a:gd name="connsiteX11" fmla="*/ 0 w 838265"/>
                <a:gd name="connsiteY11" fmla="*/ 579974 h 644416"/>
                <a:gd name="connsiteX12" fmla="*/ 0 w 838265"/>
                <a:gd name="connsiteY12" fmla="*/ 64442 h 6444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838265" h="644416">
                  <a:moveTo>
                    <a:pt x="0" y="64442"/>
                  </a:moveTo>
                  <a:cubicBezTo>
                    <a:pt x="0" y="47351"/>
                    <a:pt x="6789" y="30960"/>
                    <a:pt x="18875" y="18875"/>
                  </a:cubicBezTo>
                  <a:cubicBezTo>
                    <a:pt x="30960" y="6790"/>
                    <a:pt x="47351" y="0"/>
                    <a:pt x="64442" y="0"/>
                  </a:cubicBezTo>
                  <a:lnTo>
                    <a:pt x="773823" y="0"/>
                  </a:lnTo>
                  <a:cubicBezTo>
                    <a:pt x="790914" y="0"/>
                    <a:pt x="807305" y="6789"/>
                    <a:pt x="819390" y="18875"/>
                  </a:cubicBezTo>
                  <a:cubicBezTo>
                    <a:pt x="831475" y="30960"/>
                    <a:pt x="838265" y="47351"/>
                    <a:pt x="838265" y="64442"/>
                  </a:cubicBezTo>
                  <a:lnTo>
                    <a:pt x="838265" y="579974"/>
                  </a:lnTo>
                  <a:cubicBezTo>
                    <a:pt x="838265" y="597065"/>
                    <a:pt x="831476" y="613456"/>
                    <a:pt x="819390" y="625541"/>
                  </a:cubicBezTo>
                  <a:cubicBezTo>
                    <a:pt x="807305" y="637626"/>
                    <a:pt x="790914" y="644416"/>
                    <a:pt x="773823" y="644416"/>
                  </a:cubicBezTo>
                  <a:lnTo>
                    <a:pt x="64442" y="644416"/>
                  </a:lnTo>
                  <a:cubicBezTo>
                    <a:pt x="47351" y="644416"/>
                    <a:pt x="30960" y="637627"/>
                    <a:pt x="18875" y="625541"/>
                  </a:cubicBezTo>
                  <a:cubicBezTo>
                    <a:pt x="6790" y="613456"/>
                    <a:pt x="0" y="597065"/>
                    <a:pt x="0" y="579974"/>
                  </a:cubicBezTo>
                  <a:lnTo>
                    <a:pt x="0" y="64442"/>
                  </a:lnTo>
                  <a:close/>
                </a:path>
              </a:pathLst>
            </a:custGeom>
            <a:solidFill>
              <a:schemeClr val="accent2"/>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wrap="square" lIns="18874" tIns="83644" rIns="18874" bIns="83644"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755650">
                <a:lnSpc>
                  <a:spcPct val="90000"/>
                </a:lnSpc>
                <a:spcAft>
                  <a:spcPct val="35000"/>
                </a:spcAft>
                <a:defRPr/>
              </a:pPr>
              <a:r>
                <a:rPr lang="en-US" sz="1600"/>
                <a:t>In care, off ART</a:t>
              </a:r>
            </a:p>
          </xdr:txBody>
        </xdr:sp>
        <xdr:sp macro="" textlink="">
          <xdr:nvSpPr>
            <xdr:cNvPr id="92" name="Freeform 91"/>
            <xdr:cNvSpPr/>
          </xdr:nvSpPr>
          <xdr:spPr>
            <a:xfrm>
              <a:off x="4248256" y="3489325"/>
              <a:ext cx="120653" cy="206375"/>
            </a:xfrm>
            <a:custGeom>
              <a:avLst/>
              <a:gdLst>
                <a:gd name="connsiteX0" fmla="*/ 0 w 121123"/>
                <a:gd name="connsiteY0" fmla="*/ 41578 h 207889"/>
                <a:gd name="connsiteX1" fmla="*/ 60562 w 121123"/>
                <a:gd name="connsiteY1" fmla="*/ 41578 h 207889"/>
                <a:gd name="connsiteX2" fmla="*/ 60562 w 121123"/>
                <a:gd name="connsiteY2" fmla="*/ 0 h 207889"/>
                <a:gd name="connsiteX3" fmla="*/ 121123 w 121123"/>
                <a:gd name="connsiteY3" fmla="*/ 103945 h 207889"/>
                <a:gd name="connsiteX4" fmla="*/ 60562 w 121123"/>
                <a:gd name="connsiteY4" fmla="*/ 207889 h 207889"/>
                <a:gd name="connsiteX5" fmla="*/ 60562 w 121123"/>
                <a:gd name="connsiteY5" fmla="*/ 166311 h 207889"/>
                <a:gd name="connsiteX6" fmla="*/ 0 w 121123"/>
                <a:gd name="connsiteY6" fmla="*/ 166311 h 207889"/>
                <a:gd name="connsiteX7" fmla="*/ 0 w 121123"/>
                <a:gd name="connsiteY7" fmla="*/ 41578 h 2078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21123" h="207889">
                  <a:moveTo>
                    <a:pt x="0" y="41578"/>
                  </a:moveTo>
                  <a:lnTo>
                    <a:pt x="60562" y="41578"/>
                  </a:lnTo>
                  <a:lnTo>
                    <a:pt x="60562" y="0"/>
                  </a:lnTo>
                  <a:lnTo>
                    <a:pt x="121123" y="103945"/>
                  </a:lnTo>
                  <a:lnTo>
                    <a:pt x="60562" y="207889"/>
                  </a:lnTo>
                  <a:lnTo>
                    <a:pt x="60562" y="166311"/>
                  </a:lnTo>
                  <a:lnTo>
                    <a:pt x="0" y="166311"/>
                  </a:lnTo>
                  <a:lnTo>
                    <a:pt x="0" y="41578"/>
                  </a:lnTo>
                  <a:close/>
                </a:path>
              </a:pathLst>
            </a:custGeom>
            <a:noFill/>
          </xdr:spPr>
          <xdr:style>
            <a:lnRef idx="0">
              <a:schemeClr val="accent1">
                <a:tint val="60000"/>
                <a:hueOff val="0"/>
                <a:satOff val="0"/>
                <a:lumOff val="0"/>
                <a:alphaOff val="0"/>
              </a:schemeClr>
            </a:lnRef>
            <a:fillRef idx="1">
              <a:scrgbClr r="0" g="0" b="0"/>
            </a:fillRef>
            <a:effectRef idx="0">
              <a:schemeClr val="accent1">
                <a:tint val="60000"/>
                <a:hueOff val="0"/>
                <a:satOff val="0"/>
                <a:lumOff val="0"/>
                <a:alphaOff val="0"/>
              </a:schemeClr>
            </a:effectRef>
            <a:fontRef idx="minor">
              <a:schemeClr val="lt1"/>
            </a:fontRef>
          </xdr:style>
          <xdr:txBody>
            <a:bodyPr wrap="square" lIns="0" tIns="41578" rIns="36337" bIns="41578"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755650">
                <a:lnSpc>
                  <a:spcPct val="90000"/>
                </a:lnSpc>
                <a:spcAft>
                  <a:spcPct val="35000"/>
                </a:spcAft>
                <a:defRPr/>
              </a:pPr>
              <a:endParaRPr lang="en-US" sz="1600"/>
            </a:p>
          </xdr:txBody>
        </xdr:sp>
        <xdr:sp macro="" textlink="">
          <xdr:nvSpPr>
            <xdr:cNvPr id="93" name="Freeform 92"/>
            <xdr:cNvSpPr/>
          </xdr:nvSpPr>
          <xdr:spPr>
            <a:xfrm>
              <a:off x="4357796" y="3270250"/>
              <a:ext cx="838221" cy="644525"/>
            </a:xfrm>
            <a:custGeom>
              <a:avLst/>
              <a:gdLst>
                <a:gd name="connsiteX0" fmla="*/ 0 w 838265"/>
                <a:gd name="connsiteY0" fmla="*/ 64442 h 644416"/>
                <a:gd name="connsiteX1" fmla="*/ 18875 w 838265"/>
                <a:gd name="connsiteY1" fmla="*/ 18875 h 644416"/>
                <a:gd name="connsiteX2" fmla="*/ 64442 w 838265"/>
                <a:gd name="connsiteY2" fmla="*/ 0 h 644416"/>
                <a:gd name="connsiteX3" fmla="*/ 773823 w 838265"/>
                <a:gd name="connsiteY3" fmla="*/ 0 h 644416"/>
                <a:gd name="connsiteX4" fmla="*/ 819390 w 838265"/>
                <a:gd name="connsiteY4" fmla="*/ 18875 h 644416"/>
                <a:gd name="connsiteX5" fmla="*/ 838265 w 838265"/>
                <a:gd name="connsiteY5" fmla="*/ 64442 h 644416"/>
                <a:gd name="connsiteX6" fmla="*/ 838265 w 838265"/>
                <a:gd name="connsiteY6" fmla="*/ 579974 h 644416"/>
                <a:gd name="connsiteX7" fmla="*/ 819390 w 838265"/>
                <a:gd name="connsiteY7" fmla="*/ 625541 h 644416"/>
                <a:gd name="connsiteX8" fmla="*/ 773823 w 838265"/>
                <a:gd name="connsiteY8" fmla="*/ 644416 h 644416"/>
                <a:gd name="connsiteX9" fmla="*/ 64442 w 838265"/>
                <a:gd name="connsiteY9" fmla="*/ 644416 h 644416"/>
                <a:gd name="connsiteX10" fmla="*/ 18875 w 838265"/>
                <a:gd name="connsiteY10" fmla="*/ 625541 h 644416"/>
                <a:gd name="connsiteX11" fmla="*/ 0 w 838265"/>
                <a:gd name="connsiteY11" fmla="*/ 579974 h 644416"/>
                <a:gd name="connsiteX12" fmla="*/ 0 w 838265"/>
                <a:gd name="connsiteY12" fmla="*/ 64442 h 6444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838265" h="644416">
                  <a:moveTo>
                    <a:pt x="0" y="64442"/>
                  </a:moveTo>
                  <a:cubicBezTo>
                    <a:pt x="0" y="47351"/>
                    <a:pt x="6789" y="30960"/>
                    <a:pt x="18875" y="18875"/>
                  </a:cubicBezTo>
                  <a:cubicBezTo>
                    <a:pt x="30960" y="6790"/>
                    <a:pt x="47351" y="0"/>
                    <a:pt x="64442" y="0"/>
                  </a:cubicBezTo>
                  <a:lnTo>
                    <a:pt x="773823" y="0"/>
                  </a:lnTo>
                  <a:cubicBezTo>
                    <a:pt x="790914" y="0"/>
                    <a:pt x="807305" y="6789"/>
                    <a:pt x="819390" y="18875"/>
                  </a:cubicBezTo>
                  <a:cubicBezTo>
                    <a:pt x="831475" y="30960"/>
                    <a:pt x="838265" y="47351"/>
                    <a:pt x="838265" y="64442"/>
                  </a:cubicBezTo>
                  <a:lnTo>
                    <a:pt x="838265" y="579974"/>
                  </a:lnTo>
                  <a:cubicBezTo>
                    <a:pt x="838265" y="597065"/>
                    <a:pt x="831476" y="613456"/>
                    <a:pt x="819390" y="625541"/>
                  </a:cubicBezTo>
                  <a:cubicBezTo>
                    <a:pt x="807305" y="637626"/>
                    <a:pt x="790914" y="644416"/>
                    <a:pt x="773823" y="644416"/>
                  </a:cubicBezTo>
                  <a:lnTo>
                    <a:pt x="64442" y="644416"/>
                  </a:lnTo>
                  <a:cubicBezTo>
                    <a:pt x="47351" y="644416"/>
                    <a:pt x="30960" y="637627"/>
                    <a:pt x="18875" y="625541"/>
                  </a:cubicBezTo>
                  <a:cubicBezTo>
                    <a:pt x="6790" y="613456"/>
                    <a:pt x="0" y="597065"/>
                    <a:pt x="0" y="579974"/>
                  </a:cubicBezTo>
                  <a:lnTo>
                    <a:pt x="0" y="64442"/>
                  </a:lnTo>
                  <a:close/>
                </a:path>
              </a:pathLst>
            </a:custGeom>
            <a:solidFill>
              <a:schemeClr val="accent2"/>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wrap="square" lIns="18874" tIns="83644" rIns="18874" bIns="83644"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755650">
                <a:lnSpc>
                  <a:spcPct val="90000"/>
                </a:lnSpc>
                <a:spcAft>
                  <a:spcPct val="35000"/>
                </a:spcAft>
                <a:defRPr/>
              </a:pPr>
              <a:r>
                <a:rPr lang="en-US" sz="1600"/>
                <a:t>In care, ART1</a:t>
              </a:r>
            </a:p>
          </xdr:txBody>
        </xdr:sp>
        <xdr:sp macro="" textlink="">
          <xdr:nvSpPr>
            <xdr:cNvPr id="94" name="Freeform 93"/>
            <xdr:cNvSpPr/>
          </xdr:nvSpPr>
          <xdr:spPr>
            <a:xfrm>
              <a:off x="5448436" y="3489325"/>
              <a:ext cx="403235" cy="206375"/>
            </a:xfrm>
            <a:custGeom>
              <a:avLst/>
              <a:gdLst>
                <a:gd name="connsiteX0" fmla="*/ 0 w 403860"/>
                <a:gd name="connsiteY0" fmla="*/ 41578 h 207889"/>
                <a:gd name="connsiteX1" fmla="*/ 299916 w 403860"/>
                <a:gd name="connsiteY1" fmla="*/ 41578 h 207889"/>
                <a:gd name="connsiteX2" fmla="*/ 299916 w 403860"/>
                <a:gd name="connsiteY2" fmla="*/ 0 h 207889"/>
                <a:gd name="connsiteX3" fmla="*/ 403860 w 403860"/>
                <a:gd name="connsiteY3" fmla="*/ 103945 h 207889"/>
                <a:gd name="connsiteX4" fmla="*/ 299916 w 403860"/>
                <a:gd name="connsiteY4" fmla="*/ 207889 h 207889"/>
                <a:gd name="connsiteX5" fmla="*/ 299916 w 403860"/>
                <a:gd name="connsiteY5" fmla="*/ 166311 h 207889"/>
                <a:gd name="connsiteX6" fmla="*/ 0 w 403860"/>
                <a:gd name="connsiteY6" fmla="*/ 166311 h 207889"/>
                <a:gd name="connsiteX7" fmla="*/ 0 w 403860"/>
                <a:gd name="connsiteY7" fmla="*/ 41578 h 2078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403860" h="207889">
                  <a:moveTo>
                    <a:pt x="0" y="41578"/>
                  </a:moveTo>
                  <a:lnTo>
                    <a:pt x="299916" y="41578"/>
                  </a:lnTo>
                  <a:lnTo>
                    <a:pt x="299916" y="0"/>
                  </a:lnTo>
                  <a:lnTo>
                    <a:pt x="403860" y="103945"/>
                  </a:lnTo>
                  <a:lnTo>
                    <a:pt x="299916" y="207889"/>
                  </a:lnTo>
                  <a:lnTo>
                    <a:pt x="299916" y="166311"/>
                  </a:lnTo>
                  <a:lnTo>
                    <a:pt x="0" y="166311"/>
                  </a:lnTo>
                  <a:lnTo>
                    <a:pt x="0" y="41578"/>
                  </a:lnTo>
                  <a:close/>
                </a:path>
              </a:pathLst>
            </a:custGeom>
            <a:noFill/>
          </xdr:spPr>
          <xdr:style>
            <a:lnRef idx="0">
              <a:schemeClr val="accent1">
                <a:tint val="60000"/>
                <a:hueOff val="0"/>
                <a:satOff val="0"/>
                <a:lumOff val="0"/>
                <a:alphaOff val="0"/>
              </a:schemeClr>
            </a:lnRef>
            <a:fillRef idx="1">
              <a:scrgbClr r="0" g="0" b="0"/>
            </a:fillRef>
            <a:effectRef idx="0">
              <a:schemeClr val="accent1">
                <a:tint val="60000"/>
                <a:hueOff val="0"/>
                <a:satOff val="0"/>
                <a:lumOff val="0"/>
                <a:alphaOff val="0"/>
              </a:schemeClr>
            </a:effectRef>
            <a:fontRef idx="minor">
              <a:schemeClr val="lt1"/>
            </a:fontRef>
          </xdr:style>
          <xdr:txBody>
            <a:bodyPr wrap="square" lIns="0" tIns="41578" rIns="62367" bIns="41578"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755650">
                <a:lnSpc>
                  <a:spcPct val="90000"/>
                </a:lnSpc>
                <a:spcAft>
                  <a:spcPct val="35000"/>
                </a:spcAft>
                <a:defRPr/>
              </a:pPr>
              <a:endParaRPr lang="en-US" sz="1600"/>
            </a:p>
          </xdr:txBody>
        </xdr:sp>
        <xdr:sp macro="" textlink="">
          <xdr:nvSpPr>
            <xdr:cNvPr id="95" name="Freeform 94"/>
            <xdr:cNvSpPr/>
          </xdr:nvSpPr>
          <xdr:spPr>
            <a:xfrm>
              <a:off x="5638941" y="3270250"/>
              <a:ext cx="838221" cy="644525"/>
            </a:xfrm>
            <a:custGeom>
              <a:avLst/>
              <a:gdLst>
                <a:gd name="connsiteX0" fmla="*/ 0 w 838265"/>
                <a:gd name="connsiteY0" fmla="*/ 64442 h 644416"/>
                <a:gd name="connsiteX1" fmla="*/ 18875 w 838265"/>
                <a:gd name="connsiteY1" fmla="*/ 18875 h 644416"/>
                <a:gd name="connsiteX2" fmla="*/ 64442 w 838265"/>
                <a:gd name="connsiteY2" fmla="*/ 0 h 644416"/>
                <a:gd name="connsiteX3" fmla="*/ 773823 w 838265"/>
                <a:gd name="connsiteY3" fmla="*/ 0 h 644416"/>
                <a:gd name="connsiteX4" fmla="*/ 819390 w 838265"/>
                <a:gd name="connsiteY4" fmla="*/ 18875 h 644416"/>
                <a:gd name="connsiteX5" fmla="*/ 838265 w 838265"/>
                <a:gd name="connsiteY5" fmla="*/ 64442 h 644416"/>
                <a:gd name="connsiteX6" fmla="*/ 838265 w 838265"/>
                <a:gd name="connsiteY6" fmla="*/ 579974 h 644416"/>
                <a:gd name="connsiteX7" fmla="*/ 819390 w 838265"/>
                <a:gd name="connsiteY7" fmla="*/ 625541 h 644416"/>
                <a:gd name="connsiteX8" fmla="*/ 773823 w 838265"/>
                <a:gd name="connsiteY8" fmla="*/ 644416 h 644416"/>
                <a:gd name="connsiteX9" fmla="*/ 64442 w 838265"/>
                <a:gd name="connsiteY9" fmla="*/ 644416 h 644416"/>
                <a:gd name="connsiteX10" fmla="*/ 18875 w 838265"/>
                <a:gd name="connsiteY10" fmla="*/ 625541 h 644416"/>
                <a:gd name="connsiteX11" fmla="*/ 0 w 838265"/>
                <a:gd name="connsiteY11" fmla="*/ 579974 h 644416"/>
                <a:gd name="connsiteX12" fmla="*/ 0 w 838265"/>
                <a:gd name="connsiteY12" fmla="*/ 64442 h 6444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838265" h="644416">
                  <a:moveTo>
                    <a:pt x="0" y="64442"/>
                  </a:moveTo>
                  <a:cubicBezTo>
                    <a:pt x="0" y="47351"/>
                    <a:pt x="6789" y="30960"/>
                    <a:pt x="18875" y="18875"/>
                  </a:cubicBezTo>
                  <a:cubicBezTo>
                    <a:pt x="30960" y="6790"/>
                    <a:pt x="47351" y="0"/>
                    <a:pt x="64442" y="0"/>
                  </a:cubicBezTo>
                  <a:lnTo>
                    <a:pt x="773823" y="0"/>
                  </a:lnTo>
                  <a:cubicBezTo>
                    <a:pt x="790914" y="0"/>
                    <a:pt x="807305" y="6789"/>
                    <a:pt x="819390" y="18875"/>
                  </a:cubicBezTo>
                  <a:cubicBezTo>
                    <a:pt x="831475" y="30960"/>
                    <a:pt x="838265" y="47351"/>
                    <a:pt x="838265" y="64442"/>
                  </a:cubicBezTo>
                  <a:lnTo>
                    <a:pt x="838265" y="579974"/>
                  </a:lnTo>
                  <a:cubicBezTo>
                    <a:pt x="838265" y="597065"/>
                    <a:pt x="831476" y="613456"/>
                    <a:pt x="819390" y="625541"/>
                  </a:cubicBezTo>
                  <a:cubicBezTo>
                    <a:pt x="807305" y="637626"/>
                    <a:pt x="790914" y="644416"/>
                    <a:pt x="773823" y="644416"/>
                  </a:cubicBezTo>
                  <a:lnTo>
                    <a:pt x="64442" y="644416"/>
                  </a:lnTo>
                  <a:cubicBezTo>
                    <a:pt x="47351" y="644416"/>
                    <a:pt x="30960" y="637627"/>
                    <a:pt x="18875" y="625541"/>
                  </a:cubicBezTo>
                  <a:cubicBezTo>
                    <a:pt x="6790" y="613456"/>
                    <a:pt x="0" y="597065"/>
                    <a:pt x="0" y="579974"/>
                  </a:cubicBezTo>
                  <a:lnTo>
                    <a:pt x="0" y="64442"/>
                  </a:lnTo>
                  <a:close/>
                </a:path>
              </a:pathLst>
            </a:custGeom>
            <a:solidFill>
              <a:schemeClr val="accent2"/>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wrap="square" lIns="18874" tIns="83644" rIns="18874" bIns="83644"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755650">
                <a:lnSpc>
                  <a:spcPct val="90000"/>
                </a:lnSpc>
                <a:spcAft>
                  <a:spcPct val="35000"/>
                </a:spcAft>
                <a:defRPr/>
              </a:pPr>
              <a:r>
                <a:rPr lang="en-US" sz="1600"/>
                <a:t>In care, ART2</a:t>
              </a:r>
            </a:p>
          </xdr:txBody>
        </xdr:sp>
        <xdr:sp macro="" textlink="">
          <xdr:nvSpPr>
            <xdr:cNvPr id="96" name="Freeform 95"/>
            <xdr:cNvSpPr/>
          </xdr:nvSpPr>
          <xdr:spPr>
            <a:xfrm>
              <a:off x="6915323" y="3489325"/>
              <a:ext cx="120653" cy="206375"/>
            </a:xfrm>
            <a:custGeom>
              <a:avLst/>
              <a:gdLst>
                <a:gd name="connsiteX0" fmla="*/ 0 w 121123"/>
                <a:gd name="connsiteY0" fmla="*/ 41578 h 207889"/>
                <a:gd name="connsiteX1" fmla="*/ 60562 w 121123"/>
                <a:gd name="connsiteY1" fmla="*/ 41578 h 207889"/>
                <a:gd name="connsiteX2" fmla="*/ 60562 w 121123"/>
                <a:gd name="connsiteY2" fmla="*/ 0 h 207889"/>
                <a:gd name="connsiteX3" fmla="*/ 121123 w 121123"/>
                <a:gd name="connsiteY3" fmla="*/ 103945 h 207889"/>
                <a:gd name="connsiteX4" fmla="*/ 60562 w 121123"/>
                <a:gd name="connsiteY4" fmla="*/ 207889 h 207889"/>
                <a:gd name="connsiteX5" fmla="*/ 60562 w 121123"/>
                <a:gd name="connsiteY5" fmla="*/ 166311 h 207889"/>
                <a:gd name="connsiteX6" fmla="*/ 0 w 121123"/>
                <a:gd name="connsiteY6" fmla="*/ 166311 h 207889"/>
                <a:gd name="connsiteX7" fmla="*/ 0 w 121123"/>
                <a:gd name="connsiteY7" fmla="*/ 41578 h 2078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21123" h="207889">
                  <a:moveTo>
                    <a:pt x="0" y="41578"/>
                  </a:moveTo>
                  <a:lnTo>
                    <a:pt x="60562" y="41578"/>
                  </a:lnTo>
                  <a:lnTo>
                    <a:pt x="60562" y="0"/>
                  </a:lnTo>
                  <a:lnTo>
                    <a:pt x="121123" y="103945"/>
                  </a:lnTo>
                  <a:lnTo>
                    <a:pt x="60562" y="207889"/>
                  </a:lnTo>
                  <a:lnTo>
                    <a:pt x="60562" y="166311"/>
                  </a:lnTo>
                  <a:lnTo>
                    <a:pt x="0" y="166311"/>
                  </a:lnTo>
                  <a:lnTo>
                    <a:pt x="0" y="41578"/>
                  </a:lnTo>
                  <a:close/>
                </a:path>
              </a:pathLst>
            </a:custGeom>
            <a:noFill/>
          </xdr:spPr>
          <xdr:style>
            <a:lnRef idx="0">
              <a:schemeClr val="accent1">
                <a:tint val="60000"/>
                <a:hueOff val="0"/>
                <a:satOff val="0"/>
                <a:lumOff val="0"/>
                <a:alphaOff val="0"/>
              </a:schemeClr>
            </a:lnRef>
            <a:fillRef idx="1">
              <a:scrgbClr r="0" g="0" b="0"/>
            </a:fillRef>
            <a:effectRef idx="0">
              <a:schemeClr val="accent1">
                <a:tint val="60000"/>
                <a:hueOff val="0"/>
                <a:satOff val="0"/>
                <a:lumOff val="0"/>
                <a:alphaOff val="0"/>
              </a:schemeClr>
            </a:effectRef>
            <a:fontRef idx="minor">
              <a:schemeClr val="lt1"/>
            </a:fontRef>
          </xdr:style>
          <xdr:txBody>
            <a:bodyPr wrap="square" lIns="0" tIns="41578" rIns="36337" bIns="41578"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755650">
                <a:lnSpc>
                  <a:spcPct val="90000"/>
                </a:lnSpc>
                <a:spcAft>
                  <a:spcPct val="35000"/>
                </a:spcAft>
                <a:defRPr/>
              </a:pPr>
              <a:endParaRPr lang="en-US" sz="1600"/>
            </a:p>
          </xdr:txBody>
        </xdr:sp>
        <xdr:sp macro="" textlink="">
          <xdr:nvSpPr>
            <xdr:cNvPr id="97" name="Freeform 96"/>
            <xdr:cNvSpPr/>
          </xdr:nvSpPr>
          <xdr:spPr>
            <a:xfrm>
              <a:off x="6858171" y="3270250"/>
              <a:ext cx="838221" cy="644525"/>
            </a:xfrm>
            <a:custGeom>
              <a:avLst/>
              <a:gdLst>
                <a:gd name="connsiteX0" fmla="*/ 0 w 838265"/>
                <a:gd name="connsiteY0" fmla="*/ 64442 h 644416"/>
                <a:gd name="connsiteX1" fmla="*/ 18875 w 838265"/>
                <a:gd name="connsiteY1" fmla="*/ 18875 h 644416"/>
                <a:gd name="connsiteX2" fmla="*/ 64442 w 838265"/>
                <a:gd name="connsiteY2" fmla="*/ 0 h 644416"/>
                <a:gd name="connsiteX3" fmla="*/ 773823 w 838265"/>
                <a:gd name="connsiteY3" fmla="*/ 0 h 644416"/>
                <a:gd name="connsiteX4" fmla="*/ 819390 w 838265"/>
                <a:gd name="connsiteY4" fmla="*/ 18875 h 644416"/>
                <a:gd name="connsiteX5" fmla="*/ 838265 w 838265"/>
                <a:gd name="connsiteY5" fmla="*/ 64442 h 644416"/>
                <a:gd name="connsiteX6" fmla="*/ 838265 w 838265"/>
                <a:gd name="connsiteY6" fmla="*/ 579974 h 644416"/>
                <a:gd name="connsiteX7" fmla="*/ 819390 w 838265"/>
                <a:gd name="connsiteY7" fmla="*/ 625541 h 644416"/>
                <a:gd name="connsiteX8" fmla="*/ 773823 w 838265"/>
                <a:gd name="connsiteY8" fmla="*/ 644416 h 644416"/>
                <a:gd name="connsiteX9" fmla="*/ 64442 w 838265"/>
                <a:gd name="connsiteY9" fmla="*/ 644416 h 644416"/>
                <a:gd name="connsiteX10" fmla="*/ 18875 w 838265"/>
                <a:gd name="connsiteY10" fmla="*/ 625541 h 644416"/>
                <a:gd name="connsiteX11" fmla="*/ 0 w 838265"/>
                <a:gd name="connsiteY11" fmla="*/ 579974 h 644416"/>
                <a:gd name="connsiteX12" fmla="*/ 0 w 838265"/>
                <a:gd name="connsiteY12" fmla="*/ 64442 h 6444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838265" h="644416">
                  <a:moveTo>
                    <a:pt x="0" y="64442"/>
                  </a:moveTo>
                  <a:cubicBezTo>
                    <a:pt x="0" y="47351"/>
                    <a:pt x="6789" y="30960"/>
                    <a:pt x="18875" y="18875"/>
                  </a:cubicBezTo>
                  <a:cubicBezTo>
                    <a:pt x="30960" y="6790"/>
                    <a:pt x="47351" y="0"/>
                    <a:pt x="64442" y="0"/>
                  </a:cubicBezTo>
                  <a:lnTo>
                    <a:pt x="773823" y="0"/>
                  </a:lnTo>
                  <a:cubicBezTo>
                    <a:pt x="790914" y="0"/>
                    <a:pt x="807305" y="6789"/>
                    <a:pt x="819390" y="18875"/>
                  </a:cubicBezTo>
                  <a:cubicBezTo>
                    <a:pt x="831475" y="30960"/>
                    <a:pt x="838265" y="47351"/>
                    <a:pt x="838265" y="64442"/>
                  </a:cubicBezTo>
                  <a:lnTo>
                    <a:pt x="838265" y="579974"/>
                  </a:lnTo>
                  <a:cubicBezTo>
                    <a:pt x="838265" y="597065"/>
                    <a:pt x="831476" y="613456"/>
                    <a:pt x="819390" y="625541"/>
                  </a:cubicBezTo>
                  <a:cubicBezTo>
                    <a:pt x="807305" y="637626"/>
                    <a:pt x="790914" y="644416"/>
                    <a:pt x="773823" y="644416"/>
                  </a:cubicBezTo>
                  <a:lnTo>
                    <a:pt x="64442" y="644416"/>
                  </a:lnTo>
                  <a:cubicBezTo>
                    <a:pt x="47351" y="644416"/>
                    <a:pt x="30960" y="637627"/>
                    <a:pt x="18875" y="625541"/>
                  </a:cubicBezTo>
                  <a:cubicBezTo>
                    <a:pt x="6790" y="613456"/>
                    <a:pt x="0" y="597065"/>
                    <a:pt x="0" y="579974"/>
                  </a:cubicBezTo>
                  <a:lnTo>
                    <a:pt x="0" y="64442"/>
                  </a:lnTo>
                  <a:close/>
                </a:path>
              </a:pathLst>
            </a:custGeom>
            <a:solidFill>
              <a:schemeClr val="accent2"/>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wrap="square" lIns="83644" tIns="83644" rIns="83644" bIns="83644"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755650">
                <a:lnSpc>
                  <a:spcPct val="90000"/>
                </a:lnSpc>
                <a:spcAft>
                  <a:spcPct val="35000"/>
                </a:spcAft>
                <a:defRPr/>
              </a:pPr>
              <a:r>
                <a:rPr lang="en-US" sz="1600"/>
                <a:t>Lost</a:t>
              </a:r>
            </a:p>
          </xdr:txBody>
        </xdr:sp>
        <xdr:sp macro="" textlink="">
          <xdr:nvSpPr>
            <xdr:cNvPr id="98" name="Freeform 97"/>
            <xdr:cNvSpPr/>
          </xdr:nvSpPr>
          <xdr:spPr>
            <a:xfrm>
              <a:off x="8125235" y="3270250"/>
              <a:ext cx="838221" cy="644525"/>
            </a:xfrm>
            <a:custGeom>
              <a:avLst/>
              <a:gdLst>
                <a:gd name="connsiteX0" fmla="*/ 0 w 838265"/>
                <a:gd name="connsiteY0" fmla="*/ 64442 h 644416"/>
                <a:gd name="connsiteX1" fmla="*/ 18875 w 838265"/>
                <a:gd name="connsiteY1" fmla="*/ 18875 h 644416"/>
                <a:gd name="connsiteX2" fmla="*/ 64442 w 838265"/>
                <a:gd name="connsiteY2" fmla="*/ 0 h 644416"/>
                <a:gd name="connsiteX3" fmla="*/ 773823 w 838265"/>
                <a:gd name="connsiteY3" fmla="*/ 0 h 644416"/>
                <a:gd name="connsiteX4" fmla="*/ 819390 w 838265"/>
                <a:gd name="connsiteY4" fmla="*/ 18875 h 644416"/>
                <a:gd name="connsiteX5" fmla="*/ 838265 w 838265"/>
                <a:gd name="connsiteY5" fmla="*/ 64442 h 644416"/>
                <a:gd name="connsiteX6" fmla="*/ 838265 w 838265"/>
                <a:gd name="connsiteY6" fmla="*/ 579974 h 644416"/>
                <a:gd name="connsiteX7" fmla="*/ 819390 w 838265"/>
                <a:gd name="connsiteY7" fmla="*/ 625541 h 644416"/>
                <a:gd name="connsiteX8" fmla="*/ 773823 w 838265"/>
                <a:gd name="connsiteY8" fmla="*/ 644416 h 644416"/>
                <a:gd name="connsiteX9" fmla="*/ 64442 w 838265"/>
                <a:gd name="connsiteY9" fmla="*/ 644416 h 644416"/>
                <a:gd name="connsiteX10" fmla="*/ 18875 w 838265"/>
                <a:gd name="connsiteY10" fmla="*/ 625541 h 644416"/>
                <a:gd name="connsiteX11" fmla="*/ 0 w 838265"/>
                <a:gd name="connsiteY11" fmla="*/ 579974 h 644416"/>
                <a:gd name="connsiteX12" fmla="*/ 0 w 838265"/>
                <a:gd name="connsiteY12" fmla="*/ 64442 h 6444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838265" h="644416">
                  <a:moveTo>
                    <a:pt x="0" y="64442"/>
                  </a:moveTo>
                  <a:cubicBezTo>
                    <a:pt x="0" y="47351"/>
                    <a:pt x="6789" y="30960"/>
                    <a:pt x="18875" y="18875"/>
                  </a:cubicBezTo>
                  <a:cubicBezTo>
                    <a:pt x="30960" y="6790"/>
                    <a:pt x="47351" y="0"/>
                    <a:pt x="64442" y="0"/>
                  </a:cubicBezTo>
                  <a:lnTo>
                    <a:pt x="773823" y="0"/>
                  </a:lnTo>
                  <a:cubicBezTo>
                    <a:pt x="790914" y="0"/>
                    <a:pt x="807305" y="6789"/>
                    <a:pt x="819390" y="18875"/>
                  </a:cubicBezTo>
                  <a:cubicBezTo>
                    <a:pt x="831475" y="30960"/>
                    <a:pt x="838265" y="47351"/>
                    <a:pt x="838265" y="64442"/>
                  </a:cubicBezTo>
                  <a:lnTo>
                    <a:pt x="838265" y="579974"/>
                  </a:lnTo>
                  <a:cubicBezTo>
                    <a:pt x="838265" y="597065"/>
                    <a:pt x="831476" y="613456"/>
                    <a:pt x="819390" y="625541"/>
                  </a:cubicBezTo>
                  <a:cubicBezTo>
                    <a:pt x="807305" y="637626"/>
                    <a:pt x="790914" y="644416"/>
                    <a:pt x="773823" y="644416"/>
                  </a:cubicBezTo>
                  <a:lnTo>
                    <a:pt x="64442" y="644416"/>
                  </a:lnTo>
                  <a:cubicBezTo>
                    <a:pt x="47351" y="644416"/>
                    <a:pt x="30960" y="637627"/>
                    <a:pt x="18875" y="625541"/>
                  </a:cubicBezTo>
                  <a:cubicBezTo>
                    <a:pt x="6790" y="613456"/>
                    <a:pt x="0" y="597065"/>
                    <a:pt x="0" y="579974"/>
                  </a:cubicBezTo>
                  <a:lnTo>
                    <a:pt x="0" y="64442"/>
                  </a:lnTo>
                  <a:close/>
                </a:path>
              </a:pathLst>
            </a:custGeom>
            <a:solidFill>
              <a:schemeClr val="accent2"/>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wrap="square" lIns="83644" tIns="83644" rIns="83644" bIns="83644"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755650">
                <a:lnSpc>
                  <a:spcPct val="90000"/>
                </a:lnSpc>
                <a:spcAft>
                  <a:spcPct val="35000"/>
                </a:spcAft>
                <a:defRPr/>
              </a:pPr>
              <a:r>
                <a:rPr lang="en-US" sz="1600"/>
                <a:t>Dead</a:t>
              </a:r>
            </a:p>
          </xdr:txBody>
        </xdr:sp>
      </xdr:grpSp>
      <xdr:grpSp>
        <xdr:nvGrpSpPr>
          <xdr:cNvPr id="78" name="Group 77"/>
          <xdr:cNvGrpSpPr>
            <a:grpSpLocks/>
          </xdr:cNvGrpSpPr>
        </xdr:nvGrpSpPr>
        <xdr:grpSpPr bwMode="auto">
          <a:xfrm>
            <a:off x="2362258" y="3657600"/>
            <a:ext cx="6538442" cy="747967"/>
            <a:chOff x="2362258" y="3657600"/>
            <a:chExt cx="6538442" cy="747967"/>
          </a:xfrm>
        </xdr:grpSpPr>
        <xdr:grpSp>
          <xdr:nvGrpSpPr>
            <xdr:cNvPr id="79" name="Group 78"/>
            <xdr:cNvGrpSpPr>
              <a:grpSpLocks/>
            </xdr:cNvGrpSpPr>
          </xdr:nvGrpSpPr>
          <xdr:grpSpPr bwMode="auto">
            <a:xfrm>
              <a:off x="2848045" y="3657600"/>
              <a:ext cx="5202576" cy="1588"/>
              <a:chOff x="2848045" y="3657600"/>
              <a:chExt cx="5202576" cy="1588"/>
            </a:xfrm>
          </xdr:grpSpPr>
          <xdr:cxnSp macro="">
            <xdr:nvCxnSpPr>
              <xdr:cNvPr id="85" name="Straight Arrow Connector 84"/>
              <xdr:cNvCxnSpPr/>
            </xdr:nvCxnSpPr>
            <xdr:spPr bwMode="auto">
              <a:xfrm>
                <a:off x="2848045" y="3657600"/>
                <a:ext cx="274645"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86" name="Straight Arrow Connector 85"/>
              <xdr:cNvCxnSpPr/>
            </xdr:nvCxnSpPr>
            <xdr:spPr bwMode="auto">
              <a:xfrm>
                <a:off x="4010124" y="3657600"/>
                <a:ext cx="273057"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87" name="Straight Arrow Connector 86"/>
              <xdr:cNvCxnSpPr/>
            </xdr:nvCxnSpPr>
            <xdr:spPr bwMode="auto">
              <a:xfrm>
                <a:off x="5288095" y="3657600"/>
                <a:ext cx="274644" cy="1588"/>
              </a:xfrm>
              <a:prstGeom prst="straightConnector1">
                <a:avLst/>
              </a:prstGeom>
              <a:ln w="952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88" name="Straight Arrow Connector 87"/>
              <xdr:cNvCxnSpPr/>
            </xdr:nvCxnSpPr>
            <xdr:spPr bwMode="auto">
              <a:xfrm>
                <a:off x="7775976" y="3657600"/>
                <a:ext cx="274645"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grpSp>
        <xdr:grpSp>
          <xdr:nvGrpSpPr>
            <xdr:cNvPr id="80" name="Group 79"/>
            <xdr:cNvGrpSpPr>
              <a:grpSpLocks/>
            </xdr:cNvGrpSpPr>
          </xdr:nvGrpSpPr>
          <xdr:grpSpPr bwMode="auto">
            <a:xfrm>
              <a:off x="2362258" y="3933825"/>
              <a:ext cx="6538442" cy="471742"/>
              <a:chOff x="2362258" y="3962853"/>
              <a:chExt cx="6538442" cy="471742"/>
            </a:xfrm>
          </xdr:grpSpPr>
          <xdr:sp macro="" textlink="">
            <xdr:nvSpPr>
              <xdr:cNvPr id="81" name="Freeform 80"/>
              <xdr:cNvSpPr/>
            </xdr:nvSpPr>
            <xdr:spPr bwMode="auto">
              <a:xfrm flipV="1">
                <a:off x="2362258" y="3962853"/>
                <a:ext cx="2209856" cy="381000"/>
              </a:xfrm>
              <a:custGeom>
                <a:avLst/>
                <a:gdLst>
                  <a:gd name="connsiteX0" fmla="*/ 0 w 4122295"/>
                  <a:gd name="connsiteY0" fmla="*/ 262328 h 307299"/>
                  <a:gd name="connsiteX1" fmla="*/ 2098623 w 4122295"/>
                  <a:gd name="connsiteY1" fmla="*/ 7495 h 307299"/>
                  <a:gd name="connsiteX2" fmla="*/ 4122295 w 4122295"/>
                  <a:gd name="connsiteY2" fmla="*/ 307299 h 307299"/>
                  <a:gd name="connsiteX3" fmla="*/ 4122295 w 4122295"/>
                  <a:gd name="connsiteY3" fmla="*/ 307299 h 307299"/>
                  <a:gd name="connsiteX4" fmla="*/ 4122295 w 4122295"/>
                  <a:gd name="connsiteY4" fmla="*/ 307299 h 3072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22295" h="307299">
                    <a:moveTo>
                      <a:pt x="0" y="262328"/>
                    </a:moveTo>
                    <a:cubicBezTo>
                      <a:pt x="705787" y="131164"/>
                      <a:pt x="1411574" y="0"/>
                      <a:pt x="2098623" y="7495"/>
                    </a:cubicBezTo>
                    <a:cubicBezTo>
                      <a:pt x="2785672" y="14990"/>
                      <a:pt x="4122295" y="307299"/>
                      <a:pt x="4122295" y="307299"/>
                    </a:cubicBezTo>
                    <a:lnTo>
                      <a:pt x="4122295" y="307299"/>
                    </a:lnTo>
                    <a:lnTo>
                      <a:pt x="4122295" y="307299"/>
                    </a:lnTo>
                  </a:path>
                </a:pathLst>
              </a:custGeom>
              <a:ln>
                <a:tailEnd type="arrow" w="lg" len="med"/>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auto">
                  <a:spcBef>
                    <a:spcPts val="0"/>
                  </a:spcBef>
                  <a:spcAft>
                    <a:spcPts val="0"/>
                  </a:spcAft>
                  <a:defRPr/>
                </a:pPr>
                <a:endParaRPr lang="en-US"/>
              </a:p>
            </xdr:txBody>
          </xdr:sp>
          <xdr:sp macro="" textlink="">
            <xdr:nvSpPr>
              <xdr:cNvPr id="82" name="Freeform 81"/>
              <xdr:cNvSpPr/>
            </xdr:nvSpPr>
            <xdr:spPr bwMode="auto">
              <a:xfrm flipV="1">
                <a:off x="2408297" y="4029783"/>
                <a:ext cx="6492403" cy="404812"/>
              </a:xfrm>
              <a:custGeom>
                <a:avLst/>
                <a:gdLst>
                  <a:gd name="connsiteX0" fmla="*/ 0 w 4122295"/>
                  <a:gd name="connsiteY0" fmla="*/ 262328 h 307299"/>
                  <a:gd name="connsiteX1" fmla="*/ 2098623 w 4122295"/>
                  <a:gd name="connsiteY1" fmla="*/ 7495 h 307299"/>
                  <a:gd name="connsiteX2" fmla="*/ 4122295 w 4122295"/>
                  <a:gd name="connsiteY2" fmla="*/ 307299 h 307299"/>
                  <a:gd name="connsiteX3" fmla="*/ 4122295 w 4122295"/>
                  <a:gd name="connsiteY3" fmla="*/ 307299 h 307299"/>
                  <a:gd name="connsiteX4" fmla="*/ 4122295 w 4122295"/>
                  <a:gd name="connsiteY4" fmla="*/ 307299 h 3072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22295" h="307299">
                    <a:moveTo>
                      <a:pt x="0" y="262328"/>
                    </a:moveTo>
                    <a:cubicBezTo>
                      <a:pt x="705787" y="131164"/>
                      <a:pt x="1411574" y="0"/>
                      <a:pt x="2098623" y="7495"/>
                    </a:cubicBezTo>
                    <a:cubicBezTo>
                      <a:pt x="2785672" y="14990"/>
                      <a:pt x="4122295" y="307299"/>
                      <a:pt x="4122295" y="307299"/>
                    </a:cubicBezTo>
                    <a:lnTo>
                      <a:pt x="4122295" y="307299"/>
                    </a:lnTo>
                    <a:lnTo>
                      <a:pt x="4122295" y="307299"/>
                    </a:lnTo>
                  </a:path>
                </a:pathLst>
              </a:custGeom>
              <a:ln>
                <a:tailEnd type="arrow" w="lg" len="med"/>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auto">
                  <a:spcBef>
                    <a:spcPts val="0"/>
                  </a:spcBef>
                  <a:spcAft>
                    <a:spcPts val="0"/>
                  </a:spcAft>
                  <a:defRPr/>
                </a:pPr>
                <a:endParaRPr lang="en-US"/>
              </a:p>
            </xdr:txBody>
          </xdr:sp>
          <xdr:sp macro="" textlink="">
            <xdr:nvSpPr>
              <xdr:cNvPr id="83" name="Freeform 82"/>
              <xdr:cNvSpPr/>
            </xdr:nvSpPr>
            <xdr:spPr bwMode="auto">
              <a:xfrm flipV="1">
                <a:off x="3505287" y="3962853"/>
                <a:ext cx="4038702" cy="381000"/>
              </a:xfrm>
              <a:custGeom>
                <a:avLst/>
                <a:gdLst>
                  <a:gd name="connsiteX0" fmla="*/ 0 w 4122295"/>
                  <a:gd name="connsiteY0" fmla="*/ 262328 h 307299"/>
                  <a:gd name="connsiteX1" fmla="*/ 2098623 w 4122295"/>
                  <a:gd name="connsiteY1" fmla="*/ 7495 h 307299"/>
                  <a:gd name="connsiteX2" fmla="*/ 4122295 w 4122295"/>
                  <a:gd name="connsiteY2" fmla="*/ 307299 h 307299"/>
                  <a:gd name="connsiteX3" fmla="*/ 4122295 w 4122295"/>
                  <a:gd name="connsiteY3" fmla="*/ 307299 h 307299"/>
                  <a:gd name="connsiteX4" fmla="*/ 4122295 w 4122295"/>
                  <a:gd name="connsiteY4" fmla="*/ 307299 h 3072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22295" h="307299">
                    <a:moveTo>
                      <a:pt x="0" y="262328"/>
                    </a:moveTo>
                    <a:cubicBezTo>
                      <a:pt x="705787" y="131164"/>
                      <a:pt x="1411574" y="0"/>
                      <a:pt x="2098623" y="7495"/>
                    </a:cubicBezTo>
                    <a:cubicBezTo>
                      <a:pt x="2785672" y="14990"/>
                      <a:pt x="4122295" y="307299"/>
                      <a:pt x="4122295" y="307299"/>
                    </a:cubicBezTo>
                    <a:lnTo>
                      <a:pt x="4122295" y="307299"/>
                    </a:lnTo>
                    <a:lnTo>
                      <a:pt x="4122295" y="307299"/>
                    </a:lnTo>
                  </a:path>
                </a:pathLst>
              </a:custGeom>
              <a:ln>
                <a:tailEnd type="arrow" w="lg" len="med"/>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auto">
                  <a:spcBef>
                    <a:spcPts val="0"/>
                  </a:spcBef>
                  <a:spcAft>
                    <a:spcPts val="0"/>
                  </a:spcAft>
                  <a:defRPr/>
                </a:pPr>
                <a:endParaRPr lang="en-US"/>
              </a:p>
            </xdr:txBody>
          </xdr:sp>
          <xdr:sp macro="" textlink="">
            <xdr:nvSpPr>
              <xdr:cNvPr id="84" name="Freeform 83"/>
              <xdr:cNvSpPr/>
            </xdr:nvSpPr>
            <xdr:spPr bwMode="auto">
              <a:xfrm flipV="1">
                <a:off x="4800719" y="3962853"/>
                <a:ext cx="2438461" cy="381000"/>
              </a:xfrm>
              <a:custGeom>
                <a:avLst/>
                <a:gdLst>
                  <a:gd name="connsiteX0" fmla="*/ 0 w 4122295"/>
                  <a:gd name="connsiteY0" fmla="*/ 262328 h 307299"/>
                  <a:gd name="connsiteX1" fmla="*/ 2098623 w 4122295"/>
                  <a:gd name="connsiteY1" fmla="*/ 7495 h 307299"/>
                  <a:gd name="connsiteX2" fmla="*/ 4122295 w 4122295"/>
                  <a:gd name="connsiteY2" fmla="*/ 307299 h 307299"/>
                  <a:gd name="connsiteX3" fmla="*/ 4122295 w 4122295"/>
                  <a:gd name="connsiteY3" fmla="*/ 307299 h 307299"/>
                  <a:gd name="connsiteX4" fmla="*/ 4122295 w 4122295"/>
                  <a:gd name="connsiteY4" fmla="*/ 307299 h 3072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22295" h="307299">
                    <a:moveTo>
                      <a:pt x="0" y="262328"/>
                    </a:moveTo>
                    <a:cubicBezTo>
                      <a:pt x="705787" y="131164"/>
                      <a:pt x="1411574" y="0"/>
                      <a:pt x="2098623" y="7495"/>
                    </a:cubicBezTo>
                    <a:cubicBezTo>
                      <a:pt x="2785672" y="14990"/>
                      <a:pt x="4122295" y="307299"/>
                      <a:pt x="4122295" y="307299"/>
                    </a:cubicBezTo>
                    <a:lnTo>
                      <a:pt x="4122295" y="307299"/>
                    </a:lnTo>
                    <a:lnTo>
                      <a:pt x="4122295" y="307299"/>
                    </a:lnTo>
                  </a:path>
                </a:pathLst>
              </a:custGeom>
              <a:ln w="25400">
                <a:solidFill>
                  <a:srgbClr val="FF0000"/>
                </a:solidFill>
                <a:headEnd type="arrow"/>
                <a:tailEnd type="arrow" w="lg" len="med"/>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auto">
                  <a:spcBef>
                    <a:spcPts val="0"/>
                  </a:spcBef>
                  <a:spcAft>
                    <a:spcPts val="0"/>
                  </a:spcAft>
                  <a:defRPr/>
                </a:pPr>
                <a:endParaRPr lang="en-US"/>
              </a:p>
            </xdr:txBody>
          </xdr:sp>
        </xdr:grpSp>
      </xdr:grpSp>
    </xdr:grpSp>
    <xdr:clientData/>
  </xdr:twoCellAnchor>
  <xdr:twoCellAnchor>
    <xdr:from>
      <xdr:col>3</xdr:col>
      <xdr:colOff>395032</xdr:colOff>
      <xdr:row>31</xdr:row>
      <xdr:rowOff>142875</xdr:rowOff>
    </xdr:from>
    <xdr:to>
      <xdr:col>15</xdr:col>
      <xdr:colOff>411138</xdr:colOff>
      <xdr:row>37</xdr:row>
      <xdr:rowOff>90409</xdr:rowOff>
    </xdr:to>
    <xdr:grpSp>
      <xdr:nvGrpSpPr>
        <xdr:cNvPr id="6" name="Group 5"/>
        <xdr:cNvGrpSpPr>
          <a:grpSpLocks/>
        </xdr:cNvGrpSpPr>
      </xdr:nvGrpSpPr>
      <xdr:grpSpPr bwMode="auto">
        <a:xfrm>
          <a:off x="2223832" y="5851525"/>
          <a:ext cx="7331306" cy="1052434"/>
          <a:chOff x="1992133" y="3269570"/>
          <a:chExt cx="7331508" cy="1090534"/>
        </a:xfrm>
      </xdr:grpSpPr>
      <xdr:grpSp>
        <xdr:nvGrpSpPr>
          <xdr:cNvPr id="51" name="Group 50"/>
          <xdr:cNvGrpSpPr>
            <a:grpSpLocks/>
          </xdr:cNvGrpSpPr>
        </xdr:nvGrpSpPr>
        <xdr:grpSpPr bwMode="auto">
          <a:xfrm>
            <a:off x="1992133" y="3269570"/>
            <a:ext cx="7331508" cy="644525"/>
            <a:chOff x="1992133" y="3269570"/>
            <a:chExt cx="7331508" cy="644525"/>
          </a:xfrm>
        </xdr:grpSpPr>
        <xdr:sp macro="" textlink="">
          <xdr:nvSpPr>
            <xdr:cNvPr id="67" name="Freeform 66"/>
            <xdr:cNvSpPr/>
          </xdr:nvSpPr>
          <xdr:spPr>
            <a:xfrm>
              <a:off x="1992133" y="3269570"/>
              <a:ext cx="838221" cy="644525"/>
            </a:xfrm>
            <a:custGeom>
              <a:avLst/>
              <a:gdLst>
                <a:gd name="connsiteX0" fmla="*/ 0 w 838265"/>
                <a:gd name="connsiteY0" fmla="*/ 64442 h 644416"/>
                <a:gd name="connsiteX1" fmla="*/ 18875 w 838265"/>
                <a:gd name="connsiteY1" fmla="*/ 18875 h 644416"/>
                <a:gd name="connsiteX2" fmla="*/ 64442 w 838265"/>
                <a:gd name="connsiteY2" fmla="*/ 0 h 644416"/>
                <a:gd name="connsiteX3" fmla="*/ 773823 w 838265"/>
                <a:gd name="connsiteY3" fmla="*/ 0 h 644416"/>
                <a:gd name="connsiteX4" fmla="*/ 819390 w 838265"/>
                <a:gd name="connsiteY4" fmla="*/ 18875 h 644416"/>
                <a:gd name="connsiteX5" fmla="*/ 838265 w 838265"/>
                <a:gd name="connsiteY5" fmla="*/ 64442 h 644416"/>
                <a:gd name="connsiteX6" fmla="*/ 838265 w 838265"/>
                <a:gd name="connsiteY6" fmla="*/ 579974 h 644416"/>
                <a:gd name="connsiteX7" fmla="*/ 819390 w 838265"/>
                <a:gd name="connsiteY7" fmla="*/ 625541 h 644416"/>
                <a:gd name="connsiteX8" fmla="*/ 773823 w 838265"/>
                <a:gd name="connsiteY8" fmla="*/ 644416 h 644416"/>
                <a:gd name="connsiteX9" fmla="*/ 64442 w 838265"/>
                <a:gd name="connsiteY9" fmla="*/ 644416 h 644416"/>
                <a:gd name="connsiteX10" fmla="*/ 18875 w 838265"/>
                <a:gd name="connsiteY10" fmla="*/ 625541 h 644416"/>
                <a:gd name="connsiteX11" fmla="*/ 0 w 838265"/>
                <a:gd name="connsiteY11" fmla="*/ 579974 h 644416"/>
                <a:gd name="connsiteX12" fmla="*/ 0 w 838265"/>
                <a:gd name="connsiteY12" fmla="*/ 64442 h 6444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838265" h="644416">
                  <a:moveTo>
                    <a:pt x="0" y="64442"/>
                  </a:moveTo>
                  <a:cubicBezTo>
                    <a:pt x="0" y="47351"/>
                    <a:pt x="6789" y="30960"/>
                    <a:pt x="18875" y="18875"/>
                  </a:cubicBezTo>
                  <a:cubicBezTo>
                    <a:pt x="30960" y="6790"/>
                    <a:pt x="47351" y="0"/>
                    <a:pt x="64442" y="0"/>
                  </a:cubicBezTo>
                  <a:lnTo>
                    <a:pt x="773823" y="0"/>
                  </a:lnTo>
                  <a:cubicBezTo>
                    <a:pt x="790914" y="0"/>
                    <a:pt x="807305" y="6789"/>
                    <a:pt x="819390" y="18875"/>
                  </a:cubicBezTo>
                  <a:cubicBezTo>
                    <a:pt x="831475" y="30960"/>
                    <a:pt x="838265" y="47351"/>
                    <a:pt x="838265" y="64442"/>
                  </a:cubicBezTo>
                  <a:lnTo>
                    <a:pt x="838265" y="579974"/>
                  </a:lnTo>
                  <a:cubicBezTo>
                    <a:pt x="838265" y="597065"/>
                    <a:pt x="831476" y="613456"/>
                    <a:pt x="819390" y="625541"/>
                  </a:cubicBezTo>
                  <a:cubicBezTo>
                    <a:pt x="807305" y="637626"/>
                    <a:pt x="790914" y="644416"/>
                    <a:pt x="773823" y="644416"/>
                  </a:cubicBezTo>
                  <a:lnTo>
                    <a:pt x="64442" y="644416"/>
                  </a:lnTo>
                  <a:cubicBezTo>
                    <a:pt x="47351" y="644416"/>
                    <a:pt x="30960" y="637627"/>
                    <a:pt x="18875" y="625541"/>
                  </a:cubicBezTo>
                  <a:cubicBezTo>
                    <a:pt x="6790" y="613456"/>
                    <a:pt x="0" y="597065"/>
                    <a:pt x="0" y="579974"/>
                  </a:cubicBezTo>
                  <a:lnTo>
                    <a:pt x="0" y="64442"/>
                  </a:lnTo>
                  <a:close/>
                </a:path>
              </a:pathLst>
            </a:custGeom>
            <a:solidFill>
              <a:schemeClr val="accent2"/>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wrap="square" lIns="83644" tIns="83644" rIns="83644" bIns="83644"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755650">
                <a:lnSpc>
                  <a:spcPct val="90000"/>
                </a:lnSpc>
                <a:spcAft>
                  <a:spcPct val="35000"/>
                </a:spcAft>
                <a:defRPr/>
              </a:pPr>
              <a:r>
                <a:rPr lang="en-US" sz="1600"/>
                <a:t>Not in care</a:t>
              </a:r>
            </a:p>
          </xdr:txBody>
        </xdr:sp>
        <xdr:sp macro="" textlink="">
          <xdr:nvSpPr>
            <xdr:cNvPr id="68" name="Freeform 67"/>
            <xdr:cNvSpPr/>
          </xdr:nvSpPr>
          <xdr:spPr>
            <a:xfrm>
              <a:off x="3181201" y="3488645"/>
              <a:ext cx="120653" cy="206375"/>
            </a:xfrm>
            <a:custGeom>
              <a:avLst/>
              <a:gdLst>
                <a:gd name="connsiteX0" fmla="*/ 0 w 121366"/>
                <a:gd name="connsiteY0" fmla="*/ 41578 h 207889"/>
                <a:gd name="connsiteX1" fmla="*/ 60683 w 121366"/>
                <a:gd name="connsiteY1" fmla="*/ 41578 h 207889"/>
                <a:gd name="connsiteX2" fmla="*/ 60683 w 121366"/>
                <a:gd name="connsiteY2" fmla="*/ 0 h 207889"/>
                <a:gd name="connsiteX3" fmla="*/ 121366 w 121366"/>
                <a:gd name="connsiteY3" fmla="*/ 103945 h 207889"/>
                <a:gd name="connsiteX4" fmla="*/ 60683 w 121366"/>
                <a:gd name="connsiteY4" fmla="*/ 207889 h 207889"/>
                <a:gd name="connsiteX5" fmla="*/ 60683 w 121366"/>
                <a:gd name="connsiteY5" fmla="*/ 166311 h 207889"/>
                <a:gd name="connsiteX6" fmla="*/ 0 w 121366"/>
                <a:gd name="connsiteY6" fmla="*/ 166311 h 207889"/>
                <a:gd name="connsiteX7" fmla="*/ 0 w 121366"/>
                <a:gd name="connsiteY7" fmla="*/ 41578 h 2078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21366" h="207889">
                  <a:moveTo>
                    <a:pt x="0" y="41578"/>
                  </a:moveTo>
                  <a:lnTo>
                    <a:pt x="60683" y="41578"/>
                  </a:lnTo>
                  <a:lnTo>
                    <a:pt x="60683" y="0"/>
                  </a:lnTo>
                  <a:lnTo>
                    <a:pt x="121366" y="103945"/>
                  </a:lnTo>
                  <a:lnTo>
                    <a:pt x="60683" y="207889"/>
                  </a:lnTo>
                  <a:lnTo>
                    <a:pt x="60683" y="166311"/>
                  </a:lnTo>
                  <a:lnTo>
                    <a:pt x="0" y="166311"/>
                  </a:lnTo>
                  <a:lnTo>
                    <a:pt x="0" y="41578"/>
                  </a:lnTo>
                  <a:close/>
                </a:path>
              </a:pathLst>
            </a:custGeom>
            <a:noFill/>
          </xdr:spPr>
          <xdr:style>
            <a:lnRef idx="0">
              <a:schemeClr val="accent1">
                <a:tint val="60000"/>
                <a:hueOff val="0"/>
                <a:satOff val="0"/>
                <a:lumOff val="0"/>
                <a:alphaOff val="0"/>
              </a:schemeClr>
            </a:lnRef>
            <a:fillRef idx="1">
              <a:scrgbClr r="0" g="0" b="0"/>
            </a:fillRef>
            <a:effectRef idx="0">
              <a:schemeClr val="accent1">
                <a:tint val="60000"/>
                <a:hueOff val="0"/>
                <a:satOff val="0"/>
                <a:lumOff val="0"/>
                <a:alphaOff val="0"/>
              </a:schemeClr>
            </a:effectRef>
            <a:fontRef idx="minor">
              <a:schemeClr val="lt1"/>
            </a:fontRef>
          </xdr:style>
          <xdr:txBody>
            <a:bodyPr wrap="square" lIns="0" tIns="41578" rIns="36410" bIns="41578"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755650">
                <a:lnSpc>
                  <a:spcPct val="90000"/>
                </a:lnSpc>
                <a:spcAft>
                  <a:spcPct val="35000"/>
                </a:spcAft>
                <a:defRPr/>
              </a:pPr>
              <a:endParaRPr lang="en-US" sz="1600"/>
            </a:p>
          </xdr:txBody>
        </xdr:sp>
        <xdr:sp macro="" textlink="">
          <xdr:nvSpPr>
            <xdr:cNvPr id="69" name="Freeform 68"/>
            <xdr:cNvSpPr/>
          </xdr:nvSpPr>
          <xdr:spPr>
            <a:xfrm>
              <a:off x="3033559" y="3269570"/>
              <a:ext cx="838221" cy="644525"/>
            </a:xfrm>
            <a:custGeom>
              <a:avLst/>
              <a:gdLst>
                <a:gd name="connsiteX0" fmla="*/ 0 w 838265"/>
                <a:gd name="connsiteY0" fmla="*/ 64442 h 644416"/>
                <a:gd name="connsiteX1" fmla="*/ 18875 w 838265"/>
                <a:gd name="connsiteY1" fmla="*/ 18875 h 644416"/>
                <a:gd name="connsiteX2" fmla="*/ 64442 w 838265"/>
                <a:gd name="connsiteY2" fmla="*/ 0 h 644416"/>
                <a:gd name="connsiteX3" fmla="*/ 773823 w 838265"/>
                <a:gd name="connsiteY3" fmla="*/ 0 h 644416"/>
                <a:gd name="connsiteX4" fmla="*/ 819390 w 838265"/>
                <a:gd name="connsiteY4" fmla="*/ 18875 h 644416"/>
                <a:gd name="connsiteX5" fmla="*/ 838265 w 838265"/>
                <a:gd name="connsiteY5" fmla="*/ 64442 h 644416"/>
                <a:gd name="connsiteX6" fmla="*/ 838265 w 838265"/>
                <a:gd name="connsiteY6" fmla="*/ 579974 h 644416"/>
                <a:gd name="connsiteX7" fmla="*/ 819390 w 838265"/>
                <a:gd name="connsiteY7" fmla="*/ 625541 h 644416"/>
                <a:gd name="connsiteX8" fmla="*/ 773823 w 838265"/>
                <a:gd name="connsiteY8" fmla="*/ 644416 h 644416"/>
                <a:gd name="connsiteX9" fmla="*/ 64442 w 838265"/>
                <a:gd name="connsiteY9" fmla="*/ 644416 h 644416"/>
                <a:gd name="connsiteX10" fmla="*/ 18875 w 838265"/>
                <a:gd name="connsiteY10" fmla="*/ 625541 h 644416"/>
                <a:gd name="connsiteX11" fmla="*/ 0 w 838265"/>
                <a:gd name="connsiteY11" fmla="*/ 579974 h 644416"/>
                <a:gd name="connsiteX12" fmla="*/ 0 w 838265"/>
                <a:gd name="connsiteY12" fmla="*/ 64442 h 6444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838265" h="644416">
                  <a:moveTo>
                    <a:pt x="0" y="64442"/>
                  </a:moveTo>
                  <a:cubicBezTo>
                    <a:pt x="0" y="47351"/>
                    <a:pt x="6789" y="30960"/>
                    <a:pt x="18875" y="18875"/>
                  </a:cubicBezTo>
                  <a:cubicBezTo>
                    <a:pt x="30960" y="6790"/>
                    <a:pt x="47351" y="0"/>
                    <a:pt x="64442" y="0"/>
                  </a:cubicBezTo>
                  <a:lnTo>
                    <a:pt x="773823" y="0"/>
                  </a:lnTo>
                  <a:cubicBezTo>
                    <a:pt x="790914" y="0"/>
                    <a:pt x="807305" y="6789"/>
                    <a:pt x="819390" y="18875"/>
                  </a:cubicBezTo>
                  <a:cubicBezTo>
                    <a:pt x="831475" y="30960"/>
                    <a:pt x="838265" y="47351"/>
                    <a:pt x="838265" y="64442"/>
                  </a:cubicBezTo>
                  <a:lnTo>
                    <a:pt x="838265" y="579974"/>
                  </a:lnTo>
                  <a:cubicBezTo>
                    <a:pt x="838265" y="597065"/>
                    <a:pt x="831476" y="613456"/>
                    <a:pt x="819390" y="625541"/>
                  </a:cubicBezTo>
                  <a:cubicBezTo>
                    <a:pt x="807305" y="637626"/>
                    <a:pt x="790914" y="644416"/>
                    <a:pt x="773823" y="644416"/>
                  </a:cubicBezTo>
                  <a:lnTo>
                    <a:pt x="64442" y="644416"/>
                  </a:lnTo>
                  <a:cubicBezTo>
                    <a:pt x="47351" y="644416"/>
                    <a:pt x="30960" y="637627"/>
                    <a:pt x="18875" y="625541"/>
                  </a:cubicBezTo>
                  <a:cubicBezTo>
                    <a:pt x="6790" y="613456"/>
                    <a:pt x="0" y="597065"/>
                    <a:pt x="0" y="579974"/>
                  </a:cubicBezTo>
                  <a:lnTo>
                    <a:pt x="0" y="64442"/>
                  </a:lnTo>
                  <a:close/>
                </a:path>
              </a:pathLst>
            </a:custGeom>
            <a:solidFill>
              <a:schemeClr val="accent2"/>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wrap="square" lIns="18874" tIns="83644" rIns="18874" bIns="83644"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755650">
                <a:lnSpc>
                  <a:spcPct val="90000"/>
                </a:lnSpc>
                <a:spcAft>
                  <a:spcPct val="35000"/>
                </a:spcAft>
                <a:defRPr/>
              </a:pPr>
              <a:r>
                <a:rPr lang="en-US" sz="1600"/>
                <a:t>In care, off ART</a:t>
              </a:r>
            </a:p>
          </xdr:txBody>
        </xdr:sp>
        <xdr:sp macro="" textlink="">
          <xdr:nvSpPr>
            <xdr:cNvPr id="70" name="Freeform 69"/>
            <xdr:cNvSpPr/>
          </xdr:nvSpPr>
          <xdr:spPr>
            <a:xfrm>
              <a:off x="4248027" y="3488645"/>
              <a:ext cx="120653" cy="206375"/>
            </a:xfrm>
            <a:custGeom>
              <a:avLst/>
              <a:gdLst>
                <a:gd name="connsiteX0" fmla="*/ 0 w 121123"/>
                <a:gd name="connsiteY0" fmla="*/ 41578 h 207889"/>
                <a:gd name="connsiteX1" fmla="*/ 60562 w 121123"/>
                <a:gd name="connsiteY1" fmla="*/ 41578 h 207889"/>
                <a:gd name="connsiteX2" fmla="*/ 60562 w 121123"/>
                <a:gd name="connsiteY2" fmla="*/ 0 h 207889"/>
                <a:gd name="connsiteX3" fmla="*/ 121123 w 121123"/>
                <a:gd name="connsiteY3" fmla="*/ 103945 h 207889"/>
                <a:gd name="connsiteX4" fmla="*/ 60562 w 121123"/>
                <a:gd name="connsiteY4" fmla="*/ 207889 h 207889"/>
                <a:gd name="connsiteX5" fmla="*/ 60562 w 121123"/>
                <a:gd name="connsiteY5" fmla="*/ 166311 h 207889"/>
                <a:gd name="connsiteX6" fmla="*/ 0 w 121123"/>
                <a:gd name="connsiteY6" fmla="*/ 166311 h 207889"/>
                <a:gd name="connsiteX7" fmla="*/ 0 w 121123"/>
                <a:gd name="connsiteY7" fmla="*/ 41578 h 2078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21123" h="207889">
                  <a:moveTo>
                    <a:pt x="0" y="41578"/>
                  </a:moveTo>
                  <a:lnTo>
                    <a:pt x="60562" y="41578"/>
                  </a:lnTo>
                  <a:lnTo>
                    <a:pt x="60562" y="0"/>
                  </a:lnTo>
                  <a:lnTo>
                    <a:pt x="121123" y="103945"/>
                  </a:lnTo>
                  <a:lnTo>
                    <a:pt x="60562" y="207889"/>
                  </a:lnTo>
                  <a:lnTo>
                    <a:pt x="60562" y="166311"/>
                  </a:lnTo>
                  <a:lnTo>
                    <a:pt x="0" y="166311"/>
                  </a:lnTo>
                  <a:lnTo>
                    <a:pt x="0" y="41578"/>
                  </a:lnTo>
                  <a:close/>
                </a:path>
              </a:pathLst>
            </a:custGeom>
            <a:noFill/>
          </xdr:spPr>
          <xdr:style>
            <a:lnRef idx="0">
              <a:schemeClr val="accent1">
                <a:tint val="60000"/>
                <a:hueOff val="0"/>
                <a:satOff val="0"/>
                <a:lumOff val="0"/>
                <a:alphaOff val="0"/>
              </a:schemeClr>
            </a:lnRef>
            <a:fillRef idx="1">
              <a:scrgbClr r="0" g="0" b="0"/>
            </a:fillRef>
            <a:effectRef idx="0">
              <a:schemeClr val="accent1">
                <a:tint val="60000"/>
                <a:hueOff val="0"/>
                <a:satOff val="0"/>
                <a:lumOff val="0"/>
                <a:alphaOff val="0"/>
              </a:schemeClr>
            </a:effectRef>
            <a:fontRef idx="minor">
              <a:schemeClr val="lt1"/>
            </a:fontRef>
          </xdr:style>
          <xdr:txBody>
            <a:bodyPr wrap="square" lIns="0" tIns="41578" rIns="36337" bIns="41578"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755650">
                <a:lnSpc>
                  <a:spcPct val="90000"/>
                </a:lnSpc>
                <a:spcAft>
                  <a:spcPct val="35000"/>
                </a:spcAft>
                <a:defRPr/>
              </a:pPr>
              <a:endParaRPr lang="en-US" sz="1600"/>
            </a:p>
          </xdr:txBody>
        </xdr:sp>
        <xdr:sp macro="" textlink="">
          <xdr:nvSpPr>
            <xdr:cNvPr id="71" name="Freeform 70"/>
            <xdr:cNvSpPr/>
          </xdr:nvSpPr>
          <xdr:spPr>
            <a:xfrm>
              <a:off x="5448208" y="3488645"/>
              <a:ext cx="403235" cy="206375"/>
            </a:xfrm>
            <a:custGeom>
              <a:avLst/>
              <a:gdLst>
                <a:gd name="connsiteX0" fmla="*/ 0 w 403860"/>
                <a:gd name="connsiteY0" fmla="*/ 41578 h 207889"/>
                <a:gd name="connsiteX1" fmla="*/ 299916 w 403860"/>
                <a:gd name="connsiteY1" fmla="*/ 41578 h 207889"/>
                <a:gd name="connsiteX2" fmla="*/ 299916 w 403860"/>
                <a:gd name="connsiteY2" fmla="*/ 0 h 207889"/>
                <a:gd name="connsiteX3" fmla="*/ 403860 w 403860"/>
                <a:gd name="connsiteY3" fmla="*/ 103945 h 207889"/>
                <a:gd name="connsiteX4" fmla="*/ 299916 w 403860"/>
                <a:gd name="connsiteY4" fmla="*/ 207889 h 207889"/>
                <a:gd name="connsiteX5" fmla="*/ 299916 w 403860"/>
                <a:gd name="connsiteY5" fmla="*/ 166311 h 207889"/>
                <a:gd name="connsiteX6" fmla="*/ 0 w 403860"/>
                <a:gd name="connsiteY6" fmla="*/ 166311 h 207889"/>
                <a:gd name="connsiteX7" fmla="*/ 0 w 403860"/>
                <a:gd name="connsiteY7" fmla="*/ 41578 h 2078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403860" h="207889">
                  <a:moveTo>
                    <a:pt x="0" y="41578"/>
                  </a:moveTo>
                  <a:lnTo>
                    <a:pt x="299916" y="41578"/>
                  </a:lnTo>
                  <a:lnTo>
                    <a:pt x="299916" y="0"/>
                  </a:lnTo>
                  <a:lnTo>
                    <a:pt x="403860" y="103945"/>
                  </a:lnTo>
                  <a:lnTo>
                    <a:pt x="299916" y="207889"/>
                  </a:lnTo>
                  <a:lnTo>
                    <a:pt x="299916" y="166311"/>
                  </a:lnTo>
                  <a:lnTo>
                    <a:pt x="0" y="166311"/>
                  </a:lnTo>
                  <a:lnTo>
                    <a:pt x="0" y="41578"/>
                  </a:lnTo>
                  <a:close/>
                </a:path>
              </a:pathLst>
            </a:custGeom>
            <a:noFill/>
          </xdr:spPr>
          <xdr:style>
            <a:lnRef idx="0">
              <a:schemeClr val="accent1">
                <a:tint val="60000"/>
                <a:hueOff val="0"/>
                <a:satOff val="0"/>
                <a:lumOff val="0"/>
                <a:alphaOff val="0"/>
              </a:schemeClr>
            </a:lnRef>
            <a:fillRef idx="1">
              <a:scrgbClr r="0" g="0" b="0"/>
            </a:fillRef>
            <a:effectRef idx="0">
              <a:schemeClr val="accent1">
                <a:tint val="60000"/>
                <a:hueOff val="0"/>
                <a:satOff val="0"/>
                <a:lumOff val="0"/>
                <a:alphaOff val="0"/>
              </a:schemeClr>
            </a:effectRef>
            <a:fontRef idx="minor">
              <a:schemeClr val="lt1"/>
            </a:fontRef>
          </xdr:style>
          <xdr:txBody>
            <a:bodyPr wrap="square" lIns="0" tIns="41578" rIns="62367" bIns="41578"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755650">
                <a:lnSpc>
                  <a:spcPct val="90000"/>
                </a:lnSpc>
                <a:spcAft>
                  <a:spcPct val="35000"/>
                </a:spcAft>
                <a:defRPr/>
              </a:pPr>
              <a:endParaRPr lang="en-US" sz="1600"/>
            </a:p>
          </xdr:txBody>
        </xdr:sp>
        <xdr:sp macro="" textlink="">
          <xdr:nvSpPr>
            <xdr:cNvPr id="72" name="Freeform 71"/>
            <xdr:cNvSpPr/>
          </xdr:nvSpPr>
          <xdr:spPr>
            <a:xfrm>
              <a:off x="6172126" y="3269570"/>
              <a:ext cx="838221" cy="644525"/>
            </a:xfrm>
            <a:custGeom>
              <a:avLst/>
              <a:gdLst>
                <a:gd name="connsiteX0" fmla="*/ 0 w 838265"/>
                <a:gd name="connsiteY0" fmla="*/ 64442 h 644416"/>
                <a:gd name="connsiteX1" fmla="*/ 18875 w 838265"/>
                <a:gd name="connsiteY1" fmla="*/ 18875 h 644416"/>
                <a:gd name="connsiteX2" fmla="*/ 64442 w 838265"/>
                <a:gd name="connsiteY2" fmla="*/ 0 h 644416"/>
                <a:gd name="connsiteX3" fmla="*/ 773823 w 838265"/>
                <a:gd name="connsiteY3" fmla="*/ 0 h 644416"/>
                <a:gd name="connsiteX4" fmla="*/ 819390 w 838265"/>
                <a:gd name="connsiteY4" fmla="*/ 18875 h 644416"/>
                <a:gd name="connsiteX5" fmla="*/ 838265 w 838265"/>
                <a:gd name="connsiteY5" fmla="*/ 64442 h 644416"/>
                <a:gd name="connsiteX6" fmla="*/ 838265 w 838265"/>
                <a:gd name="connsiteY6" fmla="*/ 579974 h 644416"/>
                <a:gd name="connsiteX7" fmla="*/ 819390 w 838265"/>
                <a:gd name="connsiteY7" fmla="*/ 625541 h 644416"/>
                <a:gd name="connsiteX8" fmla="*/ 773823 w 838265"/>
                <a:gd name="connsiteY8" fmla="*/ 644416 h 644416"/>
                <a:gd name="connsiteX9" fmla="*/ 64442 w 838265"/>
                <a:gd name="connsiteY9" fmla="*/ 644416 h 644416"/>
                <a:gd name="connsiteX10" fmla="*/ 18875 w 838265"/>
                <a:gd name="connsiteY10" fmla="*/ 625541 h 644416"/>
                <a:gd name="connsiteX11" fmla="*/ 0 w 838265"/>
                <a:gd name="connsiteY11" fmla="*/ 579974 h 644416"/>
                <a:gd name="connsiteX12" fmla="*/ 0 w 838265"/>
                <a:gd name="connsiteY12" fmla="*/ 64442 h 6444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838265" h="644416">
                  <a:moveTo>
                    <a:pt x="0" y="64442"/>
                  </a:moveTo>
                  <a:cubicBezTo>
                    <a:pt x="0" y="47351"/>
                    <a:pt x="6789" y="30960"/>
                    <a:pt x="18875" y="18875"/>
                  </a:cubicBezTo>
                  <a:cubicBezTo>
                    <a:pt x="30960" y="6790"/>
                    <a:pt x="47351" y="0"/>
                    <a:pt x="64442" y="0"/>
                  </a:cubicBezTo>
                  <a:lnTo>
                    <a:pt x="773823" y="0"/>
                  </a:lnTo>
                  <a:cubicBezTo>
                    <a:pt x="790914" y="0"/>
                    <a:pt x="807305" y="6789"/>
                    <a:pt x="819390" y="18875"/>
                  </a:cubicBezTo>
                  <a:cubicBezTo>
                    <a:pt x="831475" y="30960"/>
                    <a:pt x="838265" y="47351"/>
                    <a:pt x="838265" y="64442"/>
                  </a:cubicBezTo>
                  <a:lnTo>
                    <a:pt x="838265" y="579974"/>
                  </a:lnTo>
                  <a:cubicBezTo>
                    <a:pt x="838265" y="597065"/>
                    <a:pt x="831476" y="613456"/>
                    <a:pt x="819390" y="625541"/>
                  </a:cubicBezTo>
                  <a:cubicBezTo>
                    <a:pt x="807305" y="637626"/>
                    <a:pt x="790914" y="644416"/>
                    <a:pt x="773823" y="644416"/>
                  </a:cubicBezTo>
                  <a:lnTo>
                    <a:pt x="64442" y="644416"/>
                  </a:lnTo>
                  <a:cubicBezTo>
                    <a:pt x="47351" y="644416"/>
                    <a:pt x="30960" y="637627"/>
                    <a:pt x="18875" y="625541"/>
                  </a:cubicBezTo>
                  <a:cubicBezTo>
                    <a:pt x="6790" y="613456"/>
                    <a:pt x="0" y="597065"/>
                    <a:pt x="0" y="579974"/>
                  </a:cubicBezTo>
                  <a:lnTo>
                    <a:pt x="0" y="64442"/>
                  </a:lnTo>
                  <a:close/>
                </a:path>
              </a:pathLst>
            </a:custGeom>
            <a:solidFill>
              <a:schemeClr val="accent2"/>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wrap="square" lIns="18874" tIns="83644" rIns="18874" bIns="83644"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755650">
                <a:lnSpc>
                  <a:spcPct val="90000"/>
                </a:lnSpc>
                <a:spcAft>
                  <a:spcPct val="35000"/>
                </a:spcAft>
                <a:defRPr/>
              </a:pPr>
              <a:r>
                <a:rPr lang="en-US" sz="1600"/>
                <a:t>In care, ART2</a:t>
              </a:r>
            </a:p>
          </xdr:txBody>
        </xdr:sp>
        <xdr:sp macro="" textlink="">
          <xdr:nvSpPr>
            <xdr:cNvPr id="73" name="Freeform 72"/>
            <xdr:cNvSpPr/>
          </xdr:nvSpPr>
          <xdr:spPr>
            <a:xfrm>
              <a:off x="6915094" y="3488645"/>
              <a:ext cx="120653" cy="206375"/>
            </a:xfrm>
            <a:custGeom>
              <a:avLst/>
              <a:gdLst>
                <a:gd name="connsiteX0" fmla="*/ 0 w 121123"/>
                <a:gd name="connsiteY0" fmla="*/ 41578 h 207889"/>
                <a:gd name="connsiteX1" fmla="*/ 60562 w 121123"/>
                <a:gd name="connsiteY1" fmla="*/ 41578 h 207889"/>
                <a:gd name="connsiteX2" fmla="*/ 60562 w 121123"/>
                <a:gd name="connsiteY2" fmla="*/ 0 h 207889"/>
                <a:gd name="connsiteX3" fmla="*/ 121123 w 121123"/>
                <a:gd name="connsiteY3" fmla="*/ 103945 h 207889"/>
                <a:gd name="connsiteX4" fmla="*/ 60562 w 121123"/>
                <a:gd name="connsiteY4" fmla="*/ 207889 h 207889"/>
                <a:gd name="connsiteX5" fmla="*/ 60562 w 121123"/>
                <a:gd name="connsiteY5" fmla="*/ 166311 h 207889"/>
                <a:gd name="connsiteX6" fmla="*/ 0 w 121123"/>
                <a:gd name="connsiteY6" fmla="*/ 166311 h 207889"/>
                <a:gd name="connsiteX7" fmla="*/ 0 w 121123"/>
                <a:gd name="connsiteY7" fmla="*/ 41578 h 2078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21123" h="207889">
                  <a:moveTo>
                    <a:pt x="0" y="41578"/>
                  </a:moveTo>
                  <a:lnTo>
                    <a:pt x="60562" y="41578"/>
                  </a:lnTo>
                  <a:lnTo>
                    <a:pt x="60562" y="0"/>
                  </a:lnTo>
                  <a:lnTo>
                    <a:pt x="121123" y="103945"/>
                  </a:lnTo>
                  <a:lnTo>
                    <a:pt x="60562" y="207889"/>
                  </a:lnTo>
                  <a:lnTo>
                    <a:pt x="60562" y="166311"/>
                  </a:lnTo>
                  <a:lnTo>
                    <a:pt x="0" y="166311"/>
                  </a:lnTo>
                  <a:lnTo>
                    <a:pt x="0" y="41578"/>
                  </a:lnTo>
                  <a:close/>
                </a:path>
              </a:pathLst>
            </a:custGeom>
            <a:noFill/>
          </xdr:spPr>
          <xdr:style>
            <a:lnRef idx="0">
              <a:schemeClr val="accent1">
                <a:tint val="60000"/>
                <a:hueOff val="0"/>
                <a:satOff val="0"/>
                <a:lumOff val="0"/>
                <a:alphaOff val="0"/>
              </a:schemeClr>
            </a:lnRef>
            <a:fillRef idx="1">
              <a:scrgbClr r="0" g="0" b="0"/>
            </a:fillRef>
            <a:effectRef idx="0">
              <a:schemeClr val="accent1">
                <a:tint val="60000"/>
                <a:hueOff val="0"/>
                <a:satOff val="0"/>
                <a:lumOff val="0"/>
                <a:alphaOff val="0"/>
              </a:schemeClr>
            </a:effectRef>
            <a:fontRef idx="minor">
              <a:schemeClr val="lt1"/>
            </a:fontRef>
          </xdr:style>
          <xdr:txBody>
            <a:bodyPr wrap="square" lIns="0" tIns="41578" rIns="36337" bIns="41578"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755650">
                <a:lnSpc>
                  <a:spcPct val="90000"/>
                </a:lnSpc>
                <a:spcAft>
                  <a:spcPct val="35000"/>
                </a:spcAft>
                <a:defRPr/>
              </a:pPr>
              <a:endParaRPr lang="en-US" sz="1600"/>
            </a:p>
          </xdr:txBody>
        </xdr:sp>
        <xdr:sp macro="" textlink="">
          <xdr:nvSpPr>
            <xdr:cNvPr id="74" name="Freeform 73"/>
            <xdr:cNvSpPr/>
          </xdr:nvSpPr>
          <xdr:spPr>
            <a:xfrm>
              <a:off x="7374148" y="3269570"/>
              <a:ext cx="838221" cy="644525"/>
            </a:xfrm>
            <a:custGeom>
              <a:avLst/>
              <a:gdLst>
                <a:gd name="connsiteX0" fmla="*/ 0 w 838265"/>
                <a:gd name="connsiteY0" fmla="*/ 64442 h 644416"/>
                <a:gd name="connsiteX1" fmla="*/ 18875 w 838265"/>
                <a:gd name="connsiteY1" fmla="*/ 18875 h 644416"/>
                <a:gd name="connsiteX2" fmla="*/ 64442 w 838265"/>
                <a:gd name="connsiteY2" fmla="*/ 0 h 644416"/>
                <a:gd name="connsiteX3" fmla="*/ 773823 w 838265"/>
                <a:gd name="connsiteY3" fmla="*/ 0 h 644416"/>
                <a:gd name="connsiteX4" fmla="*/ 819390 w 838265"/>
                <a:gd name="connsiteY4" fmla="*/ 18875 h 644416"/>
                <a:gd name="connsiteX5" fmla="*/ 838265 w 838265"/>
                <a:gd name="connsiteY5" fmla="*/ 64442 h 644416"/>
                <a:gd name="connsiteX6" fmla="*/ 838265 w 838265"/>
                <a:gd name="connsiteY6" fmla="*/ 579974 h 644416"/>
                <a:gd name="connsiteX7" fmla="*/ 819390 w 838265"/>
                <a:gd name="connsiteY7" fmla="*/ 625541 h 644416"/>
                <a:gd name="connsiteX8" fmla="*/ 773823 w 838265"/>
                <a:gd name="connsiteY8" fmla="*/ 644416 h 644416"/>
                <a:gd name="connsiteX9" fmla="*/ 64442 w 838265"/>
                <a:gd name="connsiteY9" fmla="*/ 644416 h 644416"/>
                <a:gd name="connsiteX10" fmla="*/ 18875 w 838265"/>
                <a:gd name="connsiteY10" fmla="*/ 625541 h 644416"/>
                <a:gd name="connsiteX11" fmla="*/ 0 w 838265"/>
                <a:gd name="connsiteY11" fmla="*/ 579974 h 644416"/>
                <a:gd name="connsiteX12" fmla="*/ 0 w 838265"/>
                <a:gd name="connsiteY12" fmla="*/ 64442 h 6444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838265" h="644416">
                  <a:moveTo>
                    <a:pt x="0" y="64442"/>
                  </a:moveTo>
                  <a:cubicBezTo>
                    <a:pt x="0" y="47351"/>
                    <a:pt x="6789" y="30960"/>
                    <a:pt x="18875" y="18875"/>
                  </a:cubicBezTo>
                  <a:cubicBezTo>
                    <a:pt x="30960" y="6790"/>
                    <a:pt x="47351" y="0"/>
                    <a:pt x="64442" y="0"/>
                  </a:cubicBezTo>
                  <a:lnTo>
                    <a:pt x="773823" y="0"/>
                  </a:lnTo>
                  <a:cubicBezTo>
                    <a:pt x="790914" y="0"/>
                    <a:pt x="807305" y="6789"/>
                    <a:pt x="819390" y="18875"/>
                  </a:cubicBezTo>
                  <a:cubicBezTo>
                    <a:pt x="831475" y="30960"/>
                    <a:pt x="838265" y="47351"/>
                    <a:pt x="838265" y="64442"/>
                  </a:cubicBezTo>
                  <a:lnTo>
                    <a:pt x="838265" y="579974"/>
                  </a:lnTo>
                  <a:cubicBezTo>
                    <a:pt x="838265" y="597065"/>
                    <a:pt x="831476" y="613456"/>
                    <a:pt x="819390" y="625541"/>
                  </a:cubicBezTo>
                  <a:cubicBezTo>
                    <a:pt x="807305" y="637626"/>
                    <a:pt x="790914" y="644416"/>
                    <a:pt x="773823" y="644416"/>
                  </a:cubicBezTo>
                  <a:lnTo>
                    <a:pt x="64442" y="644416"/>
                  </a:lnTo>
                  <a:cubicBezTo>
                    <a:pt x="47351" y="644416"/>
                    <a:pt x="30960" y="637627"/>
                    <a:pt x="18875" y="625541"/>
                  </a:cubicBezTo>
                  <a:cubicBezTo>
                    <a:pt x="6790" y="613456"/>
                    <a:pt x="0" y="597065"/>
                    <a:pt x="0" y="579974"/>
                  </a:cubicBezTo>
                  <a:lnTo>
                    <a:pt x="0" y="64442"/>
                  </a:lnTo>
                  <a:close/>
                </a:path>
              </a:pathLst>
            </a:custGeom>
            <a:solidFill>
              <a:schemeClr val="accent2"/>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wrap="square" lIns="83644" tIns="83644" rIns="83644" bIns="83644"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755650">
                <a:lnSpc>
                  <a:spcPct val="90000"/>
                </a:lnSpc>
                <a:spcAft>
                  <a:spcPct val="35000"/>
                </a:spcAft>
                <a:defRPr/>
              </a:pPr>
              <a:r>
                <a:rPr lang="en-US" sz="1600"/>
                <a:t>Lost</a:t>
              </a:r>
            </a:p>
          </xdr:txBody>
        </xdr:sp>
        <xdr:sp macro="" textlink="">
          <xdr:nvSpPr>
            <xdr:cNvPr id="75" name="Freeform 74"/>
            <xdr:cNvSpPr/>
          </xdr:nvSpPr>
          <xdr:spPr>
            <a:xfrm>
              <a:off x="7981921" y="3488645"/>
              <a:ext cx="120653" cy="206375"/>
            </a:xfrm>
            <a:custGeom>
              <a:avLst/>
              <a:gdLst>
                <a:gd name="connsiteX0" fmla="*/ 0 w 121087"/>
                <a:gd name="connsiteY0" fmla="*/ 41578 h 207889"/>
                <a:gd name="connsiteX1" fmla="*/ 60544 w 121087"/>
                <a:gd name="connsiteY1" fmla="*/ 41578 h 207889"/>
                <a:gd name="connsiteX2" fmla="*/ 60544 w 121087"/>
                <a:gd name="connsiteY2" fmla="*/ 0 h 207889"/>
                <a:gd name="connsiteX3" fmla="*/ 121087 w 121087"/>
                <a:gd name="connsiteY3" fmla="*/ 103945 h 207889"/>
                <a:gd name="connsiteX4" fmla="*/ 60544 w 121087"/>
                <a:gd name="connsiteY4" fmla="*/ 207889 h 207889"/>
                <a:gd name="connsiteX5" fmla="*/ 60544 w 121087"/>
                <a:gd name="connsiteY5" fmla="*/ 166311 h 207889"/>
                <a:gd name="connsiteX6" fmla="*/ 0 w 121087"/>
                <a:gd name="connsiteY6" fmla="*/ 166311 h 207889"/>
                <a:gd name="connsiteX7" fmla="*/ 0 w 121087"/>
                <a:gd name="connsiteY7" fmla="*/ 41578 h 2078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21087" h="207889">
                  <a:moveTo>
                    <a:pt x="0" y="41578"/>
                  </a:moveTo>
                  <a:lnTo>
                    <a:pt x="60544" y="41578"/>
                  </a:lnTo>
                  <a:lnTo>
                    <a:pt x="60544" y="0"/>
                  </a:lnTo>
                  <a:lnTo>
                    <a:pt x="121087" y="103945"/>
                  </a:lnTo>
                  <a:lnTo>
                    <a:pt x="60544" y="207889"/>
                  </a:lnTo>
                  <a:lnTo>
                    <a:pt x="60544" y="166311"/>
                  </a:lnTo>
                  <a:lnTo>
                    <a:pt x="0" y="166311"/>
                  </a:lnTo>
                  <a:lnTo>
                    <a:pt x="0" y="41578"/>
                  </a:lnTo>
                  <a:close/>
                </a:path>
              </a:pathLst>
            </a:custGeom>
            <a:noFill/>
          </xdr:spPr>
          <xdr:style>
            <a:lnRef idx="0">
              <a:schemeClr val="accent1">
                <a:tint val="60000"/>
                <a:hueOff val="0"/>
                <a:satOff val="0"/>
                <a:lumOff val="0"/>
                <a:alphaOff val="0"/>
              </a:schemeClr>
            </a:lnRef>
            <a:fillRef idx="1">
              <a:scrgbClr r="0" g="0" b="0"/>
            </a:fillRef>
            <a:effectRef idx="0">
              <a:schemeClr val="accent1">
                <a:tint val="60000"/>
                <a:hueOff val="0"/>
                <a:satOff val="0"/>
                <a:lumOff val="0"/>
                <a:alphaOff val="0"/>
              </a:schemeClr>
            </a:effectRef>
            <a:fontRef idx="minor">
              <a:schemeClr val="lt1"/>
            </a:fontRef>
          </xdr:style>
          <xdr:txBody>
            <a:bodyPr wrap="square" lIns="0" tIns="41578" rIns="36326" bIns="41578"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755650">
                <a:lnSpc>
                  <a:spcPct val="90000"/>
                </a:lnSpc>
                <a:spcAft>
                  <a:spcPct val="35000"/>
                </a:spcAft>
                <a:defRPr/>
              </a:pPr>
              <a:endParaRPr lang="en-US" sz="1600"/>
            </a:p>
          </xdr:txBody>
        </xdr:sp>
        <xdr:sp macro="" textlink="">
          <xdr:nvSpPr>
            <xdr:cNvPr id="76" name="Freeform 75"/>
            <xdr:cNvSpPr/>
          </xdr:nvSpPr>
          <xdr:spPr>
            <a:xfrm>
              <a:off x="8485420" y="3269570"/>
              <a:ext cx="838221" cy="644525"/>
            </a:xfrm>
            <a:custGeom>
              <a:avLst/>
              <a:gdLst>
                <a:gd name="connsiteX0" fmla="*/ 0 w 838265"/>
                <a:gd name="connsiteY0" fmla="*/ 64442 h 644416"/>
                <a:gd name="connsiteX1" fmla="*/ 18875 w 838265"/>
                <a:gd name="connsiteY1" fmla="*/ 18875 h 644416"/>
                <a:gd name="connsiteX2" fmla="*/ 64442 w 838265"/>
                <a:gd name="connsiteY2" fmla="*/ 0 h 644416"/>
                <a:gd name="connsiteX3" fmla="*/ 773823 w 838265"/>
                <a:gd name="connsiteY3" fmla="*/ 0 h 644416"/>
                <a:gd name="connsiteX4" fmla="*/ 819390 w 838265"/>
                <a:gd name="connsiteY4" fmla="*/ 18875 h 644416"/>
                <a:gd name="connsiteX5" fmla="*/ 838265 w 838265"/>
                <a:gd name="connsiteY5" fmla="*/ 64442 h 644416"/>
                <a:gd name="connsiteX6" fmla="*/ 838265 w 838265"/>
                <a:gd name="connsiteY6" fmla="*/ 579974 h 644416"/>
                <a:gd name="connsiteX7" fmla="*/ 819390 w 838265"/>
                <a:gd name="connsiteY7" fmla="*/ 625541 h 644416"/>
                <a:gd name="connsiteX8" fmla="*/ 773823 w 838265"/>
                <a:gd name="connsiteY8" fmla="*/ 644416 h 644416"/>
                <a:gd name="connsiteX9" fmla="*/ 64442 w 838265"/>
                <a:gd name="connsiteY9" fmla="*/ 644416 h 644416"/>
                <a:gd name="connsiteX10" fmla="*/ 18875 w 838265"/>
                <a:gd name="connsiteY10" fmla="*/ 625541 h 644416"/>
                <a:gd name="connsiteX11" fmla="*/ 0 w 838265"/>
                <a:gd name="connsiteY11" fmla="*/ 579974 h 644416"/>
                <a:gd name="connsiteX12" fmla="*/ 0 w 838265"/>
                <a:gd name="connsiteY12" fmla="*/ 64442 h 6444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838265" h="644416">
                  <a:moveTo>
                    <a:pt x="0" y="64442"/>
                  </a:moveTo>
                  <a:cubicBezTo>
                    <a:pt x="0" y="47351"/>
                    <a:pt x="6789" y="30960"/>
                    <a:pt x="18875" y="18875"/>
                  </a:cubicBezTo>
                  <a:cubicBezTo>
                    <a:pt x="30960" y="6790"/>
                    <a:pt x="47351" y="0"/>
                    <a:pt x="64442" y="0"/>
                  </a:cubicBezTo>
                  <a:lnTo>
                    <a:pt x="773823" y="0"/>
                  </a:lnTo>
                  <a:cubicBezTo>
                    <a:pt x="790914" y="0"/>
                    <a:pt x="807305" y="6789"/>
                    <a:pt x="819390" y="18875"/>
                  </a:cubicBezTo>
                  <a:cubicBezTo>
                    <a:pt x="831475" y="30960"/>
                    <a:pt x="838265" y="47351"/>
                    <a:pt x="838265" y="64442"/>
                  </a:cubicBezTo>
                  <a:lnTo>
                    <a:pt x="838265" y="579974"/>
                  </a:lnTo>
                  <a:cubicBezTo>
                    <a:pt x="838265" y="597065"/>
                    <a:pt x="831476" y="613456"/>
                    <a:pt x="819390" y="625541"/>
                  </a:cubicBezTo>
                  <a:cubicBezTo>
                    <a:pt x="807305" y="637626"/>
                    <a:pt x="790914" y="644416"/>
                    <a:pt x="773823" y="644416"/>
                  </a:cubicBezTo>
                  <a:lnTo>
                    <a:pt x="64442" y="644416"/>
                  </a:lnTo>
                  <a:cubicBezTo>
                    <a:pt x="47351" y="644416"/>
                    <a:pt x="30960" y="637627"/>
                    <a:pt x="18875" y="625541"/>
                  </a:cubicBezTo>
                  <a:cubicBezTo>
                    <a:pt x="6790" y="613456"/>
                    <a:pt x="0" y="597065"/>
                    <a:pt x="0" y="579974"/>
                  </a:cubicBezTo>
                  <a:lnTo>
                    <a:pt x="0" y="64442"/>
                  </a:lnTo>
                  <a:close/>
                </a:path>
              </a:pathLst>
            </a:custGeom>
            <a:solidFill>
              <a:schemeClr val="accent2"/>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wrap="square" lIns="83644" tIns="83644" rIns="83644" bIns="83644"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755650">
                <a:lnSpc>
                  <a:spcPct val="90000"/>
                </a:lnSpc>
                <a:spcAft>
                  <a:spcPct val="35000"/>
                </a:spcAft>
                <a:defRPr/>
              </a:pPr>
              <a:r>
                <a:rPr lang="en-US" sz="1600"/>
                <a:t>Dead</a:t>
              </a:r>
            </a:p>
          </xdr:txBody>
        </xdr:sp>
      </xdr:grpSp>
      <xdr:grpSp>
        <xdr:nvGrpSpPr>
          <xdr:cNvPr id="52" name="Group 51"/>
          <xdr:cNvGrpSpPr>
            <a:grpSpLocks/>
          </xdr:cNvGrpSpPr>
        </xdr:nvGrpSpPr>
        <xdr:grpSpPr bwMode="auto">
          <a:xfrm>
            <a:off x="2362030" y="3656920"/>
            <a:ext cx="6722017" cy="703184"/>
            <a:chOff x="2362030" y="3656920"/>
            <a:chExt cx="6722017" cy="703184"/>
          </a:xfrm>
        </xdr:grpSpPr>
        <xdr:grpSp>
          <xdr:nvGrpSpPr>
            <xdr:cNvPr id="53" name="Group 52"/>
            <xdr:cNvGrpSpPr>
              <a:grpSpLocks/>
            </xdr:cNvGrpSpPr>
          </xdr:nvGrpSpPr>
          <xdr:grpSpPr bwMode="auto">
            <a:xfrm>
              <a:off x="2833529" y="3656920"/>
              <a:ext cx="5637610" cy="1588"/>
              <a:chOff x="2833529" y="3656920"/>
              <a:chExt cx="5637610" cy="1588"/>
            </a:xfrm>
          </xdr:grpSpPr>
          <xdr:cxnSp macro="">
            <xdr:nvCxnSpPr>
              <xdr:cNvPr id="62" name="Straight Arrow Connector 61"/>
              <xdr:cNvCxnSpPr/>
            </xdr:nvCxnSpPr>
            <xdr:spPr bwMode="auto">
              <a:xfrm>
                <a:off x="2833529" y="3656920"/>
                <a:ext cx="182568"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63" name="Straight Arrow Connector 62"/>
              <xdr:cNvCxnSpPr/>
            </xdr:nvCxnSpPr>
            <xdr:spPr bwMode="auto">
              <a:xfrm>
                <a:off x="3871780" y="3656920"/>
                <a:ext cx="182568"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64" name="Straight Arrow Connector 63"/>
              <xdr:cNvCxnSpPr/>
            </xdr:nvCxnSpPr>
            <xdr:spPr bwMode="auto">
              <a:xfrm>
                <a:off x="4937020" y="3656920"/>
                <a:ext cx="182567" cy="1588"/>
              </a:xfrm>
              <a:prstGeom prst="straightConnector1">
                <a:avLst/>
              </a:prstGeom>
              <a:ln w="952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5" name="Straight Arrow Connector 64"/>
              <xdr:cNvCxnSpPr/>
            </xdr:nvCxnSpPr>
            <xdr:spPr bwMode="auto">
              <a:xfrm>
                <a:off x="5989558" y="3656920"/>
                <a:ext cx="182568" cy="1588"/>
              </a:xfrm>
              <a:prstGeom prst="straightConnector1">
                <a:avLst/>
              </a:prstGeom>
              <a:ln w="9525">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6" name="Straight Arrow Connector 65"/>
              <xdr:cNvCxnSpPr/>
            </xdr:nvCxnSpPr>
            <xdr:spPr bwMode="auto">
              <a:xfrm>
                <a:off x="8288572" y="3656920"/>
                <a:ext cx="182567"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grpSp>
        <xdr:grpSp>
          <xdr:nvGrpSpPr>
            <xdr:cNvPr id="54" name="Group 53"/>
            <xdr:cNvGrpSpPr>
              <a:grpSpLocks/>
            </xdr:cNvGrpSpPr>
          </xdr:nvGrpSpPr>
          <xdr:grpSpPr bwMode="auto">
            <a:xfrm>
              <a:off x="2362030" y="3906158"/>
              <a:ext cx="6722017" cy="453946"/>
              <a:chOff x="2362030" y="3935186"/>
              <a:chExt cx="6722017" cy="453946"/>
            </a:xfrm>
          </xdr:grpSpPr>
          <xdr:sp macro="" textlink="">
            <xdr:nvSpPr>
              <xdr:cNvPr id="55" name="Freeform 54"/>
              <xdr:cNvSpPr/>
            </xdr:nvSpPr>
            <xdr:spPr bwMode="auto">
              <a:xfrm flipV="1">
                <a:off x="2362030" y="3966936"/>
                <a:ext cx="2209855" cy="407987"/>
              </a:xfrm>
              <a:custGeom>
                <a:avLst/>
                <a:gdLst>
                  <a:gd name="connsiteX0" fmla="*/ 0 w 4122295"/>
                  <a:gd name="connsiteY0" fmla="*/ 262328 h 307299"/>
                  <a:gd name="connsiteX1" fmla="*/ 2098623 w 4122295"/>
                  <a:gd name="connsiteY1" fmla="*/ 7495 h 307299"/>
                  <a:gd name="connsiteX2" fmla="*/ 4122295 w 4122295"/>
                  <a:gd name="connsiteY2" fmla="*/ 307299 h 307299"/>
                  <a:gd name="connsiteX3" fmla="*/ 4122295 w 4122295"/>
                  <a:gd name="connsiteY3" fmla="*/ 307299 h 307299"/>
                  <a:gd name="connsiteX4" fmla="*/ 4122295 w 4122295"/>
                  <a:gd name="connsiteY4" fmla="*/ 307299 h 3072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22295" h="307299">
                    <a:moveTo>
                      <a:pt x="0" y="262328"/>
                    </a:moveTo>
                    <a:cubicBezTo>
                      <a:pt x="705787" y="131164"/>
                      <a:pt x="1411574" y="0"/>
                      <a:pt x="2098623" y="7495"/>
                    </a:cubicBezTo>
                    <a:cubicBezTo>
                      <a:pt x="2785672" y="14990"/>
                      <a:pt x="4122295" y="307299"/>
                      <a:pt x="4122295" y="307299"/>
                    </a:cubicBezTo>
                    <a:lnTo>
                      <a:pt x="4122295" y="307299"/>
                    </a:lnTo>
                    <a:lnTo>
                      <a:pt x="4122295" y="307299"/>
                    </a:lnTo>
                  </a:path>
                </a:pathLst>
              </a:custGeom>
              <a:ln>
                <a:tailEnd type="arrow" w="lg" len="med"/>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auto">
                  <a:spcBef>
                    <a:spcPts val="0"/>
                  </a:spcBef>
                  <a:spcAft>
                    <a:spcPts val="0"/>
                  </a:spcAft>
                  <a:defRPr/>
                </a:pPr>
                <a:endParaRPr lang="en-US"/>
              </a:p>
            </xdr:txBody>
          </xdr:sp>
          <xdr:sp macro="" textlink="">
            <xdr:nvSpPr>
              <xdr:cNvPr id="56" name="Freeform 55"/>
              <xdr:cNvSpPr/>
            </xdr:nvSpPr>
            <xdr:spPr bwMode="auto">
              <a:xfrm flipV="1">
                <a:off x="2408066" y="3985779"/>
                <a:ext cx="6218077" cy="384048"/>
              </a:xfrm>
              <a:custGeom>
                <a:avLst/>
                <a:gdLst>
                  <a:gd name="connsiteX0" fmla="*/ 0 w 4122295"/>
                  <a:gd name="connsiteY0" fmla="*/ 262328 h 307299"/>
                  <a:gd name="connsiteX1" fmla="*/ 2098623 w 4122295"/>
                  <a:gd name="connsiteY1" fmla="*/ 7495 h 307299"/>
                  <a:gd name="connsiteX2" fmla="*/ 4122295 w 4122295"/>
                  <a:gd name="connsiteY2" fmla="*/ 307299 h 307299"/>
                  <a:gd name="connsiteX3" fmla="*/ 4122295 w 4122295"/>
                  <a:gd name="connsiteY3" fmla="*/ 307299 h 307299"/>
                  <a:gd name="connsiteX4" fmla="*/ 4122295 w 4122295"/>
                  <a:gd name="connsiteY4" fmla="*/ 307299 h 3072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22295" h="307299">
                    <a:moveTo>
                      <a:pt x="0" y="262328"/>
                    </a:moveTo>
                    <a:cubicBezTo>
                      <a:pt x="705787" y="131164"/>
                      <a:pt x="1411574" y="0"/>
                      <a:pt x="2098623" y="7495"/>
                    </a:cubicBezTo>
                    <a:cubicBezTo>
                      <a:pt x="2785672" y="14990"/>
                      <a:pt x="4122295" y="307299"/>
                      <a:pt x="4122295" y="307299"/>
                    </a:cubicBezTo>
                    <a:lnTo>
                      <a:pt x="4122295" y="307299"/>
                    </a:lnTo>
                    <a:lnTo>
                      <a:pt x="4122295" y="307299"/>
                    </a:lnTo>
                  </a:path>
                </a:pathLst>
              </a:custGeom>
              <a:ln>
                <a:tailEnd type="arrow" w="lg" len="med"/>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auto">
                  <a:spcBef>
                    <a:spcPts val="0"/>
                  </a:spcBef>
                  <a:spcAft>
                    <a:spcPts val="0"/>
                  </a:spcAft>
                  <a:defRPr/>
                </a:pPr>
                <a:endParaRPr lang="en-US"/>
              </a:p>
            </xdr:txBody>
          </xdr:sp>
          <xdr:sp macro="" textlink="">
            <xdr:nvSpPr>
              <xdr:cNvPr id="57" name="Freeform 56"/>
              <xdr:cNvSpPr/>
            </xdr:nvSpPr>
            <xdr:spPr bwMode="auto">
              <a:xfrm flipV="1">
                <a:off x="3505059" y="3935186"/>
                <a:ext cx="4038701" cy="407987"/>
              </a:xfrm>
              <a:custGeom>
                <a:avLst/>
                <a:gdLst>
                  <a:gd name="connsiteX0" fmla="*/ 0 w 4122295"/>
                  <a:gd name="connsiteY0" fmla="*/ 262328 h 307299"/>
                  <a:gd name="connsiteX1" fmla="*/ 2098623 w 4122295"/>
                  <a:gd name="connsiteY1" fmla="*/ 7495 h 307299"/>
                  <a:gd name="connsiteX2" fmla="*/ 4122295 w 4122295"/>
                  <a:gd name="connsiteY2" fmla="*/ 307299 h 307299"/>
                  <a:gd name="connsiteX3" fmla="*/ 4122295 w 4122295"/>
                  <a:gd name="connsiteY3" fmla="*/ 307299 h 307299"/>
                  <a:gd name="connsiteX4" fmla="*/ 4122295 w 4122295"/>
                  <a:gd name="connsiteY4" fmla="*/ 307299 h 3072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22295" h="307299">
                    <a:moveTo>
                      <a:pt x="0" y="262328"/>
                    </a:moveTo>
                    <a:cubicBezTo>
                      <a:pt x="705787" y="131164"/>
                      <a:pt x="1411574" y="0"/>
                      <a:pt x="2098623" y="7495"/>
                    </a:cubicBezTo>
                    <a:cubicBezTo>
                      <a:pt x="2785672" y="14990"/>
                      <a:pt x="4122295" y="307299"/>
                      <a:pt x="4122295" y="307299"/>
                    </a:cubicBezTo>
                    <a:lnTo>
                      <a:pt x="4122295" y="307299"/>
                    </a:lnTo>
                    <a:lnTo>
                      <a:pt x="4122295" y="307299"/>
                    </a:lnTo>
                  </a:path>
                </a:pathLst>
              </a:custGeom>
              <a:ln>
                <a:tailEnd type="arrow" w="lg" len="med"/>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auto">
                  <a:spcBef>
                    <a:spcPts val="0"/>
                  </a:spcBef>
                  <a:spcAft>
                    <a:spcPts val="0"/>
                  </a:spcAft>
                  <a:defRPr/>
                </a:pPr>
                <a:endParaRPr lang="en-US"/>
              </a:p>
            </xdr:txBody>
          </xdr:sp>
          <xdr:sp macro="" textlink="">
            <xdr:nvSpPr>
              <xdr:cNvPr id="58" name="Freeform 57"/>
              <xdr:cNvSpPr/>
            </xdr:nvSpPr>
            <xdr:spPr bwMode="auto">
              <a:xfrm flipV="1">
                <a:off x="4811603" y="3964682"/>
                <a:ext cx="3017596" cy="407987"/>
              </a:xfrm>
              <a:custGeom>
                <a:avLst/>
                <a:gdLst>
                  <a:gd name="connsiteX0" fmla="*/ 0 w 4122295"/>
                  <a:gd name="connsiteY0" fmla="*/ 262328 h 307299"/>
                  <a:gd name="connsiteX1" fmla="*/ 2098623 w 4122295"/>
                  <a:gd name="connsiteY1" fmla="*/ 7495 h 307299"/>
                  <a:gd name="connsiteX2" fmla="*/ 4122295 w 4122295"/>
                  <a:gd name="connsiteY2" fmla="*/ 307299 h 307299"/>
                  <a:gd name="connsiteX3" fmla="*/ 4122295 w 4122295"/>
                  <a:gd name="connsiteY3" fmla="*/ 307299 h 307299"/>
                  <a:gd name="connsiteX4" fmla="*/ 4122295 w 4122295"/>
                  <a:gd name="connsiteY4" fmla="*/ 307299 h 3072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22295" h="307299">
                    <a:moveTo>
                      <a:pt x="0" y="262328"/>
                    </a:moveTo>
                    <a:cubicBezTo>
                      <a:pt x="705787" y="131164"/>
                      <a:pt x="1411574" y="0"/>
                      <a:pt x="2098623" y="7495"/>
                    </a:cubicBezTo>
                    <a:cubicBezTo>
                      <a:pt x="2785672" y="14990"/>
                      <a:pt x="4122295" y="307299"/>
                      <a:pt x="4122295" y="307299"/>
                    </a:cubicBezTo>
                    <a:lnTo>
                      <a:pt x="4122295" y="307299"/>
                    </a:lnTo>
                    <a:lnTo>
                      <a:pt x="4122295" y="307299"/>
                    </a:lnTo>
                  </a:path>
                </a:pathLst>
              </a:custGeom>
              <a:ln w="25400">
                <a:solidFill>
                  <a:srgbClr val="FF0000"/>
                </a:solidFill>
                <a:headEnd type="arrow"/>
                <a:tailEnd type="arrow" w="lg" len="med"/>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auto">
                  <a:spcBef>
                    <a:spcPts val="0"/>
                  </a:spcBef>
                  <a:spcAft>
                    <a:spcPts val="0"/>
                  </a:spcAft>
                  <a:defRPr/>
                </a:pPr>
                <a:endParaRPr lang="en-US"/>
              </a:p>
            </xdr:txBody>
          </xdr:sp>
          <xdr:sp macro="" textlink="">
            <xdr:nvSpPr>
              <xdr:cNvPr id="59" name="Freeform 58"/>
              <xdr:cNvSpPr/>
            </xdr:nvSpPr>
            <xdr:spPr bwMode="auto">
              <a:xfrm flipV="1">
                <a:off x="4648087" y="4005084"/>
                <a:ext cx="4297788" cy="384048"/>
              </a:xfrm>
              <a:custGeom>
                <a:avLst/>
                <a:gdLst>
                  <a:gd name="connsiteX0" fmla="*/ 0 w 4122295"/>
                  <a:gd name="connsiteY0" fmla="*/ 262328 h 307299"/>
                  <a:gd name="connsiteX1" fmla="*/ 2098623 w 4122295"/>
                  <a:gd name="connsiteY1" fmla="*/ 7495 h 307299"/>
                  <a:gd name="connsiteX2" fmla="*/ 4122295 w 4122295"/>
                  <a:gd name="connsiteY2" fmla="*/ 307299 h 307299"/>
                  <a:gd name="connsiteX3" fmla="*/ 4122295 w 4122295"/>
                  <a:gd name="connsiteY3" fmla="*/ 307299 h 307299"/>
                  <a:gd name="connsiteX4" fmla="*/ 4122295 w 4122295"/>
                  <a:gd name="connsiteY4" fmla="*/ 307299 h 3072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22295" h="307299">
                    <a:moveTo>
                      <a:pt x="0" y="262328"/>
                    </a:moveTo>
                    <a:cubicBezTo>
                      <a:pt x="705787" y="131164"/>
                      <a:pt x="1411574" y="0"/>
                      <a:pt x="2098623" y="7495"/>
                    </a:cubicBezTo>
                    <a:cubicBezTo>
                      <a:pt x="2785672" y="14990"/>
                      <a:pt x="4122295" y="307299"/>
                      <a:pt x="4122295" y="307299"/>
                    </a:cubicBezTo>
                    <a:lnTo>
                      <a:pt x="4122295" y="307299"/>
                    </a:lnTo>
                    <a:lnTo>
                      <a:pt x="4122295" y="307299"/>
                    </a:lnTo>
                  </a:path>
                </a:pathLst>
              </a:custGeom>
              <a:ln>
                <a:tailEnd type="arrow" w="lg" len="med"/>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auto">
                  <a:spcBef>
                    <a:spcPts val="0"/>
                  </a:spcBef>
                  <a:spcAft>
                    <a:spcPts val="0"/>
                  </a:spcAft>
                  <a:defRPr/>
                </a:pPr>
                <a:endParaRPr lang="en-US"/>
              </a:p>
            </xdr:txBody>
          </xdr:sp>
          <xdr:sp macro="" textlink="">
            <xdr:nvSpPr>
              <xdr:cNvPr id="60" name="Freeform 59"/>
              <xdr:cNvSpPr/>
            </xdr:nvSpPr>
            <xdr:spPr bwMode="auto">
              <a:xfrm flipV="1">
                <a:off x="5486308" y="3979430"/>
                <a:ext cx="2560384" cy="365760"/>
              </a:xfrm>
              <a:custGeom>
                <a:avLst/>
                <a:gdLst>
                  <a:gd name="connsiteX0" fmla="*/ 0 w 4122295"/>
                  <a:gd name="connsiteY0" fmla="*/ 262328 h 307299"/>
                  <a:gd name="connsiteX1" fmla="*/ 2098623 w 4122295"/>
                  <a:gd name="connsiteY1" fmla="*/ 7495 h 307299"/>
                  <a:gd name="connsiteX2" fmla="*/ 4122295 w 4122295"/>
                  <a:gd name="connsiteY2" fmla="*/ 307299 h 307299"/>
                  <a:gd name="connsiteX3" fmla="*/ 4122295 w 4122295"/>
                  <a:gd name="connsiteY3" fmla="*/ 307299 h 307299"/>
                  <a:gd name="connsiteX4" fmla="*/ 4122295 w 4122295"/>
                  <a:gd name="connsiteY4" fmla="*/ 307299 h 3072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22295" h="307299">
                    <a:moveTo>
                      <a:pt x="0" y="262328"/>
                    </a:moveTo>
                    <a:cubicBezTo>
                      <a:pt x="705787" y="131164"/>
                      <a:pt x="1411574" y="0"/>
                      <a:pt x="2098623" y="7495"/>
                    </a:cubicBezTo>
                    <a:cubicBezTo>
                      <a:pt x="2785672" y="14990"/>
                      <a:pt x="4122295" y="307299"/>
                      <a:pt x="4122295" y="307299"/>
                    </a:cubicBezTo>
                    <a:lnTo>
                      <a:pt x="4122295" y="307299"/>
                    </a:lnTo>
                    <a:lnTo>
                      <a:pt x="4122295" y="307299"/>
                    </a:lnTo>
                  </a:path>
                </a:pathLst>
              </a:custGeom>
              <a:ln w="9525">
                <a:solidFill>
                  <a:schemeClr val="accent1"/>
                </a:solidFill>
                <a:tailEnd type="arrow" w="lg" len="med"/>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auto">
                  <a:spcBef>
                    <a:spcPts val="0"/>
                  </a:spcBef>
                  <a:spcAft>
                    <a:spcPts val="0"/>
                  </a:spcAft>
                  <a:defRPr/>
                </a:pPr>
                <a:endParaRPr lang="en-US"/>
              </a:p>
            </xdr:txBody>
          </xdr:sp>
          <xdr:sp macro="" textlink="">
            <xdr:nvSpPr>
              <xdr:cNvPr id="61" name="Freeform 60"/>
              <xdr:cNvSpPr/>
            </xdr:nvSpPr>
            <xdr:spPr bwMode="auto">
              <a:xfrm flipV="1">
                <a:off x="4694817" y="3994177"/>
                <a:ext cx="4389230" cy="384048"/>
              </a:xfrm>
              <a:custGeom>
                <a:avLst/>
                <a:gdLst>
                  <a:gd name="connsiteX0" fmla="*/ 0 w 4122295"/>
                  <a:gd name="connsiteY0" fmla="*/ 262328 h 307299"/>
                  <a:gd name="connsiteX1" fmla="*/ 2098623 w 4122295"/>
                  <a:gd name="connsiteY1" fmla="*/ 7495 h 307299"/>
                  <a:gd name="connsiteX2" fmla="*/ 4122295 w 4122295"/>
                  <a:gd name="connsiteY2" fmla="*/ 307299 h 307299"/>
                  <a:gd name="connsiteX3" fmla="*/ 4122295 w 4122295"/>
                  <a:gd name="connsiteY3" fmla="*/ 307299 h 307299"/>
                  <a:gd name="connsiteX4" fmla="*/ 4122295 w 4122295"/>
                  <a:gd name="connsiteY4" fmla="*/ 307299 h 3072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22295" h="307299">
                    <a:moveTo>
                      <a:pt x="0" y="262328"/>
                    </a:moveTo>
                    <a:cubicBezTo>
                      <a:pt x="705787" y="131164"/>
                      <a:pt x="1411574" y="0"/>
                      <a:pt x="2098623" y="7495"/>
                    </a:cubicBezTo>
                    <a:cubicBezTo>
                      <a:pt x="2785672" y="14990"/>
                      <a:pt x="4122295" y="307299"/>
                      <a:pt x="4122295" y="307299"/>
                    </a:cubicBezTo>
                    <a:lnTo>
                      <a:pt x="4122295" y="307299"/>
                    </a:lnTo>
                    <a:lnTo>
                      <a:pt x="4122295" y="307299"/>
                    </a:lnTo>
                  </a:path>
                </a:pathLst>
              </a:custGeom>
              <a:ln w="9525">
                <a:solidFill>
                  <a:schemeClr val="accent1"/>
                </a:solidFill>
                <a:tailEnd type="arrow" w="lg" len="med"/>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auto">
                  <a:spcBef>
                    <a:spcPts val="0"/>
                  </a:spcBef>
                  <a:spcAft>
                    <a:spcPts val="0"/>
                  </a:spcAft>
                  <a:defRPr/>
                </a:pPr>
                <a:endParaRPr lang="en-US"/>
              </a:p>
            </xdr:txBody>
          </xdr:sp>
        </xdr:grpSp>
      </xdr:grpSp>
    </xdr:grpSp>
    <xdr:clientData/>
  </xdr:twoCellAnchor>
  <xdr:twoCellAnchor>
    <xdr:from>
      <xdr:col>4</xdr:col>
      <xdr:colOff>88646</xdr:colOff>
      <xdr:row>24</xdr:row>
      <xdr:rowOff>53975</xdr:rowOff>
    </xdr:from>
    <xdr:to>
      <xdr:col>4</xdr:col>
      <xdr:colOff>90233</xdr:colOff>
      <xdr:row>30</xdr:row>
      <xdr:rowOff>184150</xdr:rowOff>
    </xdr:to>
    <xdr:cxnSp macro="">
      <xdr:nvCxnSpPr>
        <xdr:cNvPr id="7" name="Straight Arrow Connector 6"/>
        <xdr:cNvCxnSpPr/>
      </xdr:nvCxnSpPr>
      <xdr:spPr bwMode="auto">
        <a:xfrm flipH="1">
          <a:off x="2527046" y="4625975"/>
          <a:ext cx="1587" cy="1273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166432</xdr:colOff>
      <xdr:row>24</xdr:row>
      <xdr:rowOff>53975</xdr:rowOff>
    </xdr:from>
    <xdr:to>
      <xdr:col>5</xdr:col>
      <xdr:colOff>318832</xdr:colOff>
      <xdr:row>30</xdr:row>
      <xdr:rowOff>166688</xdr:rowOff>
    </xdr:to>
    <xdr:cxnSp macro="">
      <xdr:nvCxnSpPr>
        <xdr:cNvPr id="8" name="Straight Arrow Connector 7"/>
        <xdr:cNvCxnSpPr/>
      </xdr:nvCxnSpPr>
      <xdr:spPr bwMode="auto">
        <a:xfrm>
          <a:off x="2604832" y="4625975"/>
          <a:ext cx="762000" cy="125571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318832</xdr:colOff>
      <xdr:row>24</xdr:row>
      <xdr:rowOff>53975</xdr:rowOff>
    </xdr:from>
    <xdr:to>
      <xdr:col>7</xdr:col>
      <xdr:colOff>242632</xdr:colOff>
      <xdr:row>30</xdr:row>
      <xdr:rowOff>166688</xdr:rowOff>
    </xdr:to>
    <xdr:cxnSp macro="">
      <xdr:nvCxnSpPr>
        <xdr:cNvPr id="9" name="Straight Arrow Connector 8"/>
        <xdr:cNvCxnSpPr/>
      </xdr:nvCxnSpPr>
      <xdr:spPr bwMode="auto">
        <a:xfrm>
          <a:off x="2757232" y="4625975"/>
          <a:ext cx="1752600" cy="125571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469646</xdr:colOff>
      <xdr:row>24</xdr:row>
      <xdr:rowOff>53975</xdr:rowOff>
    </xdr:from>
    <xdr:to>
      <xdr:col>5</xdr:col>
      <xdr:colOff>471233</xdr:colOff>
      <xdr:row>30</xdr:row>
      <xdr:rowOff>182563</xdr:rowOff>
    </xdr:to>
    <xdr:cxnSp macro="">
      <xdr:nvCxnSpPr>
        <xdr:cNvPr id="10" name="Straight Arrow Connector 9"/>
        <xdr:cNvCxnSpPr/>
      </xdr:nvCxnSpPr>
      <xdr:spPr bwMode="auto">
        <a:xfrm flipH="1">
          <a:off x="3517646" y="4625975"/>
          <a:ext cx="1587" cy="127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561720</xdr:colOff>
      <xdr:row>24</xdr:row>
      <xdr:rowOff>41275</xdr:rowOff>
    </xdr:from>
    <xdr:to>
      <xdr:col>7</xdr:col>
      <xdr:colOff>485520</xdr:colOff>
      <xdr:row>30</xdr:row>
      <xdr:rowOff>166688</xdr:rowOff>
    </xdr:to>
    <xdr:cxnSp macro="">
      <xdr:nvCxnSpPr>
        <xdr:cNvPr id="11" name="Straight Arrow Connector 10"/>
        <xdr:cNvCxnSpPr/>
      </xdr:nvCxnSpPr>
      <xdr:spPr bwMode="auto">
        <a:xfrm>
          <a:off x="3609720" y="4613275"/>
          <a:ext cx="1143000" cy="126841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255332</xdr:colOff>
      <xdr:row>12</xdr:row>
      <xdr:rowOff>87313</xdr:rowOff>
    </xdr:from>
    <xdr:to>
      <xdr:col>4</xdr:col>
      <xdr:colOff>256920</xdr:colOff>
      <xdr:row>19</xdr:row>
      <xdr:rowOff>47625</xdr:rowOff>
    </xdr:to>
    <xdr:cxnSp macro="">
      <xdr:nvCxnSpPr>
        <xdr:cNvPr id="12" name="Straight Arrow Connector 11"/>
        <xdr:cNvCxnSpPr/>
      </xdr:nvCxnSpPr>
      <xdr:spPr bwMode="auto">
        <a:xfrm flipH="1">
          <a:off x="2693732" y="2373313"/>
          <a:ext cx="1588" cy="129381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215646</xdr:colOff>
      <xdr:row>12</xdr:row>
      <xdr:rowOff>85725</xdr:rowOff>
    </xdr:from>
    <xdr:to>
      <xdr:col>6</xdr:col>
      <xdr:colOff>217233</xdr:colOff>
      <xdr:row>19</xdr:row>
      <xdr:rowOff>47625</xdr:rowOff>
    </xdr:to>
    <xdr:cxnSp macro="">
      <xdr:nvCxnSpPr>
        <xdr:cNvPr id="13" name="Straight Arrow Connector 12"/>
        <xdr:cNvCxnSpPr/>
      </xdr:nvCxnSpPr>
      <xdr:spPr bwMode="auto">
        <a:xfrm flipH="1">
          <a:off x="3873246" y="2371725"/>
          <a:ext cx="1587" cy="12954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333120</xdr:colOff>
      <xdr:row>12</xdr:row>
      <xdr:rowOff>68263</xdr:rowOff>
    </xdr:from>
    <xdr:to>
      <xdr:col>6</xdr:col>
      <xdr:colOff>28320</xdr:colOff>
      <xdr:row>19</xdr:row>
      <xdr:rowOff>14288</xdr:rowOff>
    </xdr:to>
    <xdr:cxnSp macro="">
      <xdr:nvCxnSpPr>
        <xdr:cNvPr id="14" name="Straight Arrow Connector 13"/>
        <xdr:cNvCxnSpPr/>
      </xdr:nvCxnSpPr>
      <xdr:spPr bwMode="auto">
        <a:xfrm>
          <a:off x="2771520" y="2354263"/>
          <a:ext cx="914400" cy="1279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412495</xdr:colOff>
      <xdr:row>12</xdr:row>
      <xdr:rowOff>100013</xdr:rowOff>
    </xdr:from>
    <xdr:to>
      <xdr:col>8</xdr:col>
      <xdr:colOff>183895</xdr:colOff>
      <xdr:row>19</xdr:row>
      <xdr:rowOff>88900</xdr:rowOff>
    </xdr:to>
    <xdr:cxnSp macro="">
      <xdr:nvCxnSpPr>
        <xdr:cNvPr id="15" name="Straight Arrow Connector 14"/>
        <xdr:cNvCxnSpPr/>
      </xdr:nvCxnSpPr>
      <xdr:spPr bwMode="auto">
        <a:xfrm>
          <a:off x="4070095" y="2386013"/>
          <a:ext cx="990600" cy="132238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485520</xdr:colOff>
      <xdr:row>12</xdr:row>
      <xdr:rowOff>85725</xdr:rowOff>
    </xdr:from>
    <xdr:to>
      <xdr:col>7</xdr:col>
      <xdr:colOff>485520</xdr:colOff>
      <xdr:row>19</xdr:row>
      <xdr:rowOff>76200</xdr:rowOff>
    </xdr:to>
    <xdr:cxnSp macro="">
      <xdr:nvCxnSpPr>
        <xdr:cNvPr id="16" name="Straight Arrow Connector 15"/>
        <xdr:cNvCxnSpPr/>
      </xdr:nvCxnSpPr>
      <xdr:spPr bwMode="auto">
        <a:xfrm>
          <a:off x="2923920" y="2371725"/>
          <a:ext cx="1828800" cy="13239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14032</xdr:colOff>
      <xdr:row>23</xdr:row>
      <xdr:rowOff>152399</xdr:rowOff>
    </xdr:from>
    <xdr:to>
      <xdr:col>13</xdr:col>
      <xdr:colOff>593152</xdr:colOff>
      <xdr:row>25</xdr:row>
      <xdr:rowOff>176212</xdr:rowOff>
    </xdr:to>
    <xdr:sp macro="" textlink="">
      <xdr:nvSpPr>
        <xdr:cNvPr id="17" name="Freeform 16"/>
        <xdr:cNvSpPr/>
      </xdr:nvSpPr>
      <xdr:spPr bwMode="auto">
        <a:xfrm flipV="1">
          <a:off x="3671632" y="4533899"/>
          <a:ext cx="4846320" cy="404813"/>
        </a:xfrm>
        <a:custGeom>
          <a:avLst/>
          <a:gdLst>
            <a:gd name="connsiteX0" fmla="*/ 0 w 4122295"/>
            <a:gd name="connsiteY0" fmla="*/ 262328 h 307299"/>
            <a:gd name="connsiteX1" fmla="*/ 2098623 w 4122295"/>
            <a:gd name="connsiteY1" fmla="*/ 7495 h 307299"/>
            <a:gd name="connsiteX2" fmla="*/ 4122295 w 4122295"/>
            <a:gd name="connsiteY2" fmla="*/ 307299 h 307299"/>
            <a:gd name="connsiteX3" fmla="*/ 4122295 w 4122295"/>
            <a:gd name="connsiteY3" fmla="*/ 307299 h 307299"/>
            <a:gd name="connsiteX4" fmla="*/ 4122295 w 4122295"/>
            <a:gd name="connsiteY4" fmla="*/ 307299 h 3072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22295" h="307299">
              <a:moveTo>
                <a:pt x="0" y="262328"/>
              </a:moveTo>
              <a:cubicBezTo>
                <a:pt x="705787" y="131164"/>
                <a:pt x="1411574" y="0"/>
                <a:pt x="2098623" y="7495"/>
              </a:cubicBezTo>
              <a:cubicBezTo>
                <a:pt x="2785672" y="14990"/>
                <a:pt x="4122295" y="307299"/>
                <a:pt x="4122295" y="307299"/>
              </a:cubicBezTo>
              <a:lnTo>
                <a:pt x="4122295" y="307299"/>
              </a:lnTo>
              <a:lnTo>
                <a:pt x="4122295" y="307299"/>
              </a:lnTo>
            </a:path>
          </a:pathLst>
        </a:custGeom>
        <a:ln>
          <a:tailEnd type="arrow" w="lg" len="med"/>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auto">
            <a:spcBef>
              <a:spcPts val="0"/>
            </a:spcBef>
            <a:spcAft>
              <a:spcPts val="0"/>
            </a:spcAft>
            <a:defRPr/>
          </a:pPr>
          <a:endParaRPr lang="en-US"/>
        </a:p>
      </xdr:txBody>
    </xdr:sp>
    <xdr:clientData/>
  </xdr:twoCellAnchor>
  <xdr:twoCellAnchor>
    <xdr:from>
      <xdr:col>6</xdr:col>
      <xdr:colOff>166432</xdr:colOff>
      <xdr:row>35</xdr:row>
      <xdr:rowOff>128588</xdr:rowOff>
    </xdr:from>
    <xdr:to>
      <xdr:col>14</xdr:col>
      <xdr:colOff>501712</xdr:colOff>
      <xdr:row>37</xdr:row>
      <xdr:rowOff>152400</xdr:rowOff>
    </xdr:to>
    <xdr:sp macro="" textlink="">
      <xdr:nvSpPr>
        <xdr:cNvPr id="18" name="Freeform 17"/>
        <xdr:cNvSpPr/>
      </xdr:nvSpPr>
      <xdr:spPr bwMode="auto">
        <a:xfrm flipV="1">
          <a:off x="3824032" y="6796088"/>
          <a:ext cx="5212080" cy="404812"/>
        </a:xfrm>
        <a:custGeom>
          <a:avLst/>
          <a:gdLst>
            <a:gd name="connsiteX0" fmla="*/ 0 w 4122295"/>
            <a:gd name="connsiteY0" fmla="*/ 262328 h 307299"/>
            <a:gd name="connsiteX1" fmla="*/ 2098623 w 4122295"/>
            <a:gd name="connsiteY1" fmla="*/ 7495 h 307299"/>
            <a:gd name="connsiteX2" fmla="*/ 4122295 w 4122295"/>
            <a:gd name="connsiteY2" fmla="*/ 307299 h 307299"/>
            <a:gd name="connsiteX3" fmla="*/ 4122295 w 4122295"/>
            <a:gd name="connsiteY3" fmla="*/ 307299 h 307299"/>
            <a:gd name="connsiteX4" fmla="*/ 4122295 w 4122295"/>
            <a:gd name="connsiteY4" fmla="*/ 307299 h 3072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22295" h="307299">
              <a:moveTo>
                <a:pt x="0" y="262328"/>
              </a:moveTo>
              <a:cubicBezTo>
                <a:pt x="705787" y="131164"/>
                <a:pt x="1411574" y="0"/>
                <a:pt x="2098623" y="7495"/>
              </a:cubicBezTo>
              <a:cubicBezTo>
                <a:pt x="2785672" y="14990"/>
                <a:pt x="4122295" y="307299"/>
                <a:pt x="4122295" y="307299"/>
              </a:cubicBezTo>
              <a:lnTo>
                <a:pt x="4122295" y="307299"/>
              </a:lnTo>
              <a:lnTo>
                <a:pt x="4122295" y="307299"/>
              </a:lnTo>
            </a:path>
          </a:pathLst>
        </a:custGeom>
        <a:ln>
          <a:tailEnd type="arrow" w="lg" len="med"/>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auto">
            <a:spcBef>
              <a:spcPts val="0"/>
            </a:spcBef>
            <a:spcAft>
              <a:spcPts val="0"/>
            </a:spcAft>
            <a:defRPr/>
          </a:pPr>
          <a:endParaRPr lang="en-US"/>
        </a:p>
      </xdr:txBody>
    </xdr:sp>
    <xdr:clientData/>
  </xdr:twoCellAnchor>
  <xdr:twoCellAnchor>
    <xdr:from>
      <xdr:col>8</xdr:col>
      <xdr:colOff>395032</xdr:colOff>
      <xdr:row>23</xdr:row>
      <xdr:rowOff>152399</xdr:rowOff>
    </xdr:from>
    <xdr:to>
      <xdr:col>14</xdr:col>
      <xdr:colOff>486472</xdr:colOff>
      <xdr:row>25</xdr:row>
      <xdr:rowOff>150812</xdr:rowOff>
    </xdr:to>
    <xdr:sp macro="" textlink="">
      <xdr:nvSpPr>
        <xdr:cNvPr id="19" name="Freeform 18"/>
        <xdr:cNvSpPr/>
      </xdr:nvSpPr>
      <xdr:spPr bwMode="auto">
        <a:xfrm flipV="1">
          <a:off x="5271832" y="4533899"/>
          <a:ext cx="3749040" cy="379413"/>
        </a:xfrm>
        <a:custGeom>
          <a:avLst/>
          <a:gdLst>
            <a:gd name="connsiteX0" fmla="*/ 0 w 4122295"/>
            <a:gd name="connsiteY0" fmla="*/ 262328 h 307299"/>
            <a:gd name="connsiteX1" fmla="*/ 2098623 w 4122295"/>
            <a:gd name="connsiteY1" fmla="*/ 7495 h 307299"/>
            <a:gd name="connsiteX2" fmla="*/ 4122295 w 4122295"/>
            <a:gd name="connsiteY2" fmla="*/ 307299 h 307299"/>
            <a:gd name="connsiteX3" fmla="*/ 4122295 w 4122295"/>
            <a:gd name="connsiteY3" fmla="*/ 307299 h 307299"/>
            <a:gd name="connsiteX4" fmla="*/ 4122295 w 4122295"/>
            <a:gd name="connsiteY4" fmla="*/ 307299 h 3072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22295" h="307299">
              <a:moveTo>
                <a:pt x="0" y="262328"/>
              </a:moveTo>
              <a:cubicBezTo>
                <a:pt x="705787" y="131164"/>
                <a:pt x="1411574" y="0"/>
                <a:pt x="2098623" y="7495"/>
              </a:cubicBezTo>
              <a:cubicBezTo>
                <a:pt x="2785672" y="14990"/>
                <a:pt x="4122295" y="307299"/>
                <a:pt x="4122295" y="307299"/>
              </a:cubicBezTo>
              <a:lnTo>
                <a:pt x="4122295" y="307299"/>
              </a:lnTo>
              <a:lnTo>
                <a:pt x="4122295" y="307299"/>
              </a:lnTo>
            </a:path>
          </a:pathLst>
        </a:custGeom>
        <a:ln>
          <a:tailEnd type="arrow" w="lg" len="med"/>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auto">
            <a:spcBef>
              <a:spcPts val="0"/>
            </a:spcBef>
            <a:spcAft>
              <a:spcPts val="0"/>
            </a:spcAft>
            <a:defRPr/>
          </a:pPr>
          <a:endParaRPr lang="en-US"/>
        </a:p>
      </xdr:txBody>
    </xdr:sp>
    <xdr:clientData/>
  </xdr:twoCellAnchor>
  <xdr:twoCellAnchor>
    <xdr:from>
      <xdr:col>8</xdr:col>
      <xdr:colOff>279145</xdr:colOff>
      <xdr:row>12</xdr:row>
      <xdr:rowOff>100013</xdr:rowOff>
    </xdr:from>
    <xdr:to>
      <xdr:col>12</xdr:col>
      <xdr:colOff>139445</xdr:colOff>
      <xdr:row>19</xdr:row>
      <xdr:rowOff>88901</xdr:rowOff>
    </xdr:to>
    <xdr:cxnSp macro="">
      <xdr:nvCxnSpPr>
        <xdr:cNvPr id="20" name="Straight Arrow Connector 19"/>
        <xdr:cNvCxnSpPr/>
      </xdr:nvCxnSpPr>
      <xdr:spPr bwMode="auto">
        <a:xfrm>
          <a:off x="5155945" y="2386013"/>
          <a:ext cx="2298700" cy="1322388"/>
        </a:xfrm>
        <a:prstGeom prst="straightConnector1">
          <a:avLst/>
        </a:prstGeom>
        <a:ln w="9525">
          <a:solidFill>
            <a:schemeClr val="accent1"/>
          </a:solidFill>
          <a:tailEnd type="arrow"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318832</xdr:colOff>
      <xdr:row>24</xdr:row>
      <xdr:rowOff>38100</xdr:rowOff>
    </xdr:from>
    <xdr:to>
      <xdr:col>12</xdr:col>
      <xdr:colOff>395032</xdr:colOff>
      <xdr:row>31</xdr:row>
      <xdr:rowOff>76200</xdr:rowOff>
    </xdr:to>
    <xdr:cxnSp macro="">
      <xdr:nvCxnSpPr>
        <xdr:cNvPr id="21" name="Straight Arrow Connector 20"/>
        <xdr:cNvCxnSpPr/>
      </xdr:nvCxnSpPr>
      <xdr:spPr bwMode="auto">
        <a:xfrm>
          <a:off x="7634032" y="4610100"/>
          <a:ext cx="76200" cy="1371600"/>
        </a:xfrm>
        <a:prstGeom prst="straightConnector1">
          <a:avLst/>
        </a:prstGeom>
        <a:ln w="9525">
          <a:solidFill>
            <a:schemeClr val="accent1"/>
          </a:solidFill>
          <a:tailEnd type="arrow"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50545</xdr:colOff>
      <xdr:row>31</xdr:row>
      <xdr:rowOff>142875</xdr:rowOff>
    </xdr:from>
    <xdr:to>
      <xdr:col>8</xdr:col>
      <xdr:colOff>279145</xdr:colOff>
      <xdr:row>35</xdr:row>
      <xdr:rowOff>25400</xdr:rowOff>
    </xdr:to>
    <xdr:sp macro="" textlink="">
      <xdr:nvSpPr>
        <xdr:cNvPr id="22" name="Freeform 21"/>
        <xdr:cNvSpPr/>
      </xdr:nvSpPr>
      <xdr:spPr bwMode="auto">
        <a:xfrm>
          <a:off x="4317745" y="6048375"/>
          <a:ext cx="838200" cy="644525"/>
        </a:xfrm>
        <a:custGeom>
          <a:avLst/>
          <a:gdLst>
            <a:gd name="connsiteX0" fmla="*/ 0 w 838265"/>
            <a:gd name="connsiteY0" fmla="*/ 64442 h 644416"/>
            <a:gd name="connsiteX1" fmla="*/ 18875 w 838265"/>
            <a:gd name="connsiteY1" fmla="*/ 18875 h 644416"/>
            <a:gd name="connsiteX2" fmla="*/ 64442 w 838265"/>
            <a:gd name="connsiteY2" fmla="*/ 0 h 644416"/>
            <a:gd name="connsiteX3" fmla="*/ 773823 w 838265"/>
            <a:gd name="connsiteY3" fmla="*/ 0 h 644416"/>
            <a:gd name="connsiteX4" fmla="*/ 819390 w 838265"/>
            <a:gd name="connsiteY4" fmla="*/ 18875 h 644416"/>
            <a:gd name="connsiteX5" fmla="*/ 838265 w 838265"/>
            <a:gd name="connsiteY5" fmla="*/ 64442 h 644416"/>
            <a:gd name="connsiteX6" fmla="*/ 838265 w 838265"/>
            <a:gd name="connsiteY6" fmla="*/ 579974 h 644416"/>
            <a:gd name="connsiteX7" fmla="*/ 819390 w 838265"/>
            <a:gd name="connsiteY7" fmla="*/ 625541 h 644416"/>
            <a:gd name="connsiteX8" fmla="*/ 773823 w 838265"/>
            <a:gd name="connsiteY8" fmla="*/ 644416 h 644416"/>
            <a:gd name="connsiteX9" fmla="*/ 64442 w 838265"/>
            <a:gd name="connsiteY9" fmla="*/ 644416 h 644416"/>
            <a:gd name="connsiteX10" fmla="*/ 18875 w 838265"/>
            <a:gd name="connsiteY10" fmla="*/ 625541 h 644416"/>
            <a:gd name="connsiteX11" fmla="*/ 0 w 838265"/>
            <a:gd name="connsiteY11" fmla="*/ 579974 h 644416"/>
            <a:gd name="connsiteX12" fmla="*/ 0 w 838265"/>
            <a:gd name="connsiteY12" fmla="*/ 64442 h 6444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838265" h="644416">
              <a:moveTo>
                <a:pt x="0" y="64442"/>
              </a:moveTo>
              <a:cubicBezTo>
                <a:pt x="0" y="47351"/>
                <a:pt x="6789" y="30960"/>
                <a:pt x="18875" y="18875"/>
              </a:cubicBezTo>
              <a:cubicBezTo>
                <a:pt x="30960" y="6790"/>
                <a:pt x="47351" y="0"/>
                <a:pt x="64442" y="0"/>
              </a:cubicBezTo>
              <a:lnTo>
                <a:pt x="773823" y="0"/>
              </a:lnTo>
              <a:cubicBezTo>
                <a:pt x="790914" y="0"/>
                <a:pt x="807305" y="6789"/>
                <a:pt x="819390" y="18875"/>
              </a:cubicBezTo>
              <a:cubicBezTo>
                <a:pt x="831475" y="30960"/>
                <a:pt x="838265" y="47351"/>
                <a:pt x="838265" y="64442"/>
              </a:cubicBezTo>
              <a:lnTo>
                <a:pt x="838265" y="579974"/>
              </a:lnTo>
              <a:cubicBezTo>
                <a:pt x="838265" y="597065"/>
                <a:pt x="831476" y="613456"/>
                <a:pt x="819390" y="625541"/>
              </a:cubicBezTo>
              <a:cubicBezTo>
                <a:pt x="807305" y="637626"/>
                <a:pt x="790914" y="644416"/>
                <a:pt x="773823" y="644416"/>
              </a:cubicBezTo>
              <a:lnTo>
                <a:pt x="64442" y="644416"/>
              </a:lnTo>
              <a:cubicBezTo>
                <a:pt x="47351" y="644416"/>
                <a:pt x="30960" y="637627"/>
                <a:pt x="18875" y="625541"/>
              </a:cubicBezTo>
              <a:cubicBezTo>
                <a:pt x="6790" y="613456"/>
                <a:pt x="0" y="597065"/>
                <a:pt x="0" y="579974"/>
              </a:cubicBezTo>
              <a:lnTo>
                <a:pt x="0" y="64442"/>
              </a:lnTo>
              <a:close/>
            </a:path>
          </a:pathLst>
        </a:custGeom>
        <a:solidFill>
          <a:schemeClr val="accent2"/>
        </a:solidFill>
        <a:ln w="21590"/>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wrap="square" lIns="18874" tIns="83644" rIns="18874" bIns="83644"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755650" fontAlgn="auto">
            <a:lnSpc>
              <a:spcPct val="90000"/>
            </a:lnSpc>
            <a:spcBef>
              <a:spcPts val="0"/>
            </a:spcBef>
            <a:spcAft>
              <a:spcPct val="35000"/>
            </a:spcAft>
            <a:defRPr/>
          </a:pPr>
          <a:r>
            <a:rPr lang="en-US" sz="1600"/>
            <a:t>In care, ART1  </a:t>
          </a:r>
          <a:r>
            <a:rPr lang="en-US" sz="1600" u="sng"/>
            <a:t>&lt;</a:t>
          </a:r>
          <a:r>
            <a:rPr lang="en-US" sz="1600"/>
            <a:t>12 mo</a:t>
          </a:r>
        </a:p>
      </xdr:txBody>
    </xdr:sp>
    <xdr:clientData/>
  </xdr:twoCellAnchor>
  <xdr:twoCellAnchor>
    <xdr:from>
      <xdr:col>8</xdr:col>
      <xdr:colOff>474407</xdr:colOff>
      <xdr:row>31</xdr:row>
      <xdr:rowOff>149225</xdr:rowOff>
    </xdr:from>
    <xdr:to>
      <xdr:col>10</xdr:col>
      <xdr:colOff>93407</xdr:colOff>
      <xdr:row>35</xdr:row>
      <xdr:rowOff>31750</xdr:rowOff>
    </xdr:to>
    <xdr:sp macro="" textlink="">
      <xdr:nvSpPr>
        <xdr:cNvPr id="23" name="Freeform 22"/>
        <xdr:cNvSpPr/>
      </xdr:nvSpPr>
      <xdr:spPr bwMode="auto">
        <a:xfrm>
          <a:off x="5351207" y="6054725"/>
          <a:ext cx="838200" cy="644525"/>
        </a:xfrm>
        <a:custGeom>
          <a:avLst/>
          <a:gdLst>
            <a:gd name="connsiteX0" fmla="*/ 0 w 838265"/>
            <a:gd name="connsiteY0" fmla="*/ 64442 h 644416"/>
            <a:gd name="connsiteX1" fmla="*/ 18875 w 838265"/>
            <a:gd name="connsiteY1" fmla="*/ 18875 h 644416"/>
            <a:gd name="connsiteX2" fmla="*/ 64442 w 838265"/>
            <a:gd name="connsiteY2" fmla="*/ 0 h 644416"/>
            <a:gd name="connsiteX3" fmla="*/ 773823 w 838265"/>
            <a:gd name="connsiteY3" fmla="*/ 0 h 644416"/>
            <a:gd name="connsiteX4" fmla="*/ 819390 w 838265"/>
            <a:gd name="connsiteY4" fmla="*/ 18875 h 644416"/>
            <a:gd name="connsiteX5" fmla="*/ 838265 w 838265"/>
            <a:gd name="connsiteY5" fmla="*/ 64442 h 644416"/>
            <a:gd name="connsiteX6" fmla="*/ 838265 w 838265"/>
            <a:gd name="connsiteY6" fmla="*/ 579974 h 644416"/>
            <a:gd name="connsiteX7" fmla="*/ 819390 w 838265"/>
            <a:gd name="connsiteY7" fmla="*/ 625541 h 644416"/>
            <a:gd name="connsiteX8" fmla="*/ 773823 w 838265"/>
            <a:gd name="connsiteY8" fmla="*/ 644416 h 644416"/>
            <a:gd name="connsiteX9" fmla="*/ 64442 w 838265"/>
            <a:gd name="connsiteY9" fmla="*/ 644416 h 644416"/>
            <a:gd name="connsiteX10" fmla="*/ 18875 w 838265"/>
            <a:gd name="connsiteY10" fmla="*/ 625541 h 644416"/>
            <a:gd name="connsiteX11" fmla="*/ 0 w 838265"/>
            <a:gd name="connsiteY11" fmla="*/ 579974 h 644416"/>
            <a:gd name="connsiteX12" fmla="*/ 0 w 838265"/>
            <a:gd name="connsiteY12" fmla="*/ 64442 h 6444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838265" h="644416">
              <a:moveTo>
                <a:pt x="0" y="64442"/>
              </a:moveTo>
              <a:cubicBezTo>
                <a:pt x="0" y="47351"/>
                <a:pt x="6789" y="30960"/>
                <a:pt x="18875" y="18875"/>
              </a:cubicBezTo>
              <a:cubicBezTo>
                <a:pt x="30960" y="6790"/>
                <a:pt x="47351" y="0"/>
                <a:pt x="64442" y="0"/>
              </a:cubicBezTo>
              <a:lnTo>
                <a:pt x="773823" y="0"/>
              </a:lnTo>
              <a:cubicBezTo>
                <a:pt x="790914" y="0"/>
                <a:pt x="807305" y="6789"/>
                <a:pt x="819390" y="18875"/>
              </a:cubicBezTo>
              <a:cubicBezTo>
                <a:pt x="831475" y="30960"/>
                <a:pt x="838265" y="47351"/>
                <a:pt x="838265" y="64442"/>
              </a:cubicBezTo>
              <a:lnTo>
                <a:pt x="838265" y="579974"/>
              </a:lnTo>
              <a:cubicBezTo>
                <a:pt x="838265" y="597065"/>
                <a:pt x="831476" y="613456"/>
                <a:pt x="819390" y="625541"/>
              </a:cubicBezTo>
              <a:cubicBezTo>
                <a:pt x="807305" y="637626"/>
                <a:pt x="790914" y="644416"/>
                <a:pt x="773823" y="644416"/>
              </a:cubicBezTo>
              <a:lnTo>
                <a:pt x="64442" y="644416"/>
              </a:lnTo>
              <a:cubicBezTo>
                <a:pt x="47351" y="644416"/>
                <a:pt x="30960" y="637627"/>
                <a:pt x="18875" y="625541"/>
              </a:cubicBezTo>
              <a:cubicBezTo>
                <a:pt x="6790" y="613456"/>
                <a:pt x="0" y="597065"/>
                <a:pt x="0" y="579974"/>
              </a:cubicBezTo>
              <a:lnTo>
                <a:pt x="0" y="64442"/>
              </a:lnTo>
              <a:close/>
            </a:path>
          </a:pathLst>
        </a:custGeom>
        <a:solidFill>
          <a:schemeClr val="accent2"/>
        </a:solidFill>
        <a:ln w="21590">
          <a:noFill/>
          <a:prstDash val="dash"/>
        </a:ln>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wrap="square" lIns="18874" tIns="83644" rIns="18874" bIns="83644"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755650" fontAlgn="auto">
            <a:lnSpc>
              <a:spcPct val="90000"/>
            </a:lnSpc>
            <a:spcBef>
              <a:spcPts val="0"/>
            </a:spcBef>
            <a:spcAft>
              <a:spcPct val="35000"/>
            </a:spcAft>
            <a:defRPr/>
          </a:pPr>
          <a:r>
            <a:rPr lang="en-US" sz="1600"/>
            <a:t>In care, ART1  &gt;12 mo</a:t>
          </a:r>
        </a:p>
      </xdr:txBody>
    </xdr:sp>
    <xdr:clientData/>
  </xdr:twoCellAnchor>
  <xdr:twoCellAnchor>
    <xdr:from>
      <xdr:col>1</xdr:col>
      <xdr:colOff>15875</xdr:colOff>
      <xdr:row>18</xdr:row>
      <xdr:rowOff>150813</xdr:rowOff>
    </xdr:from>
    <xdr:to>
      <xdr:col>3</xdr:col>
      <xdr:colOff>396875</xdr:colOff>
      <xdr:row>23</xdr:row>
      <xdr:rowOff>111125</xdr:rowOff>
    </xdr:to>
    <xdr:sp macro="" textlink="">
      <xdr:nvSpPr>
        <xdr:cNvPr id="24" name="Rounded Rectangle 23"/>
        <xdr:cNvSpPr/>
      </xdr:nvSpPr>
      <xdr:spPr bwMode="auto">
        <a:xfrm>
          <a:off x="625475" y="3579813"/>
          <a:ext cx="1600200" cy="912812"/>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wrap="square" lIns="0" rIns="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fontAlgn="auto">
            <a:spcBef>
              <a:spcPts val="0"/>
            </a:spcBef>
            <a:spcAft>
              <a:spcPts val="0"/>
            </a:spcAft>
            <a:defRPr/>
          </a:pPr>
          <a:r>
            <a:rPr lang="en-US" sz="1900"/>
            <a:t>Symptomatic</a:t>
          </a:r>
          <a:endParaRPr lang="en-US" sz="1600"/>
        </a:p>
      </xdr:txBody>
    </xdr:sp>
    <xdr:clientData/>
  </xdr:twoCellAnchor>
  <xdr:twoCellAnchor>
    <xdr:from>
      <xdr:col>1</xdr:col>
      <xdr:colOff>0</xdr:colOff>
      <xdr:row>30</xdr:row>
      <xdr:rowOff>76200</xdr:rowOff>
    </xdr:from>
    <xdr:to>
      <xdr:col>3</xdr:col>
      <xdr:colOff>381000</xdr:colOff>
      <xdr:row>35</xdr:row>
      <xdr:rowOff>38100</xdr:rowOff>
    </xdr:to>
    <xdr:sp macro="" textlink="">
      <xdr:nvSpPr>
        <xdr:cNvPr id="25" name="Rounded Rectangle 24"/>
        <xdr:cNvSpPr/>
      </xdr:nvSpPr>
      <xdr:spPr bwMode="auto">
        <a:xfrm>
          <a:off x="609600" y="5791200"/>
          <a:ext cx="1600200" cy="914400"/>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wrap="square" lIns="0" rIns="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fontAlgn="auto">
            <a:spcBef>
              <a:spcPts val="0"/>
            </a:spcBef>
            <a:spcAft>
              <a:spcPts val="0"/>
            </a:spcAft>
            <a:defRPr/>
          </a:pPr>
          <a:r>
            <a:rPr lang="en-US" sz="1900"/>
            <a:t>AIDS</a:t>
          </a:r>
          <a:endParaRPr lang="en-US" sz="1600"/>
        </a:p>
      </xdr:txBody>
    </xdr:sp>
    <xdr:clientData/>
  </xdr:twoCellAnchor>
  <xdr:twoCellAnchor>
    <xdr:from>
      <xdr:col>1</xdr:col>
      <xdr:colOff>6350</xdr:colOff>
      <xdr:row>7</xdr:row>
      <xdr:rowOff>63500</xdr:rowOff>
    </xdr:from>
    <xdr:to>
      <xdr:col>3</xdr:col>
      <xdr:colOff>387350</xdr:colOff>
      <xdr:row>11</xdr:row>
      <xdr:rowOff>161925</xdr:rowOff>
    </xdr:to>
    <xdr:sp macro="" textlink="">
      <xdr:nvSpPr>
        <xdr:cNvPr id="26" name="Rounded Rectangle 4"/>
        <xdr:cNvSpPr/>
      </xdr:nvSpPr>
      <xdr:spPr bwMode="auto">
        <a:xfrm>
          <a:off x="615950" y="1397000"/>
          <a:ext cx="1600200" cy="860425"/>
        </a:xfrm>
        <a:prstGeom prst="rect">
          <a:avLst/>
        </a:prstGeom>
      </xdr:spPr>
      <xdr:style>
        <a:lnRef idx="0">
          <a:scrgbClr r="0" g="0" b="0"/>
        </a:lnRef>
        <a:fillRef idx="0">
          <a:scrgbClr r="0" g="0" b="0"/>
        </a:fillRef>
        <a:effectRef idx="0">
          <a:scrgbClr r="0" g="0" b="0"/>
        </a:effectRef>
        <a:fontRef idx="minor">
          <a:schemeClr val="lt1"/>
        </a:fontRef>
      </xdr:style>
      <xdr:txBody>
        <a:bodyPr wrap="square" lIns="83820" tIns="83820" rIns="83820" bIns="83820"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77900" fontAlgn="auto">
            <a:lnSpc>
              <a:spcPct val="90000"/>
            </a:lnSpc>
            <a:spcBef>
              <a:spcPts val="0"/>
            </a:spcBef>
            <a:spcAft>
              <a:spcPct val="35000"/>
            </a:spcAft>
            <a:defRPr/>
          </a:pPr>
          <a:r>
            <a:rPr lang="en-US" sz="1900"/>
            <a:t>Asymptomatic</a:t>
          </a:r>
        </a:p>
      </xdr:txBody>
    </xdr:sp>
    <xdr:clientData/>
  </xdr:twoCellAnchor>
  <xdr:twoCellAnchor>
    <xdr:from>
      <xdr:col>3</xdr:col>
      <xdr:colOff>406368</xdr:colOff>
      <xdr:row>8</xdr:row>
      <xdr:rowOff>104775</xdr:rowOff>
    </xdr:from>
    <xdr:to>
      <xdr:col>11</xdr:col>
      <xdr:colOff>573056</xdr:colOff>
      <xdr:row>14</xdr:row>
      <xdr:rowOff>67596</xdr:rowOff>
    </xdr:to>
    <xdr:grpSp>
      <xdr:nvGrpSpPr>
        <xdr:cNvPr id="27" name="Group 26"/>
        <xdr:cNvGrpSpPr>
          <a:grpSpLocks/>
        </xdr:cNvGrpSpPr>
      </xdr:nvGrpSpPr>
      <xdr:grpSpPr bwMode="auto">
        <a:xfrm>
          <a:off x="2235168" y="1577975"/>
          <a:ext cx="5043488" cy="1067721"/>
          <a:chOff x="1992362" y="3270250"/>
          <a:chExt cx="5043614" cy="1105821"/>
        </a:xfrm>
      </xdr:grpSpPr>
      <xdr:grpSp>
        <xdr:nvGrpSpPr>
          <xdr:cNvPr id="34" name="Group 33"/>
          <xdr:cNvGrpSpPr>
            <a:grpSpLocks/>
          </xdr:cNvGrpSpPr>
        </xdr:nvGrpSpPr>
        <xdr:grpSpPr bwMode="auto">
          <a:xfrm>
            <a:off x="1992362" y="3270250"/>
            <a:ext cx="5043614" cy="644525"/>
            <a:chOff x="1992362" y="3270250"/>
            <a:chExt cx="5043614" cy="644525"/>
          </a:xfrm>
        </xdr:grpSpPr>
        <xdr:sp macro="" textlink="">
          <xdr:nvSpPr>
            <xdr:cNvPr id="43" name="Freeform 42"/>
            <xdr:cNvSpPr/>
          </xdr:nvSpPr>
          <xdr:spPr>
            <a:xfrm>
              <a:off x="1992362" y="3270250"/>
              <a:ext cx="838221" cy="644525"/>
            </a:xfrm>
            <a:custGeom>
              <a:avLst/>
              <a:gdLst>
                <a:gd name="connsiteX0" fmla="*/ 0 w 838265"/>
                <a:gd name="connsiteY0" fmla="*/ 64442 h 644416"/>
                <a:gd name="connsiteX1" fmla="*/ 18875 w 838265"/>
                <a:gd name="connsiteY1" fmla="*/ 18875 h 644416"/>
                <a:gd name="connsiteX2" fmla="*/ 64442 w 838265"/>
                <a:gd name="connsiteY2" fmla="*/ 0 h 644416"/>
                <a:gd name="connsiteX3" fmla="*/ 773823 w 838265"/>
                <a:gd name="connsiteY3" fmla="*/ 0 h 644416"/>
                <a:gd name="connsiteX4" fmla="*/ 819390 w 838265"/>
                <a:gd name="connsiteY4" fmla="*/ 18875 h 644416"/>
                <a:gd name="connsiteX5" fmla="*/ 838265 w 838265"/>
                <a:gd name="connsiteY5" fmla="*/ 64442 h 644416"/>
                <a:gd name="connsiteX6" fmla="*/ 838265 w 838265"/>
                <a:gd name="connsiteY6" fmla="*/ 579974 h 644416"/>
                <a:gd name="connsiteX7" fmla="*/ 819390 w 838265"/>
                <a:gd name="connsiteY7" fmla="*/ 625541 h 644416"/>
                <a:gd name="connsiteX8" fmla="*/ 773823 w 838265"/>
                <a:gd name="connsiteY8" fmla="*/ 644416 h 644416"/>
                <a:gd name="connsiteX9" fmla="*/ 64442 w 838265"/>
                <a:gd name="connsiteY9" fmla="*/ 644416 h 644416"/>
                <a:gd name="connsiteX10" fmla="*/ 18875 w 838265"/>
                <a:gd name="connsiteY10" fmla="*/ 625541 h 644416"/>
                <a:gd name="connsiteX11" fmla="*/ 0 w 838265"/>
                <a:gd name="connsiteY11" fmla="*/ 579974 h 644416"/>
                <a:gd name="connsiteX12" fmla="*/ 0 w 838265"/>
                <a:gd name="connsiteY12" fmla="*/ 64442 h 6444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838265" h="644416">
                  <a:moveTo>
                    <a:pt x="0" y="64442"/>
                  </a:moveTo>
                  <a:cubicBezTo>
                    <a:pt x="0" y="47351"/>
                    <a:pt x="6789" y="30960"/>
                    <a:pt x="18875" y="18875"/>
                  </a:cubicBezTo>
                  <a:cubicBezTo>
                    <a:pt x="30960" y="6790"/>
                    <a:pt x="47351" y="0"/>
                    <a:pt x="64442" y="0"/>
                  </a:cubicBezTo>
                  <a:lnTo>
                    <a:pt x="773823" y="0"/>
                  </a:lnTo>
                  <a:cubicBezTo>
                    <a:pt x="790914" y="0"/>
                    <a:pt x="807305" y="6789"/>
                    <a:pt x="819390" y="18875"/>
                  </a:cubicBezTo>
                  <a:cubicBezTo>
                    <a:pt x="831475" y="30960"/>
                    <a:pt x="838265" y="47351"/>
                    <a:pt x="838265" y="64442"/>
                  </a:cubicBezTo>
                  <a:lnTo>
                    <a:pt x="838265" y="579974"/>
                  </a:lnTo>
                  <a:cubicBezTo>
                    <a:pt x="838265" y="597065"/>
                    <a:pt x="831476" y="613456"/>
                    <a:pt x="819390" y="625541"/>
                  </a:cubicBezTo>
                  <a:cubicBezTo>
                    <a:pt x="807305" y="637626"/>
                    <a:pt x="790914" y="644416"/>
                    <a:pt x="773823" y="644416"/>
                  </a:cubicBezTo>
                  <a:lnTo>
                    <a:pt x="64442" y="644416"/>
                  </a:lnTo>
                  <a:cubicBezTo>
                    <a:pt x="47351" y="644416"/>
                    <a:pt x="30960" y="637627"/>
                    <a:pt x="18875" y="625541"/>
                  </a:cubicBezTo>
                  <a:cubicBezTo>
                    <a:pt x="6790" y="613456"/>
                    <a:pt x="0" y="597065"/>
                    <a:pt x="0" y="579974"/>
                  </a:cubicBezTo>
                  <a:lnTo>
                    <a:pt x="0" y="64442"/>
                  </a:lnTo>
                  <a:close/>
                </a:path>
              </a:pathLst>
            </a:custGeom>
            <a:solidFill>
              <a:schemeClr val="accent2"/>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wrap="square" lIns="83644" tIns="83644" rIns="83644" bIns="83644"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755650">
                <a:lnSpc>
                  <a:spcPct val="90000"/>
                </a:lnSpc>
                <a:spcAft>
                  <a:spcPct val="35000"/>
                </a:spcAft>
                <a:defRPr/>
              </a:pPr>
              <a:r>
                <a:rPr lang="en-US" sz="1600"/>
                <a:t>Not in care</a:t>
              </a:r>
            </a:p>
          </xdr:txBody>
        </xdr:sp>
        <xdr:sp macro="" textlink="">
          <xdr:nvSpPr>
            <xdr:cNvPr id="44" name="Freeform 43"/>
            <xdr:cNvSpPr/>
          </xdr:nvSpPr>
          <xdr:spPr>
            <a:xfrm>
              <a:off x="3181429" y="3489325"/>
              <a:ext cx="120653" cy="206375"/>
            </a:xfrm>
            <a:custGeom>
              <a:avLst/>
              <a:gdLst>
                <a:gd name="connsiteX0" fmla="*/ 0 w 121366"/>
                <a:gd name="connsiteY0" fmla="*/ 41578 h 207889"/>
                <a:gd name="connsiteX1" fmla="*/ 60683 w 121366"/>
                <a:gd name="connsiteY1" fmla="*/ 41578 h 207889"/>
                <a:gd name="connsiteX2" fmla="*/ 60683 w 121366"/>
                <a:gd name="connsiteY2" fmla="*/ 0 h 207889"/>
                <a:gd name="connsiteX3" fmla="*/ 121366 w 121366"/>
                <a:gd name="connsiteY3" fmla="*/ 103945 h 207889"/>
                <a:gd name="connsiteX4" fmla="*/ 60683 w 121366"/>
                <a:gd name="connsiteY4" fmla="*/ 207889 h 207889"/>
                <a:gd name="connsiteX5" fmla="*/ 60683 w 121366"/>
                <a:gd name="connsiteY5" fmla="*/ 166311 h 207889"/>
                <a:gd name="connsiteX6" fmla="*/ 0 w 121366"/>
                <a:gd name="connsiteY6" fmla="*/ 166311 h 207889"/>
                <a:gd name="connsiteX7" fmla="*/ 0 w 121366"/>
                <a:gd name="connsiteY7" fmla="*/ 41578 h 2078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21366" h="207889">
                  <a:moveTo>
                    <a:pt x="0" y="41578"/>
                  </a:moveTo>
                  <a:lnTo>
                    <a:pt x="60683" y="41578"/>
                  </a:lnTo>
                  <a:lnTo>
                    <a:pt x="60683" y="0"/>
                  </a:lnTo>
                  <a:lnTo>
                    <a:pt x="121366" y="103945"/>
                  </a:lnTo>
                  <a:lnTo>
                    <a:pt x="60683" y="207889"/>
                  </a:lnTo>
                  <a:lnTo>
                    <a:pt x="60683" y="166311"/>
                  </a:lnTo>
                  <a:lnTo>
                    <a:pt x="0" y="166311"/>
                  </a:lnTo>
                  <a:lnTo>
                    <a:pt x="0" y="41578"/>
                  </a:lnTo>
                  <a:close/>
                </a:path>
              </a:pathLst>
            </a:custGeom>
            <a:noFill/>
          </xdr:spPr>
          <xdr:style>
            <a:lnRef idx="0">
              <a:schemeClr val="accent1">
                <a:tint val="60000"/>
                <a:hueOff val="0"/>
                <a:satOff val="0"/>
                <a:lumOff val="0"/>
                <a:alphaOff val="0"/>
              </a:schemeClr>
            </a:lnRef>
            <a:fillRef idx="1">
              <a:scrgbClr r="0" g="0" b="0"/>
            </a:fillRef>
            <a:effectRef idx="0">
              <a:schemeClr val="accent1">
                <a:tint val="60000"/>
                <a:hueOff val="0"/>
                <a:satOff val="0"/>
                <a:lumOff val="0"/>
                <a:alphaOff val="0"/>
              </a:schemeClr>
            </a:effectRef>
            <a:fontRef idx="minor">
              <a:schemeClr val="lt1"/>
            </a:fontRef>
          </xdr:style>
          <xdr:txBody>
            <a:bodyPr wrap="square" lIns="0" tIns="41578" rIns="36410" bIns="41578"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755650">
                <a:lnSpc>
                  <a:spcPct val="90000"/>
                </a:lnSpc>
                <a:spcAft>
                  <a:spcPct val="35000"/>
                </a:spcAft>
                <a:defRPr/>
              </a:pPr>
              <a:endParaRPr lang="en-US" sz="1600"/>
            </a:p>
          </xdr:txBody>
        </xdr:sp>
        <xdr:sp macro="" textlink="">
          <xdr:nvSpPr>
            <xdr:cNvPr id="45" name="Freeform 44"/>
            <xdr:cNvSpPr/>
          </xdr:nvSpPr>
          <xdr:spPr>
            <a:xfrm>
              <a:off x="3138566" y="3270250"/>
              <a:ext cx="838221" cy="644525"/>
            </a:xfrm>
            <a:custGeom>
              <a:avLst/>
              <a:gdLst>
                <a:gd name="connsiteX0" fmla="*/ 0 w 838265"/>
                <a:gd name="connsiteY0" fmla="*/ 64442 h 644416"/>
                <a:gd name="connsiteX1" fmla="*/ 18875 w 838265"/>
                <a:gd name="connsiteY1" fmla="*/ 18875 h 644416"/>
                <a:gd name="connsiteX2" fmla="*/ 64442 w 838265"/>
                <a:gd name="connsiteY2" fmla="*/ 0 h 644416"/>
                <a:gd name="connsiteX3" fmla="*/ 773823 w 838265"/>
                <a:gd name="connsiteY3" fmla="*/ 0 h 644416"/>
                <a:gd name="connsiteX4" fmla="*/ 819390 w 838265"/>
                <a:gd name="connsiteY4" fmla="*/ 18875 h 644416"/>
                <a:gd name="connsiteX5" fmla="*/ 838265 w 838265"/>
                <a:gd name="connsiteY5" fmla="*/ 64442 h 644416"/>
                <a:gd name="connsiteX6" fmla="*/ 838265 w 838265"/>
                <a:gd name="connsiteY6" fmla="*/ 579974 h 644416"/>
                <a:gd name="connsiteX7" fmla="*/ 819390 w 838265"/>
                <a:gd name="connsiteY7" fmla="*/ 625541 h 644416"/>
                <a:gd name="connsiteX8" fmla="*/ 773823 w 838265"/>
                <a:gd name="connsiteY8" fmla="*/ 644416 h 644416"/>
                <a:gd name="connsiteX9" fmla="*/ 64442 w 838265"/>
                <a:gd name="connsiteY9" fmla="*/ 644416 h 644416"/>
                <a:gd name="connsiteX10" fmla="*/ 18875 w 838265"/>
                <a:gd name="connsiteY10" fmla="*/ 625541 h 644416"/>
                <a:gd name="connsiteX11" fmla="*/ 0 w 838265"/>
                <a:gd name="connsiteY11" fmla="*/ 579974 h 644416"/>
                <a:gd name="connsiteX12" fmla="*/ 0 w 838265"/>
                <a:gd name="connsiteY12" fmla="*/ 64442 h 6444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838265" h="644416">
                  <a:moveTo>
                    <a:pt x="0" y="64442"/>
                  </a:moveTo>
                  <a:cubicBezTo>
                    <a:pt x="0" y="47351"/>
                    <a:pt x="6789" y="30960"/>
                    <a:pt x="18875" y="18875"/>
                  </a:cubicBezTo>
                  <a:cubicBezTo>
                    <a:pt x="30960" y="6790"/>
                    <a:pt x="47351" y="0"/>
                    <a:pt x="64442" y="0"/>
                  </a:cubicBezTo>
                  <a:lnTo>
                    <a:pt x="773823" y="0"/>
                  </a:lnTo>
                  <a:cubicBezTo>
                    <a:pt x="790914" y="0"/>
                    <a:pt x="807305" y="6789"/>
                    <a:pt x="819390" y="18875"/>
                  </a:cubicBezTo>
                  <a:cubicBezTo>
                    <a:pt x="831475" y="30960"/>
                    <a:pt x="838265" y="47351"/>
                    <a:pt x="838265" y="64442"/>
                  </a:cubicBezTo>
                  <a:lnTo>
                    <a:pt x="838265" y="579974"/>
                  </a:lnTo>
                  <a:cubicBezTo>
                    <a:pt x="838265" y="597065"/>
                    <a:pt x="831476" y="613456"/>
                    <a:pt x="819390" y="625541"/>
                  </a:cubicBezTo>
                  <a:cubicBezTo>
                    <a:pt x="807305" y="637626"/>
                    <a:pt x="790914" y="644416"/>
                    <a:pt x="773823" y="644416"/>
                  </a:cubicBezTo>
                  <a:lnTo>
                    <a:pt x="64442" y="644416"/>
                  </a:lnTo>
                  <a:cubicBezTo>
                    <a:pt x="47351" y="644416"/>
                    <a:pt x="30960" y="637627"/>
                    <a:pt x="18875" y="625541"/>
                  </a:cubicBezTo>
                  <a:cubicBezTo>
                    <a:pt x="6790" y="613456"/>
                    <a:pt x="0" y="597065"/>
                    <a:pt x="0" y="579974"/>
                  </a:cubicBezTo>
                  <a:lnTo>
                    <a:pt x="0" y="64442"/>
                  </a:lnTo>
                  <a:close/>
                </a:path>
              </a:pathLst>
            </a:custGeom>
            <a:solidFill>
              <a:schemeClr val="accent2"/>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wrap="square" lIns="18874" tIns="83644" rIns="18874" bIns="83644"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755650">
                <a:lnSpc>
                  <a:spcPct val="90000"/>
                </a:lnSpc>
                <a:spcAft>
                  <a:spcPct val="35000"/>
                </a:spcAft>
                <a:defRPr/>
              </a:pPr>
              <a:r>
                <a:rPr lang="en-US" sz="1600"/>
                <a:t>In care, off ART</a:t>
              </a:r>
            </a:p>
          </xdr:txBody>
        </xdr:sp>
        <xdr:sp macro="" textlink="">
          <xdr:nvSpPr>
            <xdr:cNvPr id="46" name="Freeform 45"/>
            <xdr:cNvSpPr/>
          </xdr:nvSpPr>
          <xdr:spPr>
            <a:xfrm>
              <a:off x="4248256" y="3489325"/>
              <a:ext cx="120653" cy="206375"/>
            </a:xfrm>
            <a:custGeom>
              <a:avLst/>
              <a:gdLst>
                <a:gd name="connsiteX0" fmla="*/ 0 w 121123"/>
                <a:gd name="connsiteY0" fmla="*/ 41578 h 207889"/>
                <a:gd name="connsiteX1" fmla="*/ 60562 w 121123"/>
                <a:gd name="connsiteY1" fmla="*/ 41578 h 207889"/>
                <a:gd name="connsiteX2" fmla="*/ 60562 w 121123"/>
                <a:gd name="connsiteY2" fmla="*/ 0 h 207889"/>
                <a:gd name="connsiteX3" fmla="*/ 121123 w 121123"/>
                <a:gd name="connsiteY3" fmla="*/ 103945 h 207889"/>
                <a:gd name="connsiteX4" fmla="*/ 60562 w 121123"/>
                <a:gd name="connsiteY4" fmla="*/ 207889 h 207889"/>
                <a:gd name="connsiteX5" fmla="*/ 60562 w 121123"/>
                <a:gd name="connsiteY5" fmla="*/ 166311 h 207889"/>
                <a:gd name="connsiteX6" fmla="*/ 0 w 121123"/>
                <a:gd name="connsiteY6" fmla="*/ 166311 h 207889"/>
                <a:gd name="connsiteX7" fmla="*/ 0 w 121123"/>
                <a:gd name="connsiteY7" fmla="*/ 41578 h 2078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21123" h="207889">
                  <a:moveTo>
                    <a:pt x="0" y="41578"/>
                  </a:moveTo>
                  <a:lnTo>
                    <a:pt x="60562" y="41578"/>
                  </a:lnTo>
                  <a:lnTo>
                    <a:pt x="60562" y="0"/>
                  </a:lnTo>
                  <a:lnTo>
                    <a:pt x="121123" y="103945"/>
                  </a:lnTo>
                  <a:lnTo>
                    <a:pt x="60562" y="207889"/>
                  </a:lnTo>
                  <a:lnTo>
                    <a:pt x="60562" y="166311"/>
                  </a:lnTo>
                  <a:lnTo>
                    <a:pt x="0" y="166311"/>
                  </a:lnTo>
                  <a:lnTo>
                    <a:pt x="0" y="41578"/>
                  </a:lnTo>
                  <a:close/>
                </a:path>
              </a:pathLst>
            </a:custGeom>
            <a:noFill/>
          </xdr:spPr>
          <xdr:style>
            <a:lnRef idx="0">
              <a:schemeClr val="accent1">
                <a:tint val="60000"/>
                <a:hueOff val="0"/>
                <a:satOff val="0"/>
                <a:lumOff val="0"/>
                <a:alphaOff val="0"/>
              </a:schemeClr>
            </a:lnRef>
            <a:fillRef idx="1">
              <a:scrgbClr r="0" g="0" b="0"/>
            </a:fillRef>
            <a:effectRef idx="0">
              <a:schemeClr val="accent1">
                <a:tint val="60000"/>
                <a:hueOff val="0"/>
                <a:satOff val="0"/>
                <a:lumOff val="0"/>
                <a:alphaOff val="0"/>
              </a:schemeClr>
            </a:effectRef>
            <a:fontRef idx="minor">
              <a:schemeClr val="lt1"/>
            </a:fontRef>
          </xdr:style>
          <xdr:txBody>
            <a:bodyPr wrap="square" lIns="0" tIns="41578" rIns="36337" bIns="41578"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755650">
                <a:lnSpc>
                  <a:spcPct val="90000"/>
                </a:lnSpc>
                <a:spcAft>
                  <a:spcPct val="35000"/>
                </a:spcAft>
                <a:defRPr/>
              </a:pPr>
              <a:endParaRPr lang="en-US" sz="1600"/>
            </a:p>
          </xdr:txBody>
        </xdr:sp>
        <xdr:sp macro="" textlink="">
          <xdr:nvSpPr>
            <xdr:cNvPr id="47" name="Freeform 46"/>
            <xdr:cNvSpPr/>
          </xdr:nvSpPr>
          <xdr:spPr>
            <a:xfrm>
              <a:off x="5448436" y="3489325"/>
              <a:ext cx="403235" cy="206375"/>
            </a:xfrm>
            <a:custGeom>
              <a:avLst/>
              <a:gdLst>
                <a:gd name="connsiteX0" fmla="*/ 0 w 403860"/>
                <a:gd name="connsiteY0" fmla="*/ 41578 h 207889"/>
                <a:gd name="connsiteX1" fmla="*/ 299916 w 403860"/>
                <a:gd name="connsiteY1" fmla="*/ 41578 h 207889"/>
                <a:gd name="connsiteX2" fmla="*/ 299916 w 403860"/>
                <a:gd name="connsiteY2" fmla="*/ 0 h 207889"/>
                <a:gd name="connsiteX3" fmla="*/ 403860 w 403860"/>
                <a:gd name="connsiteY3" fmla="*/ 103945 h 207889"/>
                <a:gd name="connsiteX4" fmla="*/ 299916 w 403860"/>
                <a:gd name="connsiteY4" fmla="*/ 207889 h 207889"/>
                <a:gd name="connsiteX5" fmla="*/ 299916 w 403860"/>
                <a:gd name="connsiteY5" fmla="*/ 166311 h 207889"/>
                <a:gd name="connsiteX6" fmla="*/ 0 w 403860"/>
                <a:gd name="connsiteY6" fmla="*/ 166311 h 207889"/>
                <a:gd name="connsiteX7" fmla="*/ 0 w 403860"/>
                <a:gd name="connsiteY7" fmla="*/ 41578 h 2078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403860" h="207889">
                  <a:moveTo>
                    <a:pt x="0" y="41578"/>
                  </a:moveTo>
                  <a:lnTo>
                    <a:pt x="299916" y="41578"/>
                  </a:lnTo>
                  <a:lnTo>
                    <a:pt x="299916" y="0"/>
                  </a:lnTo>
                  <a:lnTo>
                    <a:pt x="403860" y="103945"/>
                  </a:lnTo>
                  <a:lnTo>
                    <a:pt x="299916" y="207889"/>
                  </a:lnTo>
                  <a:lnTo>
                    <a:pt x="299916" y="166311"/>
                  </a:lnTo>
                  <a:lnTo>
                    <a:pt x="0" y="166311"/>
                  </a:lnTo>
                  <a:lnTo>
                    <a:pt x="0" y="41578"/>
                  </a:lnTo>
                  <a:close/>
                </a:path>
              </a:pathLst>
            </a:custGeom>
            <a:noFill/>
          </xdr:spPr>
          <xdr:style>
            <a:lnRef idx="0">
              <a:schemeClr val="accent1">
                <a:tint val="60000"/>
                <a:hueOff val="0"/>
                <a:satOff val="0"/>
                <a:lumOff val="0"/>
                <a:alphaOff val="0"/>
              </a:schemeClr>
            </a:lnRef>
            <a:fillRef idx="1">
              <a:scrgbClr r="0" g="0" b="0"/>
            </a:fillRef>
            <a:effectRef idx="0">
              <a:schemeClr val="accent1">
                <a:tint val="60000"/>
                <a:hueOff val="0"/>
                <a:satOff val="0"/>
                <a:lumOff val="0"/>
                <a:alphaOff val="0"/>
              </a:schemeClr>
            </a:effectRef>
            <a:fontRef idx="minor">
              <a:schemeClr val="lt1"/>
            </a:fontRef>
          </xdr:style>
          <xdr:txBody>
            <a:bodyPr wrap="square" lIns="0" tIns="41578" rIns="62367" bIns="41578"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755650">
                <a:lnSpc>
                  <a:spcPct val="90000"/>
                </a:lnSpc>
                <a:spcAft>
                  <a:spcPct val="35000"/>
                </a:spcAft>
                <a:defRPr/>
              </a:pPr>
              <a:endParaRPr lang="en-US" sz="1600"/>
            </a:p>
          </xdr:txBody>
        </xdr:sp>
        <xdr:sp macro="" textlink="">
          <xdr:nvSpPr>
            <xdr:cNvPr id="48" name="Freeform 47"/>
            <xdr:cNvSpPr/>
          </xdr:nvSpPr>
          <xdr:spPr>
            <a:xfrm>
              <a:off x="6915323" y="3489325"/>
              <a:ext cx="120653" cy="206375"/>
            </a:xfrm>
            <a:custGeom>
              <a:avLst/>
              <a:gdLst>
                <a:gd name="connsiteX0" fmla="*/ 0 w 121123"/>
                <a:gd name="connsiteY0" fmla="*/ 41578 h 207889"/>
                <a:gd name="connsiteX1" fmla="*/ 60562 w 121123"/>
                <a:gd name="connsiteY1" fmla="*/ 41578 h 207889"/>
                <a:gd name="connsiteX2" fmla="*/ 60562 w 121123"/>
                <a:gd name="connsiteY2" fmla="*/ 0 h 207889"/>
                <a:gd name="connsiteX3" fmla="*/ 121123 w 121123"/>
                <a:gd name="connsiteY3" fmla="*/ 103945 h 207889"/>
                <a:gd name="connsiteX4" fmla="*/ 60562 w 121123"/>
                <a:gd name="connsiteY4" fmla="*/ 207889 h 207889"/>
                <a:gd name="connsiteX5" fmla="*/ 60562 w 121123"/>
                <a:gd name="connsiteY5" fmla="*/ 166311 h 207889"/>
                <a:gd name="connsiteX6" fmla="*/ 0 w 121123"/>
                <a:gd name="connsiteY6" fmla="*/ 166311 h 207889"/>
                <a:gd name="connsiteX7" fmla="*/ 0 w 121123"/>
                <a:gd name="connsiteY7" fmla="*/ 41578 h 2078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21123" h="207889">
                  <a:moveTo>
                    <a:pt x="0" y="41578"/>
                  </a:moveTo>
                  <a:lnTo>
                    <a:pt x="60562" y="41578"/>
                  </a:lnTo>
                  <a:lnTo>
                    <a:pt x="60562" y="0"/>
                  </a:lnTo>
                  <a:lnTo>
                    <a:pt x="121123" y="103945"/>
                  </a:lnTo>
                  <a:lnTo>
                    <a:pt x="60562" y="207889"/>
                  </a:lnTo>
                  <a:lnTo>
                    <a:pt x="60562" y="166311"/>
                  </a:lnTo>
                  <a:lnTo>
                    <a:pt x="0" y="166311"/>
                  </a:lnTo>
                  <a:lnTo>
                    <a:pt x="0" y="41578"/>
                  </a:lnTo>
                  <a:close/>
                </a:path>
              </a:pathLst>
            </a:custGeom>
            <a:noFill/>
          </xdr:spPr>
          <xdr:style>
            <a:lnRef idx="0">
              <a:schemeClr val="accent1">
                <a:tint val="60000"/>
                <a:hueOff val="0"/>
                <a:satOff val="0"/>
                <a:lumOff val="0"/>
                <a:alphaOff val="0"/>
              </a:schemeClr>
            </a:lnRef>
            <a:fillRef idx="1">
              <a:scrgbClr r="0" g="0" b="0"/>
            </a:fillRef>
            <a:effectRef idx="0">
              <a:schemeClr val="accent1">
                <a:tint val="60000"/>
                <a:hueOff val="0"/>
                <a:satOff val="0"/>
                <a:lumOff val="0"/>
                <a:alphaOff val="0"/>
              </a:schemeClr>
            </a:effectRef>
            <a:fontRef idx="minor">
              <a:schemeClr val="lt1"/>
            </a:fontRef>
          </xdr:style>
          <xdr:txBody>
            <a:bodyPr wrap="square" lIns="0" tIns="41578" rIns="36337" bIns="41578"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755650">
                <a:lnSpc>
                  <a:spcPct val="90000"/>
                </a:lnSpc>
                <a:spcAft>
                  <a:spcPct val="35000"/>
                </a:spcAft>
                <a:defRPr/>
              </a:pPr>
              <a:endParaRPr lang="en-US" sz="1600"/>
            </a:p>
          </xdr:txBody>
        </xdr:sp>
        <xdr:sp macro="" textlink="">
          <xdr:nvSpPr>
            <xdr:cNvPr id="49" name="Freeform 48"/>
            <xdr:cNvSpPr/>
          </xdr:nvSpPr>
          <xdr:spPr>
            <a:xfrm>
              <a:off x="4343290" y="3270250"/>
              <a:ext cx="838221" cy="644525"/>
            </a:xfrm>
            <a:custGeom>
              <a:avLst/>
              <a:gdLst>
                <a:gd name="connsiteX0" fmla="*/ 0 w 838265"/>
                <a:gd name="connsiteY0" fmla="*/ 64442 h 644416"/>
                <a:gd name="connsiteX1" fmla="*/ 18875 w 838265"/>
                <a:gd name="connsiteY1" fmla="*/ 18875 h 644416"/>
                <a:gd name="connsiteX2" fmla="*/ 64442 w 838265"/>
                <a:gd name="connsiteY2" fmla="*/ 0 h 644416"/>
                <a:gd name="connsiteX3" fmla="*/ 773823 w 838265"/>
                <a:gd name="connsiteY3" fmla="*/ 0 h 644416"/>
                <a:gd name="connsiteX4" fmla="*/ 819390 w 838265"/>
                <a:gd name="connsiteY4" fmla="*/ 18875 h 644416"/>
                <a:gd name="connsiteX5" fmla="*/ 838265 w 838265"/>
                <a:gd name="connsiteY5" fmla="*/ 64442 h 644416"/>
                <a:gd name="connsiteX6" fmla="*/ 838265 w 838265"/>
                <a:gd name="connsiteY6" fmla="*/ 579974 h 644416"/>
                <a:gd name="connsiteX7" fmla="*/ 819390 w 838265"/>
                <a:gd name="connsiteY7" fmla="*/ 625541 h 644416"/>
                <a:gd name="connsiteX8" fmla="*/ 773823 w 838265"/>
                <a:gd name="connsiteY8" fmla="*/ 644416 h 644416"/>
                <a:gd name="connsiteX9" fmla="*/ 64442 w 838265"/>
                <a:gd name="connsiteY9" fmla="*/ 644416 h 644416"/>
                <a:gd name="connsiteX10" fmla="*/ 18875 w 838265"/>
                <a:gd name="connsiteY10" fmla="*/ 625541 h 644416"/>
                <a:gd name="connsiteX11" fmla="*/ 0 w 838265"/>
                <a:gd name="connsiteY11" fmla="*/ 579974 h 644416"/>
                <a:gd name="connsiteX12" fmla="*/ 0 w 838265"/>
                <a:gd name="connsiteY12" fmla="*/ 64442 h 6444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838265" h="644416">
                  <a:moveTo>
                    <a:pt x="0" y="64442"/>
                  </a:moveTo>
                  <a:cubicBezTo>
                    <a:pt x="0" y="47351"/>
                    <a:pt x="6789" y="30960"/>
                    <a:pt x="18875" y="18875"/>
                  </a:cubicBezTo>
                  <a:cubicBezTo>
                    <a:pt x="30960" y="6790"/>
                    <a:pt x="47351" y="0"/>
                    <a:pt x="64442" y="0"/>
                  </a:cubicBezTo>
                  <a:lnTo>
                    <a:pt x="773823" y="0"/>
                  </a:lnTo>
                  <a:cubicBezTo>
                    <a:pt x="790914" y="0"/>
                    <a:pt x="807305" y="6789"/>
                    <a:pt x="819390" y="18875"/>
                  </a:cubicBezTo>
                  <a:cubicBezTo>
                    <a:pt x="831475" y="30960"/>
                    <a:pt x="838265" y="47351"/>
                    <a:pt x="838265" y="64442"/>
                  </a:cubicBezTo>
                  <a:lnTo>
                    <a:pt x="838265" y="579974"/>
                  </a:lnTo>
                  <a:cubicBezTo>
                    <a:pt x="838265" y="597065"/>
                    <a:pt x="831476" y="613456"/>
                    <a:pt x="819390" y="625541"/>
                  </a:cubicBezTo>
                  <a:cubicBezTo>
                    <a:pt x="807305" y="637626"/>
                    <a:pt x="790914" y="644416"/>
                    <a:pt x="773823" y="644416"/>
                  </a:cubicBezTo>
                  <a:lnTo>
                    <a:pt x="64442" y="644416"/>
                  </a:lnTo>
                  <a:cubicBezTo>
                    <a:pt x="47351" y="644416"/>
                    <a:pt x="30960" y="637627"/>
                    <a:pt x="18875" y="625541"/>
                  </a:cubicBezTo>
                  <a:cubicBezTo>
                    <a:pt x="6790" y="613456"/>
                    <a:pt x="0" y="597065"/>
                    <a:pt x="0" y="579974"/>
                  </a:cubicBezTo>
                  <a:lnTo>
                    <a:pt x="0" y="64442"/>
                  </a:lnTo>
                  <a:close/>
                </a:path>
              </a:pathLst>
            </a:custGeom>
            <a:solidFill>
              <a:schemeClr val="accent2"/>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wrap="square" lIns="83644" tIns="83644" rIns="83644" bIns="83644"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755650">
                <a:lnSpc>
                  <a:spcPct val="90000"/>
                </a:lnSpc>
                <a:spcAft>
                  <a:spcPct val="35000"/>
                </a:spcAft>
                <a:defRPr/>
              </a:pPr>
              <a:r>
                <a:rPr lang="en-US" sz="1600"/>
                <a:t>Lost</a:t>
              </a:r>
            </a:p>
          </xdr:txBody>
        </xdr:sp>
        <xdr:sp macro="" textlink="">
          <xdr:nvSpPr>
            <xdr:cNvPr id="50" name="Freeform 49"/>
            <xdr:cNvSpPr/>
          </xdr:nvSpPr>
          <xdr:spPr>
            <a:xfrm>
              <a:off x="5562516" y="3270250"/>
              <a:ext cx="838221" cy="644525"/>
            </a:xfrm>
            <a:custGeom>
              <a:avLst/>
              <a:gdLst>
                <a:gd name="connsiteX0" fmla="*/ 0 w 838265"/>
                <a:gd name="connsiteY0" fmla="*/ 64442 h 644416"/>
                <a:gd name="connsiteX1" fmla="*/ 18875 w 838265"/>
                <a:gd name="connsiteY1" fmla="*/ 18875 h 644416"/>
                <a:gd name="connsiteX2" fmla="*/ 64442 w 838265"/>
                <a:gd name="connsiteY2" fmla="*/ 0 h 644416"/>
                <a:gd name="connsiteX3" fmla="*/ 773823 w 838265"/>
                <a:gd name="connsiteY3" fmla="*/ 0 h 644416"/>
                <a:gd name="connsiteX4" fmla="*/ 819390 w 838265"/>
                <a:gd name="connsiteY4" fmla="*/ 18875 h 644416"/>
                <a:gd name="connsiteX5" fmla="*/ 838265 w 838265"/>
                <a:gd name="connsiteY5" fmla="*/ 64442 h 644416"/>
                <a:gd name="connsiteX6" fmla="*/ 838265 w 838265"/>
                <a:gd name="connsiteY6" fmla="*/ 579974 h 644416"/>
                <a:gd name="connsiteX7" fmla="*/ 819390 w 838265"/>
                <a:gd name="connsiteY7" fmla="*/ 625541 h 644416"/>
                <a:gd name="connsiteX8" fmla="*/ 773823 w 838265"/>
                <a:gd name="connsiteY8" fmla="*/ 644416 h 644416"/>
                <a:gd name="connsiteX9" fmla="*/ 64442 w 838265"/>
                <a:gd name="connsiteY9" fmla="*/ 644416 h 644416"/>
                <a:gd name="connsiteX10" fmla="*/ 18875 w 838265"/>
                <a:gd name="connsiteY10" fmla="*/ 625541 h 644416"/>
                <a:gd name="connsiteX11" fmla="*/ 0 w 838265"/>
                <a:gd name="connsiteY11" fmla="*/ 579974 h 644416"/>
                <a:gd name="connsiteX12" fmla="*/ 0 w 838265"/>
                <a:gd name="connsiteY12" fmla="*/ 64442 h 6444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838265" h="644416">
                  <a:moveTo>
                    <a:pt x="0" y="64442"/>
                  </a:moveTo>
                  <a:cubicBezTo>
                    <a:pt x="0" y="47351"/>
                    <a:pt x="6789" y="30960"/>
                    <a:pt x="18875" y="18875"/>
                  </a:cubicBezTo>
                  <a:cubicBezTo>
                    <a:pt x="30960" y="6790"/>
                    <a:pt x="47351" y="0"/>
                    <a:pt x="64442" y="0"/>
                  </a:cubicBezTo>
                  <a:lnTo>
                    <a:pt x="773823" y="0"/>
                  </a:lnTo>
                  <a:cubicBezTo>
                    <a:pt x="790914" y="0"/>
                    <a:pt x="807305" y="6789"/>
                    <a:pt x="819390" y="18875"/>
                  </a:cubicBezTo>
                  <a:cubicBezTo>
                    <a:pt x="831475" y="30960"/>
                    <a:pt x="838265" y="47351"/>
                    <a:pt x="838265" y="64442"/>
                  </a:cubicBezTo>
                  <a:lnTo>
                    <a:pt x="838265" y="579974"/>
                  </a:lnTo>
                  <a:cubicBezTo>
                    <a:pt x="838265" y="597065"/>
                    <a:pt x="831476" y="613456"/>
                    <a:pt x="819390" y="625541"/>
                  </a:cubicBezTo>
                  <a:cubicBezTo>
                    <a:pt x="807305" y="637626"/>
                    <a:pt x="790914" y="644416"/>
                    <a:pt x="773823" y="644416"/>
                  </a:cubicBezTo>
                  <a:lnTo>
                    <a:pt x="64442" y="644416"/>
                  </a:lnTo>
                  <a:cubicBezTo>
                    <a:pt x="47351" y="644416"/>
                    <a:pt x="30960" y="637627"/>
                    <a:pt x="18875" y="625541"/>
                  </a:cubicBezTo>
                  <a:cubicBezTo>
                    <a:pt x="6790" y="613456"/>
                    <a:pt x="0" y="597065"/>
                    <a:pt x="0" y="579974"/>
                  </a:cubicBezTo>
                  <a:lnTo>
                    <a:pt x="0" y="64442"/>
                  </a:lnTo>
                  <a:close/>
                </a:path>
              </a:pathLst>
            </a:custGeom>
            <a:solidFill>
              <a:schemeClr val="accent2"/>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wrap="square" lIns="83644" tIns="83644" rIns="83644" bIns="83644" spcCol="127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755650">
                <a:lnSpc>
                  <a:spcPct val="90000"/>
                </a:lnSpc>
                <a:spcAft>
                  <a:spcPct val="35000"/>
                </a:spcAft>
                <a:defRPr/>
              </a:pPr>
              <a:r>
                <a:rPr lang="en-US" sz="1600"/>
                <a:t>Dead</a:t>
              </a:r>
            </a:p>
          </xdr:txBody>
        </xdr:sp>
      </xdr:grpSp>
      <xdr:grpSp>
        <xdr:nvGrpSpPr>
          <xdr:cNvPr id="35" name="Group 34"/>
          <xdr:cNvGrpSpPr>
            <a:grpSpLocks/>
          </xdr:cNvGrpSpPr>
        </xdr:nvGrpSpPr>
        <xdr:grpSpPr bwMode="auto">
          <a:xfrm>
            <a:off x="2455700" y="3657600"/>
            <a:ext cx="3564027" cy="718471"/>
            <a:chOff x="2455700" y="3657600"/>
            <a:chExt cx="3564027" cy="718471"/>
          </a:xfrm>
        </xdr:grpSpPr>
        <xdr:grpSp>
          <xdr:nvGrpSpPr>
            <xdr:cNvPr id="36" name="Group 35"/>
            <xdr:cNvGrpSpPr>
              <a:grpSpLocks/>
            </xdr:cNvGrpSpPr>
          </xdr:nvGrpSpPr>
          <xdr:grpSpPr bwMode="auto">
            <a:xfrm>
              <a:off x="2848045" y="3657600"/>
              <a:ext cx="2639856" cy="1588"/>
              <a:chOff x="2848045" y="3657600"/>
              <a:chExt cx="2639856" cy="1588"/>
            </a:xfrm>
          </xdr:grpSpPr>
          <xdr:cxnSp macro="">
            <xdr:nvCxnSpPr>
              <xdr:cNvPr id="40" name="Straight Arrow Connector 39"/>
              <xdr:cNvCxnSpPr/>
            </xdr:nvCxnSpPr>
            <xdr:spPr bwMode="auto">
              <a:xfrm>
                <a:off x="2848045" y="3657600"/>
                <a:ext cx="274645"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41" name="Straight Arrow Connector 40"/>
              <xdr:cNvCxnSpPr/>
            </xdr:nvCxnSpPr>
            <xdr:spPr bwMode="auto">
              <a:xfrm>
                <a:off x="4006726" y="3657600"/>
                <a:ext cx="274645"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42" name="Straight Arrow Connector 41"/>
              <xdr:cNvCxnSpPr/>
            </xdr:nvCxnSpPr>
            <xdr:spPr bwMode="auto">
              <a:xfrm>
                <a:off x="5213256" y="3657600"/>
                <a:ext cx="274645"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grpSp>
        <xdr:grpSp>
          <xdr:nvGrpSpPr>
            <xdr:cNvPr id="37" name="Group 36"/>
            <xdr:cNvGrpSpPr>
              <a:grpSpLocks/>
            </xdr:cNvGrpSpPr>
          </xdr:nvGrpSpPr>
          <xdr:grpSpPr bwMode="auto">
            <a:xfrm>
              <a:off x="2455700" y="3963321"/>
              <a:ext cx="3564027" cy="412750"/>
              <a:chOff x="2455700" y="3992349"/>
              <a:chExt cx="3564027" cy="412750"/>
            </a:xfrm>
          </xdr:grpSpPr>
          <xdr:sp macro="" textlink="">
            <xdr:nvSpPr>
              <xdr:cNvPr id="38" name="Freeform 37"/>
              <xdr:cNvSpPr/>
            </xdr:nvSpPr>
            <xdr:spPr bwMode="auto">
              <a:xfrm flipV="1">
                <a:off x="2455700" y="4000287"/>
                <a:ext cx="3215561" cy="404812"/>
              </a:xfrm>
              <a:custGeom>
                <a:avLst/>
                <a:gdLst>
                  <a:gd name="connsiteX0" fmla="*/ 0 w 4122295"/>
                  <a:gd name="connsiteY0" fmla="*/ 262328 h 307299"/>
                  <a:gd name="connsiteX1" fmla="*/ 2098623 w 4122295"/>
                  <a:gd name="connsiteY1" fmla="*/ 7495 h 307299"/>
                  <a:gd name="connsiteX2" fmla="*/ 4122295 w 4122295"/>
                  <a:gd name="connsiteY2" fmla="*/ 307299 h 307299"/>
                  <a:gd name="connsiteX3" fmla="*/ 4122295 w 4122295"/>
                  <a:gd name="connsiteY3" fmla="*/ 307299 h 307299"/>
                  <a:gd name="connsiteX4" fmla="*/ 4122295 w 4122295"/>
                  <a:gd name="connsiteY4" fmla="*/ 307299 h 3072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22295" h="307299">
                    <a:moveTo>
                      <a:pt x="0" y="262328"/>
                    </a:moveTo>
                    <a:cubicBezTo>
                      <a:pt x="705787" y="131164"/>
                      <a:pt x="1411574" y="0"/>
                      <a:pt x="2098623" y="7495"/>
                    </a:cubicBezTo>
                    <a:cubicBezTo>
                      <a:pt x="2785672" y="14990"/>
                      <a:pt x="4122295" y="307299"/>
                      <a:pt x="4122295" y="307299"/>
                    </a:cubicBezTo>
                    <a:lnTo>
                      <a:pt x="4122295" y="307299"/>
                    </a:lnTo>
                    <a:lnTo>
                      <a:pt x="4122295" y="307299"/>
                    </a:lnTo>
                  </a:path>
                </a:pathLst>
              </a:custGeom>
              <a:ln>
                <a:tailEnd type="arrow" w="lg" len="med"/>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auto">
                  <a:spcBef>
                    <a:spcPts val="0"/>
                  </a:spcBef>
                  <a:spcAft>
                    <a:spcPts val="0"/>
                  </a:spcAft>
                  <a:defRPr/>
                </a:pPr>
                <a:endParaRPr lang="en-US"/>
              </a:p>
            </xdr:txBody>
          </xdr:sp>
          <xdr:sp macro="" textlink="">
            <xdr:nvSpPr>
              <xdr:cNvPr id="39" name="Freeform 38"/>
              <xdr:cNvSpPr/>
            </xdr:nvSpPr>
            <xdr:spPr bwMode="auto">
              <a:xfrm flipV="1">
                <a:off x="3505287" y="3992349"/>
                <a:ext cx="2514440" cy="381000"/>
              </a:xfrm>
              <a:custGeom>
                <a:avLst/>
                <a:gdLst>
                  <a:gd name="connsiteX0" fmla="*/ 0 w 4122295"/>
                  <a:gd name="connsiteY0" fmla="*/ 262328 h 307299"/>
                  <a:gd name="connsiteX1" fmla="*/ 2098623 w 4122295"/>
                  <a:gd name="connsiteY1" fmla="*/ 7495 h 307299"/>
                  <a:gd name="connsiteX2" fmla="*/ 4122295 w 4122295"/>
                  <a:gd name="connsiteY2" fmla="*/ 307299 h 307299"/>
                  <a:gd name="connsiteX3" fmla="*/ 4122295 w 4122295"/>
                  <a:gd name="connsiteY3" fmla="*/ 307299 h 307299"/>
                  <a:gd name="connsiteX4" fmla="*/ 4122295 w 4122295"/>
                  <a:gd name="connsiteY4" fmla="*/ 307299 h 3072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22295" h="307299">
                    <a:moveTo>
                      <a:pt x="0" y="262328"/>
                    </a:moveTo>
                    <a:cubicBezTo>
                      <a:pt x="705787" y="131164"/>
                      <a:pt x="1411574" y="0"/>
                      <a:pt x="2098623" y="7495"/>
                    </a:cubicBezTo>
                    <a:cubicBezTo>
                      <a:pt x="2785672" y="14990"/>
                      <a:pt x="4122295" y="307299"/>
                      <a:pt x="4122295" y="307299"/>
                    </a:cubicBezTo>
                    <a:lnTo>
                      <a:pt x="4122295" y="307299"/>
                    </a:lnTo>
                    <a:lnTo>
                      <a:pt x="4122295" y="307299"/>
                    </a:lnTo>
                  </a:path>
                </a:pathLst>
              </a:custGeom>
              <a:ln>
                <a:tailEnd type="arrow" w="lg" len="med"/>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auto">
                  <a:spcBef>
                    <a:spcPts val="0"/>
                  </a:spcBef>
                  <a:spcAft>
                    <a:spcPts val="0"/>
                  </a:spcAft>
                  <a:defRPr/>
                </a:pPr>
                <a:endParaRPr lang="en-US"/>
              </a:p>
            </xdr:txBody>
          </xdr:sp>
        </xdr:grpSp>
      </xdr:grpSp>
    </xdr:grpSp>
    <xdr:clientData/>
  </xdr:twoCellAnchor>
  <xdr:twoCellAnchor>
    <xdr:from>
      <xdr:col>11</xdr:col>
      <xdr:colOff>111076</xdr:colOff>
      <xdr:row>35</xdr:row>
      <xdr:rowOff>49213</xdr:rowOff>
    </xdr:from>
    <xdr:to>
      <xdr:col>15</xdr:col>
      <xdr:colOff>370156</xdr:colOff>
      <xdr:row>37</xdr:row>
      <xdr:rowOff>76200</xdr:rowOff>
    </xdr:to>
    <xdr:sp macro="" textlink="">
      <xdr:nvSpPr>
        <xdr:cNvPr id="28" name="Freeform 27"/>
        <xdr:cNvSpPr/>
      </xdr:nvSpPr>
      <xdr:spPr bwMode="auto">
        <a:xfrm flipV="1">
          <a:off x="6816676" y="6716713"/>
          <a:ext cx="2697480" cy="407987"/>
        </a:xfrm>
        <a:custGeom>
          <a:avLst/>
          <a:gdLst>
            <a:gd name="connsiteX0" fmla="*/ 0 w 4122295"/>
            <a:gd name="connsiteY0" fmla="*/ 262328 h 307299"/>
            <a:gd name="connsiteX1" fmla="*/ 2098623 w 4122295"/>
            <a:gd name="connsiteY1" fmla="*/ 7495 h 307299"/>
            <a:gd name="connsiteX2" fmla="*/ 4122295 w 4122295"/>
            <a:gd name="connsiteY2" fmla="*/ 307299 h 307299"/>
            <a:gd name="connsiteX3" fmla="*/ 4122295 w 4122295"/>
            <a:gd name="connsiteY3" fmla="*/ 307299 h 307299"/>
            <a:gd name="connsiteX4" fmla="*/ 4122295 w 4122295"/>
            <a:gd name="connsiteY4" fmla="*/ 307299 h 3072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22295" h="307299">
              <a:moveTo>
                <a:pt x="0" y="262328"/>
              </a:moveTo>
              <a:cubicBezTo>
                <a:pt x="705787" y="131164"/>
                <a:pt x="1411574" y="0"/>
                <a:pt x="2098623" y="7495"/>
              </a:cubicBezTo>
              <a:cubicBezTo>
                <a:pt x="2785672" y="14990"/>
                <a:pt x="4122295" y="307299"/>
                <a:pt x="4122295" y="307299"/>
              </a:cubicBezTo>
              <a:lnTo>
                <a:pt x="4122295" y="307299"/>
              </a:lnTo>
              <a:lnTo>
                <a:pt x="4122295" y="307299"/>
              </a:lnTo>
            </a:path>
          </a:pathLst>
        </a:custGeom>
        <a:ln w="9525">
          <a:solidFill>
            <a:schemeClr val="accent1"/>
          </a:solidFill>
          <a:tailEnd type="arrow" w="lg" len="med"/>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auto">
            <a:spcBef>
              <a:spcPts val="0"/>
            </a:spcBef>
            <a:spcAft>
              <a:spcPts val="0"/>
            </a:spcAft>
            <a:defRPr/>
          </a:pPr>
          <a:endParaRPr lang="en-US"/>
        </a:p>
      </xdr:txBody>
    </xdr:sp>
    <xdr:clientData/>
  </xdr:twoCellAnchor>
  <xdr:twoCellAnchor>
    <xdr:from>
      <xdr:col>10</xdr:col>
      <xdr:colOff>214312</xdr:colOff>
      <xdr:row>23</xdr:row>
      <xdr:rowOff>181896</xdr:rowOff>
    </xdr:from>
    <xdr:to>
      <xdr:col>14</xdr:col>
      <xdr:colOff>214312</xdr:colOff>
      <xdr:row>25</xdr:row>
      <xdr:rowOff>181896</xdr:rowOff>
    </xdr:to>
    <xdr:sp macro="" textlink="">
      <xdr:nvSpPr>
        <xdr:cNvPr id="29" name="Freeform 28"/>
        <xdr:cNvSpPr/>
      </xdr:nvSpPr>
      <xdr:spPr bwMode="auto">
        <a:xfrm flipV="1">
          <a:off x="6310312" y="4563396"/>
          <a:ext cx="2438400" cy="381000"/>
        </a:xfrm>
        <a:custGeom>
          <a:avLst/>
          <a:gdLst>
            <a:gd name="connsiteX0" fmla="*/ 0 w 4122295"/>
            <a:gd name="connsiteY0" fmla="*/ 262328 h 307299"/>
            <a:gd name="connsiteX1" fmla="*/ 2098623 w 4122295"/>
            <a:gd name="connsiteY1" fmla="*/ 7495 h 307299"/>
            <a:gd name="connsiteX2" fmla="*/ 4122295 w 4122295"/>
            <a:gd name="connsiteY2" fmla="*/ 307299 h 307299"/>
            <a:gd name="connsiteX3" fmla="*/ 4122295 w 4122295"/>
            <a:gd name="connsiteY3" fmla="*/ 307299 h 307299"/>
            <a:gd name="connsiteX4" fmla="*/ 4122295 w 4122295"/>
            <a:gd name="connsiteY4" fmla="*/ 307299 h 3072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22295" h="307299">
              <a:moveTo>
                <a:pt x="0" y="262328"/>
              </a:moveTo>
              <a:cubicBezTo>
                <a:pt x="705787" y="131164"/>
                <a:pt x="1411574" y="0"/>
                <a:pt x="2098623" y="7495"/>
              </a:cubicBezTo>
              <a:cubicBezTo>
                <a:pt x="2785672" y="14990"/>
                <a:pt x="4122295" y="307299"/>
                <a:pt x="4122295" y="307299"/>
              </a:cubicBezTo>
              <a:lnTo>
                <a:pt x="4122295" y="307299"/>
              </a:lnTo>
              <a:lnTo>
                <a:pt x="4122295" y="307299"/>
              </a:lnTo>
            </a:path>
          </a:pathLst>
        </a:custGeom>
        <a:ln>
          <a:tailEnd type="arrow" w="lg" len="med"/>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auto">
            <a:spcBef>
              <a:spcPts val="0"/>
            </a:spcBef>
            <a:spcAft>
              <a:spcPts val="0"/>
            </a:spcAft>
            <a:defRPr/>
          </a:pPr>
          <a:endParaRPr lang="en-US"/>
        </a:p>
      </xdr:txBody>
    </xdr:sp>
    <xdr:clientData/>
  </xdr:twoCellAnchor>
  <xdr:twoCellAnchor>
    <xdr:from>
      <xdr:col>8</xdr:col>
      <xdr:colOff>211852</xdr:colOff>
      <xdr:row>12</xdr:row>
      <xdr:rowOff>109380</xdr:rowOff>
    </xdr:from>
    <xdr:to>
      <xdr:col>8</xdr:col>
      <xdr:colOff>288052</xdr:colOff>
      <xdr:row>19</xdr:row>
      <xdr:rowOff>147480</xdr:rowOff>
    </xdr:to>
    <xdr:cxnSp macro="">
      <xdr:nvCxnSpPr>
        <xdr:cNvPr id="30" name="Straight Arrow Connector 29"/>
        <xdr:cNvCxnSpPr/>
      </xdr:nvCxnSpPr>
      <xdr:spPr bwMode="auto">
        <a:xfrm>
          <a:off x="5088652" y="2395380"/>
          <a:ext cx="76200" cy="1371600"/>
        </a:xfrm>
        <a:prstGeom prst="straightConnector1">
          <a:avLst/>
        </a:prstGeom>
        <a:ln w="25400">
          <a:solidFill>
            <a:srgbClr val="FF0000"/>
          </a:solidFill>
          <a:tailEnd type="arrow"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25400</xdr:colOff>
      <xdr:row>3</xdr:row>
      <xdr:rowOff>0</xdr:rowOff>
    </xdr:from>
    <xdr:to>
      <xdr:col>11</xdr:col>
      <xdr:colOff>111076</xdr:colOff>
      <xdr:row>4</xdr:row>
      <xdr:rowOff>178832</xdr:rowOff>
    </xdr:to>
    <xdr:sp macro="" textlink="">
      <xdr:nvSpPr>
        <xdr:cNvPr id="31" name="TextBox 1"/>
        <xdr:cNvSpPr txBox="1"/>
      </xdr:nvSpPr>
      <xdr:spPr>
        <a:xfrm>
          <a:off x="635000" y="571500"/>
          <a:ext cx="6181676"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Step 1 – re-entry into care</a:t>
          </a:r>
        </a:p>
      </xdr:txBody>
    </xdr:sp>
    <xdr:clientData/>
  </xdr:twoCellAnchor>
  <xdr:twoCellAnchor>
    <xdr:from>
      <xdr:col>11</xdr:col>
      <xdr:colOff>17668</xdr:colOff>
      <xdr:row>22</xdr:row>
      <xdr:rowOff>6144</xdr:rowOff>
    </xdr:from>
    <xdr:to>
      <xdr:col>11</xdr:col>
      <xdr:colOff>383428</xdr:colOff>
      <xdr:row>22</xdr:row>
      <xdr:rowOff>7732</xdr:rowOff>
    </xdr:to>
    <xdr:cxnSp macro="">
      <xdr:nvCxnSpPr>
        <xdr:cNvPr id="32" name="Straight Arrow Connector 31"/>
        <xdr:cNvCxnSpPr/>
      </xdr:nvCxnSpPr>
      <xdr:spPr bwMode="auto">
        <a:xfrm>
          <a:off x="6723268" y="4197144"/>
          <a:ext cx="365760" cy="1588"/>
        </a:xfrm>
        <a:prstGeom prst="straightConnector1">
          <a:avLst/>
        </a:prstGeom>
        <a:ln w="2540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531892</xdr:colOff>
      <xdr:row>33</xdr:row>
      <xdr:rowOff>150812</xdr:rowOff>
    </xdr:from>
    <xdr:to>
      <xdr:col>12</xdr:col>
      <xdr:colOff>288052</xdr:colOff>
      <xdr:row>33</xdr:row>
      <xdr:rowOff>152400</xdr:rowOff>
    </xdr:to>
    <xdr:cxnSp macro="">
      <xdr:nvCxnSpPr>
        <xdr:cNvPr id="33" name="Straight Arrow Connector 32"/>
        <xdr:cNvCxnSpPr/>
      </xdr:nvCxnSpPr>
      <xdr:spPr bwMode="auto">
        <a:xfrm>
          <a:off x="7237492" y="6437312"/>
          <a:ext cx="365760" cy="1588"/>
        </a:xfrm>
        <a:prstGeom prst="straightConnector1">
          <a:avLst/>
        </a:prstGeom>
        <a:ln w="2540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20"/>
  <sheetViews>
    <sheetView workbookViewId="0">
      <selection activeCell="B1" sqref="B1"/>
    </sheetView>
  </sheetViews>
  <sheetFormatPr defaultRowHeight="15" x14ac:dyDescent="0.25"/>
  <cols>
    <col min="1" max="1" width="25.5703125" customWidth="1"/>
  </cols>
  <sheetData>
    <row r="1" spans="1:2" x14ac:dyDescent="0.25">
      <c r="A1" t="s">
        <v>346</v>
      </c>
      <c r="B1" t="s">
        <v>101</v>
      </c>
    </row>
    <row r="2" spans="1:2" s="127" customFormat="1" x14ac:dyDescent="0.25">
      <c r="A2" s="127" t="s">
        <v>354</v>
      </c>
      <c r="B2" s="127" t="s">
        <v>355</v>
      </c>
    </row>
    <row r="3" spans="1:2" x14ac:dyDescent="0.25">
      <c r="A3" t="s">
        <v>347</v>
      </c>
      <c r="B3" t="s">
        <v>350</v>
      </c>
    </row>
    <row r="4" spans="1:2" x14ac:dyDescent="0.25">
      <c r="A4" t="s">
        <v>348</v>
      </c>
      <c r="B4" t="s">
        <v>351</v>
      </c>
    </row>
    <row r="5" spans="1:2" x14ac:dyDescent="0.25">
      <c r="A5" t="s">
        <v>439</v>
      </c>
      <c r="B5" t="s">
        <v>352</v>
      </c>
    </row>
    <row r="6" spans="1:2" s="127" customFormat="1" x14ac:dyDescent="0.25">
      <c r="A6" s="127" t="s">
        <v>607</v>
      </c>
      <c r="B6" s="127" t="s">
        <v>608</v>
      </c>
    </row>
    <row r="7" spans="1:2" s="127" customFormat="1" x14ac:dyDescent="0.25">
      <c r="A7" s="127" t="s">
        <v>641</v>
      </c>
      <c r="B7" s="127" t="s">
        <v>651</v>
      </c>
    </row>
    <row r="8" spans="1:2" x14ac:dyDescent="0.25">
      <c r="A8" t="s">
        <v>609</v>
      </c>
      <c r="B8" t="s">
        <v>610</v>
      </c>
    </row>
    <row r="9" spans="1:2" x14ac:dyDescent="0.25">
      <c r="A9" t="s">
        <v>640</v>
      </c>
      <c r="B9" t="s">
        <v>648</v>
      </c>
    </row>
    <row r="10" spans="1:2" x14ac:dyDescent="0.25">
      <c r="A10" t="s">
        <v>642</v>
      </c>
      <c r="B10" t="s">
        <v>649</v>
      </c>
    </row>
    <row r="11" spans="1:2" s="127" customFormat="1" x14ac:dyDescent="0.25">
      <c r="A11" s="127" t="s">
        <v>643</v>
      </c>
      <c r="B11" s="127" t="s">
        <v>650</v>
      </c>
    </row>
    <row r="12" spans="1:2" x14ac:dyDescent="0.25">
      <c r="A12" t="s">
        <v>644</v>
      </c>
      <c r="B12" t="s">
        <v>645</v>
      </c>
    </row>
    <row r="13" spans="1:2" s="127" customFormat="1" x14ac:dyDescent="0.25">
      <c r="A13" s="127" t="s">
        <v>612</v>
      </c>
      <c r="B13" s="127" t="s">
        <v>647</v>
      </c>
    </row>
    <row r="14" spans="1:2" s="127" customFormat="1" x14ac:dyDescent="0.25">
      <c r="A14" s="127" t="s">
        <v>611</v>
      </c>
      <c r="B14" s="127" t="s">
        <v>646</v>
      </c>
    </row>
    <row r="15" spans="1:2" x14ac:dyDescent="0.25">
      <c r="A15" t="s">
        <v>349</v>
      </c>
      <c r="B15" t="s">
        <v>353</v>
      </c>
    </row>
    <row r="19" s="127" customFormat="1" x14ac:dyDescent="0.25"/>
    <row r="20" s="127" customFormat="1" x14ac:dyDescent="0.25"/>
  </sheetData>
  <pageMargins left="0.7" right="0.7" top="0.75" bottom="0.75" header="0.3" footer="0.3"/>
  <pageSetup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P464"/>
  <sheetViews>
    <sheetView zoomScaleNormal="100" workbookViewId="0"/>
  </sheetViews>
  <sheetFormatPr defaultRowHeight="15" x14ac:dyDescent="0.25"/>
  <cols>
    <col min="2" max="2" width="11.42578125" customWidth="1"/>
    <col min="3" max="3" width="15.7109375" customWidth="1"/>
    <col min="4" max="4" width="15.5703125" customWidth="1"/>
    <col min="5" max="5" width="14.28515625" customWidth="1"/>
    <col min="6" max="6" width="13.7109375" customWidth="1"/>
    <col min="7" max="7" width="13.140625" customWidth="1"/>
    <col min="8" max="8" width="10.140625" customWidth="1"/>
    <col min="14" max="14" width="12.140625" customWidth="1"/>
    <col min="15" max="15" width="12.7109375" customWidth="1"/>
    <col min="16" max="16" width="14.5703125" customWidth="1"/>
    <col min="17" max="17" width="13.85546875" customWidth="1"/>
    <col min="18" max="18" width="11.7109375" customWidth="1"/>
    <col min="19" max="19" width="11" customWidth="1"/>
    <col min="20" max="20" width="12.140625" customWidth="1"/>
    <col min="25" max="25" width="14.7109375" customWidth="1"/>
    <col min="26" max="26" width="13.85546875" customWidth="1"/>
    <col min="27" max="27" width="12.42578125" customWidth="1"/>
    <col min="28" max="28" width="12.7109375" customWidth="1"/>
    <col min="29" max="29" width="10.42578125" customWidth="1"/>
    <col min="35" max="35" width="12.42578125" customWidth="1"/>
    <col min="36" max="36" width="12.5703125" customWidth="1"/>
    <col min="37" max="37" width="15" customWidth="1"/>
    <col min="38" max="38" width="14.5703125" customWidth="1"/>
    <col min="39" max="39" width="11.7109375" customWidth="1"/>
    <col min="40" max="40" width="11.42578125" customWidth="1"/>
    <col min="41" max="41" width="11.5703125" customWidth="1"/>
    <col min="43" max="43" width="9.140625" customWidth="1"/>
    <col min="45" max="45" width="16.85546875" style="174" customWidth="1"/>
    <col min="46" max="46" width="12.85546875" style="174" customWidth="1"/>
    <col min="47" max="47" width="12.28515625" style="174" customWidth="1"/>
    <col min="48" max="48" width="12.5703125" style="174" customWidth="1"/>
    <col min="49" max="49" width="12.7109375" style="174" customWidth="1"/>
    <col min="50" max="50" width="11.140625" style="174" customWidth="1"/>
    <col min="51" max="54" width="9.140625" style="174"/>
    <col min="55" max="55" width="13.140625" style="174" customWidth="1"/>
    <col min="56" max="56" width="12.42578125" style="174" customWidth="1"/>
    <col min="57" max="57" width="14" style="174" customWidth="1"/>
    <col min="58" max="58" width="14.140625" style="174" customWidth="1"/>
    <col min="59" max="59" width="12.5703125" style="174" customWidth="1"/>
    <col min="60" max="60" width="11" style="174" customWidth="1"/>
    <col min="61" max="61" width="12.28515625" style="174" customWidth="1"/>
    <col min="62" max="64" width="12.28515625" style="127" customWidth="1"/>
    <col min="65" max="65" width="16.28515625" style="174" customWidth="1"/>
    <col min="66" max="66" width="28.85546875" style="174" customWidth="1"/>
    <col min="67" max="67" width="16.42578125" style="174" customWidth="1"/>
    <col min="68" max="68" width="17.5703125" style="174" customWidth="1"/>
    <col min="69" max="69" width="15.7109375" style="174" customWidth="1"/>
    <col min="70" max="70" width="30.85546875" style="174" customWidth="1"/>
    <col min="71" max="71" width="24.5703125" style="174" customWidth="1"/>
    <col min="72" max="72" width="23.5703125" style="174" customWidth="1"/>
    <col min="73" max="74" width="25.5703125" style="174" customWidth="1"/>
    <col min="75" max="75" width="15.85546875" style="174" customWidth="1"/>
    <col min="76" max="76" width="25.28515625" style="174" customWidth="1"/>
    <col min="77" max="79" width="12.28515625" style="127" customWidth="1"/>
    <col min="80" max="80" width="12.42578125" style="174" customWidth="1"/>
    <col min="81" max="81" width="15.7109375" style="174" customWidth="1"/>
    <col min="82" max="82" width="14.42578125" style="174" customWidth="1"/>
    <col min="83" max="83" width="11.28515625" style="174" customWidth="1"/>
    <col min="84" max="84" width="15" style="174" customWidth="1"/>
    <col min="85" max="85" width="6.42578125" style="174" customWidth="1"/>
    <col min="86" max="86" width="6.5703125" style="174" customWidth="1"/>
    <col min="87" max="87" width="21.7109375" style="174" customWidth="1"/>
    <col min="88" max="88" width="34.5703125" style="174" customWidth="1"/>
    <col min="89" max="90" width="21.7109375" style="174" bestFit="1" customWidth="1"/>
    <col min="91" max="91" width="13" style="174" customWidth="1"/>
    <col min="92" max="92" width="9.85546875" style="174" customWidth="1"/>
    <col min="93" max="93" width="14.85546875" style="174" customWidth="1"/>
    <col min="94" max="94" width="17" style="174" customWidth="1"/>
    <col min="95" max="95" width="8.7109375" style="174" customWidth="1"/>
    <col min="96" max="96" width="21.7109375" style="174" customWidth="1"/>
    <col min="97" max="97" width="37.28515625" style="174" customWidth="1"/>
    <col min="98" max="98" width="30.7109375" style="174" customWidth="1"/>
    <col min="99" max="99" width="30" style="174" customWidth="1"/>
    <col min="100" max="100" width="32.140625" style="174" customWidth="1"/>
    <col min="101" max="101" width="31.5703125" style="174" customWidth="1"/>
    <col min="102" max="102" width="23.42578125" style="174" customWidth="1"/>
    <col min="103" max="103" width="32.28515625" style="174" customWidth="1"/>
    <col min="106" max="106" width="44.7109375" style="174" customWidth="1"/>
    <col min="107" max="107" width="35.28515625" style="174" customWidth="1"/>
    <col min="108" max="108" width="31.85546875" style="174" customWidth="1"/>
    <col min="109" max="109" width="33.7109375" style="174" customWidth="1"/>
    <col min="110" max="110" width="58.140625" style="174" customWidth="1"/>
    <col min="111" max="111" width="59.7109375" style="174" customWidth="1"/>
    <col min="112" max="112" width="30.7109375" style="221" customWidth="1"/>
    <col min="113" max="113" width="30.85546875" style="221" customWidth="1"/>
    <col min="114" max="114" width="20.140625" style="174" customWidth="1"/>
    <col min="115" max="115" width="29.7109375" style="174" customWidth="1"/>
  </cols>
  <sheetData>
    <row r="1" spans="1:116" s="127" customFormat="1" x14ac:dyDescent="0.25">
      <c r="AS1" s="174"/>
      <c r="AT1" s="174"/>
      <c r="AU1" s="174"/>
      <c r="AV1" s="174"/>
      <c r="AW1" s="174"/>
      <c r="AX1" s="174"/>
      <c r="AY1" s="174"/>
      <c r="AZ1" s="174"/>
      <c r="BA1" s="174"/>
      <c r="BB1" s="174"/>
      <c r="BC1" s="174"/>
      <c r="BD1" s="174"/>
      <c r="BE1" s="174"/>
      <c r="BF1" s="174"/>
      <c r="BG1" s="174"/>
      <c r="BH1" s="174"/>
      <c r="BI1" s="174"/>
      <c r="BM1" s="348" t="s">
        <v>714</v>
      </c>
      <c r="BN1" s="349"/>
      <c r="BO1" s="349"/>
      <c r="BP1" s="349"/>
      <c r="BQ1" s="350" t="s">
        <v>614</v>
      </c>
      <c r="BR1" s="350"/>
      <c r="BS1" s="350"/>
      <c r="BT1" s="350"/>
      <c r="BU1" s="350"/>
      <c r="BV1" s="350"/>
      <c r="BW1" s="350"/>
      <c r="BX1" s="350"/>
      <c r="CB1" s="350" t="s">
        <v>723</v>
      </c>
      <c r="CC1" s="350"/>
      <c r="CD1" s="350"/>
      <c r="CE1" s="350" t="s">
        <v>714</v>
      </c>
      <c r="CF1" s="350"/>
      <c r="CG1" s="350"/>
      <c r="CH1" s="350"/>
      <c r="CI1" s="350"/>
      <c r="CJ1" s="350"/>
      <c r="CK1" s="350"/>
      <c r="CL1" s="350"/>
      <c r="CM1" s="350" t="s">
        <v>614</v>
      </c>
      <c r="CN1" s="350"/>
      <c r="CO1" s="350"/>
      <c r="CP1" s="350"/>
      <c r="CQ1" s="350"/>
      <c r="CR1" s="350"/>
      <c r="CS1" s="350"/>
      <c r="CT1" s="350"/>
      <c r="CU1" s="350"/>
      <c r="CV1" s="350"/>
      <c r="CW1" s="350"/>
      <c r="CX1" s="350"/>
      <c r="CY1" s="350"/>
      <c r="DB1" s="174"/>
      <c r="DC1" s="174"/>
      <c r="DD1" s="174"/>
      <c r="DE1" s="174"/>
      <c r="DF1" s="174"/>
      <c r="DG1" s="174"/>
      <c r="DH1" s="221"/>
      <c r="DI1" s="221"/>
      <c r="DJ1" s="174"/>
      <c r="DK1" s="174"/>
    </row>
    <row r="2" spans="1:116" s="127" customFormat="1" x14ac:dyDescent="0.25">
      <c r="A2" s="190"/>
      <c r="B2" s="190" t="s">
        <v>576</v>
      </c>
      <c r="C2" s="190"/>
      <c r="D2" s="190"/>
      <c r="E2" s="190"/>
      <c r="F2" s="190"/>
      <c r="G2" s="190"/>
      <c r="H2" s="190"/>
      <c r="I2" s="190"/>
      <c r="J2" s="190"/>
      <c r="K2" s="190"/>
      <c r="L2" s="190"/>
      <c r="M2" s="190"/>
      <c r="N2" s="190"/>
      <c r="O2" s="190"/>
      <c r="P2" s="190"/>
      <c r="Q2" s="190"/>
      <c r="R2" s="190"/>
      <c r="S2" s="190"/>
      <c r="T2" s="190"/>
      <c r="U2" s="190"/>
      <c r="V2" s="190"/>
      <c r="W2" s="190" t="s">
        <v>595</v>
      </c>
      <c r="X2" s="190"/>
      <c r="Y2" s="190"/>
      <c r="Z2" s="190"/>
      <c r="AA2" s="190"/>
      <c r="AB2" s="190"/>
      <c r="AC2" s="190"/>
      <c r="AD2" s="190"/>
      <c r="AE2" s="190"/>
      <c r="AF2" s="190"/>
      <c r="AG2" s="190"/>
      <c r="AH2" s="190"/>
      <c r="AI2" s="190"/>
      <c r="AJ2" s="190"/>
      <c r="AK2" s="190"/>
      <c r="AL2" s="190"/>
      <c r="AM2" s="190"/>
      <c r="AN2" s="190"/>
      <c r="AO2" s="190"/>
      <c r="AP2" s="190"/>
      <c r="AQ2" s="193" t="s">
        <v>90</v>
      </c>
      <c r="AR2" s="25"/>
      <c r="AS2" s="213"/>
      <c r="AT2" s="213"/>
      <c r="AU2" s="213"/>
      <c r="AV2" s="213"/>
      <c r="AW2" s="213"/>
      <c r="AX2" s="213"/>
      <c r="AY2" s="213"/>
      <c r="AZ2" s="213"/>
      <c r="BA2" s="213"/>
      <c r="BB2" s="213"/>
      <c r="BC2" s="213"/>
      <c r="BD2" s="213"/>
      <c r="BE2" s="213"/>
      <c r="BF2" s="213"/>
      <c r="BG2" s="213"/>
      <c r="BH2" s="213"/>
      <c r="BI2" s="213"/>
      <c r="BJ2" s="25"/>
      <c r="BK2" s="25"/>
      <c r="BL2" s="25"/>
      <c r="BM2" s="348" t="s">
        <v>570</v>
      </c>
      <c r="BN2" s="349"/>
      <c r="BO2" s="349"/>
      <c r="BP2" s="349"/>
      <c r="BQ2" s="350" t="s">
        <v>570</v>
      </c>
      <c r="BR2" s="350"/>
      <c r="BS2" s="350"/>
      <c r="BT2" s="350"/>
      <c r="BU2" s="350"/>
      <c r="BV2" s="350"/>
      <c r="BW2" s="350"/>
      <c r="BX2" s="351"/>
      <c r="BY2" s="199"/>
      <c r="BZ2" s="25"/>
      <c r="CA2" s="25"/>
      <c r="CB2" s="350" t="s">
        <v>302</v>
      </c>
      <c r="CC2" s="350"/>
      <c r="CD2" s="350"/>
      <c r="CE2" s="350" t="s">
        <v>302</v>
      </c>
      <c r="CF2" s="350"/>
      <c r="CG2" s="350"/>
      <c r="CH2" s="350"/>
      <c r="CI2" s="350"/>
      <c r="CJ2" s="350"/>
      <c r="CK2" s="350"/>
      <c r="CL2" s="350"/>
      <c r="CM2" s="350" t="s">
        <v>302</v>
      </c>
      <c r="CN2" s="350"/>
      <c r="CO2" s="350"/>
      <c r="CP2" s="350"/>
      <c r="CQ2" s="350"/>
      <c r="CR2" s="350"/>
      <c r="CS2" s="350"/>
      <c r="CT2" s="350"/>
      <c r="CU2" s="350"/>
      <c r="CV2" s="350"/>
      <c r="CW2" s="350"/>
      <c r="CX2" s="350"/>
      <c r="CY2" s="350"/>
      <c r="CZ2" s="190"/>
      <c r="DA2" s="190" t="s">
        <v>100</v>
      </c>
      <c r="DB2" s="217"/>
      <c r="DC2" s="217"/>
      <c r="DD2" s="217"/>
      <c r="DE2" s="217"/>
      <c r="DF2" s="217"/>
      <c r="DG2" s="217"/>
      <c r="DH2" s="222"/>
      <c r="DI2" s="222"/>
      <c r="DJ2" s="217"/>
      <c r="DK2" s="217"/>
      <c r="DL2" s="190"/>
    </row>
    <row r="3" spans="1:116" s="127" customFormat="1" x14ac:dyDescent="0.25">
      <c r="A3" s="190"/>
      <c r="B3" s="63"/>
      <c r="C3" s="198"/>
      <c r="D3" s="62"/>
      <c r="E3" s="62"/>
      <c r="F3" s="62"/>
      <c r="G3" s="62"/>
      <c r="H3" s="62"/>
      <c r="I3" s="62"/>
      <c r="J3" s="62"/>
      <c r="K3" s="62"/>
      <c r="L3" s="62"/>
      <c r="M3" s="62"/>
      <c r="N3" s="62"/>
      <c r="O3" s="62"/>
      <c r="P3" s="62"/>
      <c r="Q3" s="62"/>
      <c r="R3" s="62"/>
      <c r="S3" s="62"/>
      <c r="T3" s="62"/>
      <c r="U3" s="62"/>
      <c r="V3" s="190"/>
      <c r="W3" s="66" t="s">
        <v>88</v>
      </c>
      <c r="X3" s="66" t="s">
        <v>89</v>
      </c>
      <c r="Y3" s="61" t="s">
        <v>320</v>
      </c>
      <c r="Z3" s="61" t="s">
        <v>319</v>
      </c>
      <c r="AA3" s="61" t="s">
        <v>318</v>
      </c>
      <c r="AB3" s="61" t="s">
        <v>317</v>
      </c>
      <c r="AC3" s="61" t="s">
        <v>321</v>
      </c>
      <c r="AD3" s="61" t="s">
        <v>322</v>
      </c>
      <c r="AE3" s="61" t="s">
        <v>323</v>
      </c>
      <c r="AF3" s="61" t="s">
        <v>324</v>
      </c>
      <c r="AG3" s="61" t="s">
        <v>325</v>
      </c>
      <c r="AH3" s="61" t="s">
        <v>326</v>
      </c>
      <c r="AI3" s="61" t="s">
        <v>327</v>
      </c>
      <c r="AJ3" s="61" t="s">
        <v>328</v>
      </c>
      <c r="AK3" s="61" t="s">
        <v>329</v>
      </c>
      <c r="AL3" s="61" t="s">
        <v>330</v>
      </c>
      <c r="AM3" s="61" t="s">
        <v>331</v>
      </c>
      <c r="AN3" s="61" t="s">
        <v>332</v>
      </c>
      <c r="AO3" s="61" t="s">
        <v>333</v>
      </c>
      <c r="AP3" s="190"/>
      <c r="AQ3" s="66" t="s">
        <v>88</v>
      </c>
      <c r="AR3" s="66" t="s">
        <v>89</v>
      </c>
      <c r="AS3" s="214" t="s">
        <v>320</v>
      </c>
      <c r="AT3" s="214" t="s">
        <v>319</v>
      </c>
      <c r="AU3" s="214" t="s">
        <v>318</v>
      </c>
      <c r="AV3" s="214" t="s">
        <v>317</v>
      </c>
      <c r="AW3" s="214" t="s">
        <v>321</v>
      </c>
      <c r="AX3" s="214" t="s">
        <v>322</v>
      </c>
      <c r="AY3" s="214" t="s">
        <v>323</v>
      </c>
      <c r="AZ3" s="214" t="s">
        <v>324</v>
      </c>
      <c r="BA3" s="214" t="s">
        <v>325</v>
      </c>
      <c r="BB3" s="214" t="s">
        <v>326</v>
      </c>
      <c r="BC3" s="214" t="s">
        <v>327</v>
      </c>
      <c r="BD3" s="214" t="s">
        <v>328</v>
      </c>
      <c r="BE3" s="214" t="s">
        <v>329</v>
      </c>
      <c r="BF3" s="214" t="s">
        <v>330</v>
      </c>
      <c r="BG3" s="214" t="s">
        <v>331</v>
      </c>
      <c r="BH3" s="214" t="s">
        <v>332</v>
      </c>
      <c r="BI3" s="214" t="s">
        <v>333</v>
      </c>
      <c r="BJ3" s="189"/>
      <c r="BK3" s="66" t="s">
        <v>88</v>
      </c>
      <c r="BL3" s="66" t="s">
        <v>89</v>
      </c>
      <c r="BM3" s="122" t="s">
        <v>627</v>
      </c>
      <c r="BN3" s="122" t="s">
        <v>724</v>
      </c>
      <c r="BO3" s="122" t="s">
        <v>628</v>
      </c>
      <c r="BP3" s="122" t="s">
        <v>629</v>
      </c>
      <c r="BQ3" s="122" t="s">
        <v>627</v>
      </c>
      <c r="BR3" s="122" t="s">
        <v>716</v>
      </c>
      <c r="BS3" s="122" t="s">
        <v>717</v>
      </c>
      <c r="BT3" s="122" t="s">
        <v>721</v>
      </c>
      <c r="BU3" s="122" t="s">
        <v>720</v>
      </c>
      <c r="BV3" s="122" t="s">
        <v>719</v>
      </c>
      <c r="BW3" s="122" t="s">
        <v>629</v>
      </c>
      <c r="BX3" s="122" t="s">
        <v>722</v>
      </c>
      <c r="BY3" s="182"/>
      <c r="BZ3" s="192" t="s">
        <v>88</v>
      </c>
      <c r="CA3" s="66" t="s">
        <v>89</v>
      </c>
      <c r="CB3" s="218" t="s">
        <v>124</v>
      </c>
      <c r="CC3" s="218" t="s">
        <v>630</v>
      </c>
      <c r="CD3" s="218" t="s">
        <v>570</v>
      </c>
      <c r="CE3" s="218" t="s">
        <v>124</v>
      </c>
      <c r="CF3" s="218" t="s">
        <v>630</v>
      </c>
      <c r="CG3" s="218" t="s">
        <v>631</v>
      </c>
      <c r="CH3" s="218" t="s">
        <v>632</v>
      </c>
      <c r="CI3" s="227" t="s">
        <v>624</v>
      </c>
      <c r="CJ3" s="227" t="s">
        <v>725</v>
      </c>
      <c r="CK3" s="227" t="s">
        <v>625</v>
      </c>
      <c r="CL3" s="227" t="s">
        <v>626</v>
      </c>
      <c r="CM3" s="218" t="s">
        <v>124</v>
      </c>
      <c r="CN3" s="218" t="s">
        <v>633</v>
      </c>
      <c r="CO3" s="218" t="s">
        <v>634</v>
      </c>
      <c r="CP3" s="218" t="s">
        <v>635</v>
      </c>
      <c r="CQ3" s="218" t="s">
        <v>632</v>
      </c>
      <c r="CR3" s="122" t="s">
        <v>624</v>
      </c>
      <c r="CS3" s="122" t="s">
        <v>726</v>
      </c>
      <c r="CT3" s="122" t="s">
        <v>727</v>
      </c>
      <c r="CU3" s="122" t="s">
        <v>637</v>
      </c>
      <c r="CV3" s="122" t="s">
        <v>638</v>
      </c>
      <c r="CW3" s="122" t="s">
        <v>728</v>
      </c>
      <c r="CX3" s="122" t="s">
        <v>626</v>
      </c>
      <c r="CY3" s="122" t="s">
        <v>729</v>
      </c>
      <c r="CZ3" s="190"/>
      <c r="DA3" s="67" t="s">
        <v>89</v>
      </c>
      <c r="DB3" s="219" t="s">
        <v>91</v>
      </c>
      <c r="DC3" s="219" t="s">
        <v>99</v>
      </c>
      <c r="DD3" s="215" t="s">
        <v>92</v>
      </c>
      <c r="DE3" s="215" t="s">
        <v>97</v>
      </c>
      <c r="DF3" s="215" t="s">
        <v>93</v>
      </c>
      <c r="DG3" s="215" t="s">
        <v>94</v>
      </c>
      <c r="DH3" s="223" t="s">
        <v>96</v>
      </c>
      <c r="DI3" s="223" t="s">
        <v>98</v>
      </c>
      <c r="DJ3" s="219" t="s">
        <v>95</v>
      </c>
      <c r="DK3" s="219" t="s">
        <v>102</v>
      </c>
      <c r="DL3" s="190"/>
    </row>
    <row r="4" spans="1:116" s="127" customFormat="1" x14ac:dyDescent="0.25">
      <c r="A4" s="190"/>
      <c r="B4" s="63"/>
      <c r="C4" s="62"/>
      <c r="D4" s="173"/>
      <c r="E4" s="173"/>
      <c r="F4" s="173"/>
      <c r="G4" s="173"/>
      <c r="H4" s="173"/>
      <c r="I4" s="173"/>
      <c r="J4" s="173"/>
      <c r="K4" s="173"/>
      <c r="L4" s="173"/>
      <c r="M4" s="173"/>
      <c r="N4" s="173"/>
      <c r="O4" s="173"/>
      <c r="P4" s="173"/>
      <c r="Q4" s="173"/>
      <c r="R4" s="173"/>
      <c r="S4" s="173"/>
      <c r="T4" s="173"/>
      <c r="U4" s="62"/>
      <c r="V4" s="190"/>
      <c r="W4" s="66">
        <v>0</v>
      </c>
      <c r="X4" s="66">
        <v>2004</v>
      </c>
      <c r="Y4" s="70">
        <f>init_prop_Asympt_NoCare</f>
        <v>0.33935327548829924</v>
      </c>
      <c r="Z4" s="70">
        <f>init_prop_Asympt_InCare</f>
        <v>7.8413761370211957E-2</v>
      </c>
      <c r="AA4" s="70">
        <f>init_prop_Asympt_LTFU</f>
        <v>3.4703997125887787E-2</v>
      </c>
      <c r="AB4" s="70">
        <f>init_prop_Asympt_Dead</f>
        <v>0</v>
      </c>
      <c r="AC4" s="70">
        <f>init_prop_Int_NoCare</f>
        <v>0.22703131670567872</v>
      </c>
      <c r="AD4" s="70">
        <f>init_prop_Int_InCare</f>
        <v>5.8157274489896695E-2</v>
      </c>
      <c r="AE4" s="70">
        <f>init_prop_Int_ART1</f>
        <v>4.5371454792139526E-3</v>
      </c>
      <c r="AF4" s="70">
        <f>init_prop_Int_ART2</f>
        <v>0</v>
      </c>
      <c r="AG4" s="70">
        <f>init_prop_Int_LTFU</f>
        <v>1.2982685599448913E-2</v>
      </c>
      <c r="AH4" s="70">
        <f>init_prop_Int_Dead</f>
        <v>0</v>
      </c>
      <c r="AI4" s="70">
        <f>init_prop_AIDS_NoCare</f>
        <v>0.18361540780602206</v>
      </c>
      <c r="AJ4" s="70">
        <f>init_prop_AIDS_InCare</f>
        <v>3.6207333664160936E-2</v>
      </c>
      <c r="AK4" s="70">
        <f>init_prop_AIDS_ART1ear</f>
        <v>2.2735581793513319E-2</v>
      </c>
      <c r="AL4" s="70">
        <f>init_prop_AIDS_ART1late</f>
        <v>0</v>
      </c>
      <c r="AM4" s="70">
        <f>init_prop_AIDS_ART2</f>
        <v>0</v>
      </c>
      <c r="AN4" s="70">
        <f>init_prop_AIDS_LTFU</f>
        <v>2.2622204776664425E-3</v>
      </c>
      <c r="AO4" s="70">
        <f>init_prop_AIDS_DEAD</f>
        <v>0</v>
      </c>
      <c r="AP4" s="190"/>
      <c r="AQ4" s="66">
        <v>0</v>
      </c>
      <c r="AR4" s="66">
        <v>2004</v>
      </c>
      <c r="AS4" s="215">
        <f>Params!$C$18*Y4</f>
        <v>37328.860303712914</v>
      </c>
      <c r="AT4" s="215">
        <f>Params!$C$18*Z4</f>
        <v>8625.5137507233158</v>
      </c>
      <c r="AU4" s="215">
        <f>Params!$C$18*AA4</f>
        <v>3817.4396838476564</v>
      </c>
      <c r="AV4" s="215">
        <f>Params!$C$18*AB4</f>
        <v>0</v>
      </c>
      <c r="AW4" s="215">
        <f>Params!$C$18*AC4</f>
        <v>24973.444837624658</v>
      </c>
      <c r="AX4" s="215">
        <f>Params!$C$18*AD4</f>
        <v>6397.3001938886364</v>
      </c>
      <c r="AY4" s="215">
        <f>Params!$C$18*AE4</f>
        <v>499.08600271353481</v>
      </c>
      <c r="AZ4" s="215">
        <f>Params!$C$18*AF4</f>
        <v>0</v>
      </c>
      <c r="BA4" s="215">
        <f>Params!$C$18*AG4</f>
        <v>1428.0954159393805</v>
      </c>
      <c r="BB4" s="215">
        <f>Params!$C$18*AH4</f>
        <v>0</v>
      </c>
      <c r="BC4" s="215">
        <f>Params!$C$18*AI4</f>
        <v>20197.694858662428</v>
      </c>
      <c r="BD4" s="215">
        <f>Params!$C$18*AJ4</f>
        <v>3982.8067030577031</v>
      </c>
      <c r="BE4" s="215">
        <f>Params!$C$18*AK4</f>
        <v>2500.913997286465</v>
      </c>
      <c r="BF4" s="215">
        <f>Params!$C$18*AL4</f>
        <v>0</v>
      </c>
      <c r="BG4" s="215">
        <f t="shared" ref="BG4:BG23" si="0">Inc_2004*AM4</f>
        <v>0</v>
      </c>
      <c r="BH4" s="215">
        <f>Params!$C$18*AN4</f>
        <v>248.84425254330867</v>
      </c>
      <c r="BI4" s="215">
        <f>Params!$C$18*AO4</f>
        <v>0</v>
      </c>
      <c r="BJ4" s="194"/>
      <c r="BK4" s="66">
        <v>0</v>
      </c>
      <c r="BL4" s="66">
        <v>2004</v>
      </c>
      <c r="BM4" s="215">
        <f>BA4</f>
        <v>1428.0954159393805</v>
      </c>
      <c r="BN4" s="219">
        <v>0</v>
      </c>
      <c r="BO4" s="219">
        <v>0</v>
      </c>
      <c r="BP4" s="219">
        <v>0</v>
      </c>
      <c r="BQ4" s="219">
        <f>BH4</f>
        <v>248.84425254330867</v>
      </c>
      <c r="BR4" s="219">
        <v>0</v>
      </c>
      <c r="BS4" s="219">
        <v>0</v>
      </c>
      <c r="BT4" s="219">
        <v>0</v>
      </c>
      <c r="BU4" s="219">
        <v>0</v>
      </c>
      <c r="BV4" s="219">
        <v>0</v>
      </c>
      <c r="BW4" s="219">
        <v>0</v>
      </c>
      <c r="BX4" s="219">
        <v>0</v>
      </c>
      <c r="BY4" s="195"/>
      <c r="BZ4" s="192">
        <v>0</v>
      </c>
      <c r="CA4" s="66">
        <v>2004</v>
      </c>
      <c r="CB4" s="218">
        <v>0</v>
      </c>
      <c r="CC4" s="218">
        <v>0</v>
      </c>
      <c r="CD4" s="218">
        <v>0</v>
      </c>
      <c r="CE4" s="218">
        <v>0</v>
      </c>
      <c r="CF4" s="218">
        <v>0</v>
      </c>
      <c r="CG4" s="218">
        <v>0</v>
      </c>
      <c r="CH4" s="218">
        <v>0</v>
      </c>
      <c r="CI4" s="218">
        <v>0</v>
      </c>
      <c r="CJ4" s="218">
        <v>0</v>
      </c>
      <c r="CK4" s="218">
        <v>0</v>
      </c>
      <c r="CL4" s="218">
        <v>0</v>
      </c>
      <c r="CM4" s="218">
        <v>0</v>
      </c>
      <c r="CN4" s="218">
        <v>0</v>
      </c>
      <c r="CO4" s="218">
        <v>0</v>
      </c>
      <c r="CP4" s="218">
        <v>0</v>
      </c>
      <c r="CQ4" s="218">
        <v>0</v>
      </c>
      <c r="CR4" s="218">
        <v>0</v>
      </c>
      <c r="CS4" s="218">
        <v>0</v>
      </c>
      <c r="CT4" s="218">
        <v>0</v>
      </c>
      <c r="CU4" s="218">
        <v>0</v>
      </c>
      <c r="CV4" s="218">
        <v>0</v>
      </c>
      <c r="CW4" s="218">
        <v>0</v>
      </c>
      <c r="CX4" s="218">
        <v>0</v>
      </c>
      <c r="CY4" s="218">
        <v>0</v>
      </c>
      <c r="CZ4" s="190"/>
      <c r="DA4" s="67">
        <v>2004</v>
      </c>
      <c r="DB4" s="218">
        <f t="shared" ref="DB4:DB23" si="1">SUM(AT4,AX4,BD4)</f>
        <v>19005.620647669657</v>
      </c>
      <c r="DC4" s="218">
        <f t="shared" ref="DC4:DC23" si="2">SUM(AS4:AU4,AW4:BA4,BC4:BH4)</f>
        <v>110000</v>
      </c>
      <c r="DD4" s="73">
        <f t="shared" ref="DD4:DD23" si="3">SUM(AY4:AZ4,BE4:BG4)</f>
        <v>3000</v>
      </c>
      <c r="DE4" s="73">
        <f t="shared" ref="DE4:DE23" si="4">SUM(BE4:BG4)</f>
        <v>2500.913997286465</v>
      </c>
      <c r="DF4" s="73">
        <f t="shared" ref="DF4:DF23" si="5">SUM(BC4,BD4,BH4)</f>
        <v>24429.345814263441</v>
      </c>
      <c r="DG4" s="73">
        <f t="shared" ref="DG4:DG23" si="6">SUM(BC4,BD4,BH4,AW4,AX4,BA4)</f>
        <v>57228.186261716117</v>
      </c>
      <c r="DH4" s="72">
        <f>DD4/(DD4+DG4)</f>
        <v>4.9810565222133243E-2</v>
      </c>
      <c r="DI4" s="72">
        <f>DE4/(DE4+DF4)</f>
        <v>9.2866315244900383E-2</v>
      </c>
      <c r="DJ4" s="73">
        <f>SUM(AV4,BB4,BI4)</f>
        <v>0</v>
      </c>
      <c r="DK4" s="73">
        <v>0</v>
      </c>
      <c r="DL4" s="190"/>
    </row>
    <row r="5" spans="1:116" s="127" customFormat="1" x14ac:dyDescent="0.25">
      <c r="A5" s="190"/>
      <c r="B5" s="63"/>
      <c r="C5" s="62"/>
      <c r="D5" s="173"/>
      <c r="E5" s="173"/>
      <c r="F5" s="173"/>
      <c r="G5" s="173"/>
      <c r="H5" s="173"/>
      <c r="I5" s="173"/>
      <c r="J5" s="173"/>
      <c r="K5" s="173"/>
      <c r="L5" s="173"/>
      <c r="M5" s="173"/>
      <c r="N5" s="173"/>
      <c r="O5" s="173"/>
      <c r="P5" s="173"/>
      <c r="Q5" s="173"/>
      <c r="R5" s="173"/>
      <c r="S5" s="173"/>
      <c r="T5" s="173"/>
      <c r="U5" s="62"/>
      <c r="V5" s="190"/>
      <c r="W5" s="66">
        <v>1</v>
      </c>
      <c r="X5" s="66">
        <v>2005</v>
      </c>
      <c r="Y5" s="70">
        <f>MMULT($Y4:$AO4,D$26:D$42)</f>
        <v>0.2270932278095639</v>
      </c>
      <c r="Z5" s="70">
        <f t="shared" ref="Z5:AO5" si="7">MMULT($Y4:$AO4,E$26:E$42)</f>
        <v>5.3465450143140324E-2</v>
      </c>
      <c r="AA5" s="70">
        <f t="shared" si="7"/>
        <v>4.6982953291422477E-2</v>
      </c>
      <c r="AB5" s="70">
        <f t="shared" si="7"/>
        <v>8.1402294623642221E-3</v>
      </c>
      <c r="AC5" s="70">
        <f t="shared" si="7"/>
        <v>0.18636974001298284</v>
      </c>
      <c r="AD5" s="70">
        <f t="shared" si="7"/>
        <v>6.7765658921843719E-2</v>
      </c>
      <c r="AE5" s="70">
        <f t="shared" si="7"/>
        <v>2.0901902844715419E-2</v>
      </c>
      <c r="AF5" s="70">
        <f t="shared" si="7"/>
        <v>2.0061788225878277E-3</v>
      </c>
      <c r="AG5" s="70">
        <f t="shared" si="7"/>
        <v>2.3316650247006028E-2</v>
      </c>
      <c r="AH5" s="70">
        <f t="shared" si="7"/>
        <v>8.2384392812487866E-3</v>
      </c>
      <c r="AI5" s="70">
        <f t="shared" si="7"/>
        <v>0.14964330939943971</v>
      </c>
      <c r="AJ5" s="70">
        <f t="shared" si="7"/>
        <v>5.8826103932334672E-2</v>
      </c>
      <c r="AK5" s="70">
        <f t="shared" si="7"/>
        <v>2.8090175185698483E-2</v>
      </c>
      <c r="AL5" s="70">
        <f t="shared" si="7"/>
        <v>1.8654312634197159E-2</v>
      </c>
      <c r="AM5" s="70">
        <f t="shared" si="7"/>
        <v>4.341201096641903E-4</v>
      </c>
      <c r="AN5" s="70">
        <f t="shared" si="7"/>
        <v>6.4589997445443238E-3</v>
      </c>
      <c r="AO5" s="70">
        <f t="shared" si="7"/>
        <v>9.3612548157245942E-2</v>
      </c>
      <c r="AP5" s="190"/>
      <c r="AQ5" s="66">
        <v>1</v>
      </c>
      <c r="AR5" s="66">
        <v>2005</v>
      </c>
      <c r="AS5" s="215">
        <f>Params!$C$18*Y5</f>
        <v>24980.25505905203</v>
      </c>
      <c r="AT5" s="215">
        <f>Params!$C$18*Z5</f>
        <v>5881.1995157454357</v>
      </c>
      <c r="AU5" s="215">
        <f>Params!$C$18*AA5</f>
        <v>5168.1248620564729</v>
      </c>
      <c r="AV5" s="215">
        <f>Params!$C$18*AB5</f>
        <v>895.42524086006438</v>
      </c>
      <c r="AW5" s="215">
        <f>Params!$C$18*AC5</f>
        <v>20500.671401428113</v>
      </c>
      <c r="AX5" s="215">
        <f>Params!$C$18*AD5</f>
        <v>7454.2224814028086</v>
      </c>
      <c r="AY5" s="215">
        <f>Params!$C$18*AE5</f>
        <v>2299.209312918696</v>
      </c>
      <c r="AZ5" s="215">
        <f>Params!$C$18*AF5</f>
        <v>220.67967048466105</v>
      </c>
      <c r="BA5" s="215">
        <f>Params!$C$18*AG5</f>
        <v>2564.8315271706629</v>
      </c>
      <c r="BB5" s="215">
        <f>Params!$C$18*AH5</f>
        <v>906.22832093736656</v>
      </c>
      <c r="BC5" s="215">
        <f>Params!$C$18*AI5</f>
        <v>16460.764033938369</v>
      </c>
      <c r="BD5" s="215">
        <f>Params!$C$18*AJ5</f>
        <v>6470.8714325568144</v>
      </c>
      <c r="BE5" s="215">
        <f>Params!$C$18*AK5</f>
        <v>3089.919270426833</v>
      </c>
      <c r="BF5" s="215">
        <f>Params!$C$18*AL5</f>
        <v>2051.9743897616877</v>
      </c>
      <c r="BG5" s="215">
        <f t="shared" si="0"/>
        <v>47.753212063060936</v>
      </c>
      <c r="BH5" s="215">
        <f>Params!$C$18*AN5</f>
        <v>710.48997189987563</v>
      </c>
      <c r="BI5" s="215">
        <f>Params!$C$18*AO5</f>
        <v>10297.380297297053</v>
      </c>
      <c r="BJ5" s="194"/>
      <c r="BK5" s="66">
        <v>1</v>
      </c>
      <c r="BL5" s="66">
        <v>2005</v>
      </c>
      <c r="BM5" s="215">
        <f t="shared" ref="BM5:BM12" si="8">(AX4*pInt_InCare_Int_LTFU_2004_2012)+(BM4*pInt_LTFU_2004_2012)</f>
        <v>1794.1639761460287</v>
      </c>
      <c r="BN5" s="219">
        <f t="shared" ref="BN5:BN12" si="9">(AU4*pAsympt_LTFU_Int_LTFU_2004_2012)+(BN4*pInt_LTFU_2004_2012)</f>
        <v>763.4879367695313</v>
      </c>
      <c r="BO5" s="219">
        <f t="shared" ref="BO5:BO12" si="10">(AY4*pInt_ART1_Int_LTFU_2004_2012)+(BO4*pInt_LTFU_2004_2012)</f>
        <v>7.1796142551032087</v>
      </c>
      <c r="BP5" s="219">
        <v>0</v>
      </c>
      <c r="BQ5" s="219">
        <f t="shared" ref="BQ5:BQ12" si="11">(BD4*pAIDS_InCare_AIDS_LTFU_2004_2012)+(BQ4*pAIDS_LTFU_2004_2012)</f>
        <v>287.90776975410336</v>
      </c>
      <c r="BR5" s="220">
        <f>(BN4*pInt_LTFU_AIDS_LTFU_2004_2012)</f>
        <v>0</v>
      </c>
      <c r="BS5" s="219">
        <f>(BM4*pInt_LTFU_AIDS_LTFU_2004_2012)</f>
        <v>343.28997155583733</v>
      </c>
      <c r="BT5" s="219">
        <f>(BE4*pAIDS_ART1ear_AIDS_LTFU_2004_2012)</f>
        <v>79.292230589934846</v>
      </c>
      <c r="BU5" s="219">
        <f>(BF4*pAIDS_ART1late_AIDS_LTFU_2004_2012)</f>
        <v>0</v>
      </c>
      <c r="BV5" s="219">
        <f>(BO4*pInt_LTFU_AIDS_LTFU_2004_2012)</f>
        <v>0</v>
      </c>
      <c r="BW5" s="219">
        <f>(BG4*pAIDS_ART2_AIDS_LTFU_2004_2012)</f>
        <v>0</v>
      </c>
      <c r="BX5" s="220">
        <f>(BP4*pInt_LTFU_AIDS_LTFU_2004_2012)</f>
        <v>0</v>
      </c>
      <c r="BY5" s="195"/>
      <c r="BZ5" s="192">
        <v>1</v>
      </c>
      <c r="CA5" s="66">
        <v>2005</v>
      </c>
      <c r="CB5" s="218">
        <f>pAsympt_NoCare_Asympt_Dead_2004_2006*AS4</f>
        <v>678.82698251173133</v>
      </c>
      <c r="CC5" s="218">
        <f t="shared" ref="CC5:CC12" si="12">pAsympt_InCare_Asympt_Dead_2004_2012*AT4</f>
        <v>147.17794815340628</v>
      </c>
      <c r="CD5" s="73">
        <f t="shared" ref="CD5:CD12" si="13">pAsympt_LTFU_Asympt_Dead_2004_2012*AU4</f>
        <v>69.420310194926856</v>
      </c>
      <c r="CE5" s="73">
        <f>pInt_NoCare_Int_Dead_2004_2006*AW4</f>
        <v>696.47284939598728</v>
      </c>
      <c r="CF5" s="73">
        <f t="shared" ref="CF5:CF12" si="14">pInt_InCare_Int_Dead_2004_2012*AX4</f>
        <v>167.40401679576206</v>
      </c>
      <c r="CG5" s="73">
        <f t="shared" ref="CG5:CG12" si="15">pInt_ART1_Int_Dead_2004_2012*AY4</f>
        <v>2.5239623826033184</v>
      </c>
      <c r="CH5" s="73">
        <f>pInt_ART2_Int_Dead_2004_2012*AZ4</f>
        <v>0</v>
      </c>
      <c r="CI5" s="73">
        <f t="shared" ref="CI5:CI12" si="16">(BM4*pInt_LTFU_Int_Dead_2004_2012)</f>
        <v>39.827492363014017</v>
      </c>
      <c r="CJ5" s="73">
        <f t="shared" ref="CJ5" si="17">(BN4*pInt_LTFU_Int_Dead_2004_2012)</f>
        <v>0</v>
      </c>
      <c r="CK5" s="73">
        <f t="shared" ref="CK5" si="18">(BO4*pInt_LTFU_Int_Dead_2004_2012)</f>
        <v>0</v>
      </c>
      <c r="CL5" s="73">
        <f t="shared" ref="CL5" si="19">(BP4*pInt_LTFU_Int_Dead_2004_2012)</f>
        <v>0</v>
      </c>
      <c r="CM5" s="73">
        <f t="shared" ref="CM5" si="20">pAIDS_NoCare_AIDS_Dead_2004_2006*BC4</f>
        <v>8291.4514192246461</v>
      </c>
      <c r="CN5" s="73">
        <f t="shared" ref="CN5" si="21">pAIDS_InCare_AIDS_Dead_2004_2012*BD4</f>
        <v>1534.1272679265815</v>
      </c>
      <c r="CO5" s="73">
        <f t="shared" ref="CO5" si="22">pAIDS_ART1ear_AIDS_Dead_2004_2012*BE4</f>
        <v>369.6473769348425</v>
      </c>
      <c r="CP5" s="73">
        <f t="shared" ref="CP5" si="23">pAIDS_ART1late_AIDS_Dead_2004_2012*BF4</f>
        <v>0</v>
      </c>
      <c r="CQ5" s="73">
        <f t="shared" ref="CQ5" si="24">pAIDS_ART2_AIDS_Dead_2004_2012*BG4</f>
        <v>0</v>
      </c>
      <c r="CR5" s="73">
        <f t="shared" ref="CR5" si="25">(BQ4*pAIDS_LTFU_AIDS_Dead_2004_2012)</f>
        <v>102.15423321098493</v>
      </c>
      <c r="CS5" s="73">
        <f t="shared" ref="CS5" si="26">(BR4*pAIDS_LTFU_AIDS_Dead_2004_2012)</f>
        <v>0</v>
      </c>
      <c r="CT5" s="73">
        <f t="shared" ref="CT5" si="27">(BS4*pAIDS_LTFU_AIDS_Dead_2004_2012)</f>
        <v>0</v>
      </c>
      <c r="CU5" s="73">
        <f t="shared" ref="CU5" si="28">(BT4*pAIDS_LTFU_AIDS_Dead_2004_2012)</f>
        <v>0</v>
      </c>
      <c r="CV5" s="73">
        <f t="shared" ref="CV5" si="29">(BU4*pAIDS_LTFU_AIDS_Dead_2004_2012)</f>
        <v>0</v>
      </c>
      <c r="CW5" s="73">
        <f t="shared" ref="CW5" si="30">(BV4*pAIDS_LTFU_AIDS_Dead_2004_2012)</f>
        <v>0</v>
      </c>
      <c r="CX5" s="73">
        <f t="shared" ref="CX5" si="31">(BW4*pAIDS_LTFU_AIDS_Dead_2004_2012)</f>
        <v>0</v>
      </c>
      <c r="CY5" s="73">
        <f t="shared" ref="CY5" si="32">(BX4*pAIDS_LTFU_AIDS_Dead_2004_2012)</f>
        <v>0</v>
      </c>
      <c r="CZ5" s="190"/>
      <c r="DA5" s="67">
        <v>2005</v>
      </c>
      <c r="DB5" s="218">
        <f t="shared" si="1"/>
        <v>19806.29342970506</v>
      </c>
      <c r="DC5" s="218">
        <f t="shared" si="2"/>
        <v>97900.966140905526</v>
      </c>
      <c r="DD5" s="73">
        <f t="shared" si="3"/>
        <v>7709.535855654939</v>
      </c>
      <c r="DE5" s="73">
        <f t="shared" si="4"/>
        <v>5189.646872251582</v>
      </c>
      <c r="DF5" s="73">
        <f t="shared" si="5"/>
        <v>23642.125438395058</v>
      </c>
      <c r="DG5" s="73">
        <f t="shared" si="6"/>
        <v>54161.850848396643</v>
      </c>
      <c r="DH5" s="72">
        <f t="shared" ref="DH5:DH23" si="33">DD5/(DD5+DG5)</f>
        <v>0.12460583585320043</v>
      </c>
      <c r="DI5" s="72">
        <f t="shared" ref="DI5:DI23" si="34">DE5/(DE5+DF5)</f>
        <v>0.17999749777210933</v>
      </c>
      <c r="DJ5" s="73">
        <f>SUM(AV4:AV5,BB4:BB5,BI4:BI5)</f>
        <v>12099.033859094485</v>
      </c>
      <c r="DK5" s="73">
        <v>0</v>
      </c>
      <c r="DL5" s="190"/>
    </row>
    <row r="6" spans="1:116" s="127" customFormat="1" x14ac:dyDescent="0.25">
      <c r="A6" s="190"/>
      <c r="B6" s="63"/>
      <c r="C6" s="62"/>
      <c r="D6" s="173"/>
      <c r="E6" s="173"/>
      <c r="F6" s="173"/>
      <c r="G6" s="173"/>
      <c r="H6" s="173"/>
      <c r="I6" s="173"/>
      <c r="J6" s="173"/>
      <c r="K6" s="173"/>
      <c r="L6" s="173"/>
      <c r="M6" s="173"/>
      <c r="N6" s="173"/>
      <c r="O6" s="173"/>
      <c r="P6" s="173"/>
      <c r="Q6" s="173"/>
      <c r="R6" s="173"/>
      <c r="S6" s="173"/>
      <c r="T6" s="173"/>
      <c r="U6" s="62"/>
      <c r="V6" s="190"/>
      <c r="W6" s="66">
        <v>2</v>
      </c>
      <c r="X6" s="66">
        <v>2006</v>
      </c>
      <c r="Y6" s="70">
        <f>MMULT($Y5:$AO5,D$48:D$64)</f>
        <v>0.15196946027045094</v>
      </c>
      <c r="Z6" s="70">
        <f t="shared" ref="Z6" si="35">MMULT($Y5:$AO5,E$48:E$64)</f>
        <v>3.6213148762961687E-2</v>
      </c>
      <c r="AA6" s="70">
        <f t="shared" ref="AA6" si="36">MMULT($Y5:$AO5,F$48:F$64)</f>
        <v>4.7440590641702758E-2</v>
      </c>
      <c r="AB6" s="70">
        <f t="shared" ref="AB6" si="37">MMULT($Y5:$AO5,G$48:G$64)</f>
        <v>5.8963735040365641E-3</v>
      </c>
      <c r="AC6" s="70">
        <f t="shared" ref="AC6" si="38">MMULT($Y5:$AO5,H$48:H$64)</f>
        <v>0.14269440455367974</v>
      </c>
      <c r="AD6" s="70">
        <f t="shared" ref="AD6" si="39">MMULT($Y5:$AO5,I$48:I$64)</f>
        <v>5.6033246440502379E-2</v>
      </c>
      <c r="AE6" s="70">
        <f t="shared" ref="AE6" si="40">MMULT($Y5:$AO5,J$48:J$64)</f>
        <v>4.004238418017568E-2</v>
      </c>
      <c r="AF6" s="70">
        <f t="shared" ref="AF6" si="41">MMULT($Y5:$AO5,K$48:K$64)</f>
        <v>5.6807036244686301E-3</v>
      </c>
      <c r="AG6" s="70">
        <f t="shared" ref="AG6" si="42">MMULT($Y5:$AO5,L$48:L$64)</f>
        <v>3.2325035985285161E-2</v>
      </c>
      <c r="AH6" s="70">
        <f t="shared" ref="AH6" si="43">MMULT($Y5:$AO5,M$48:M$64)</f>
        <v>7.7369828738642031E-3</v>
      </c>
      <c r="AI6" s="70">
        <f t="shared" ref="AI6" si="44">MMULT($Y5:$AO5,N$48:N$64)</f>
        <v>0.12235961998114195</v>
      </c>
      <c r="AJ6" s="70">
        <f t="shared" ref="AJ6" si="45">MMULT($Y5:$AO5,O$48:O$64)</f>
        <v>7.3402280047167812E-2</v>
      </c>
      <c r="AK6" s="70">
        <f t="shared" ref="AK6" si="46">MMULT($Y5:$AO5,P$48:P$64)</f>
        <v>2.259710287455188E-2</v>
      </c>
      <c r="AL6" s="70">
        <f t="shared" ref="AL6" si="47">MMULT($Y5:$AO5,Q$48:Q$64)</f>
        <v>4.0449437570172025E-2</v>
      </c>
      <c r="AM6" s="70">
        <f t="shared" ref="AM6" si="48">MMULT($Y5:$AO5,R$48:R$64)</f>
        <v>2.1914964359468917E-3</v>
      </c>
      <c r="AN6" s="70">
        <f t="shared" ref="AN6" si="49">MMULT($Y5:$AO5,S$48:S$64)</f>
        <v>1.1561927360977997E-2</v>
      </c>
      <c r="AO6" s="70">
        <f t="shared" ref="AO6" si="50">MMULT($Y5:$AO5,T$48:T$64)</f>
        <v>9.1414587992054736E-2</v>
      </c>
      <c r="AP6" s="190"/>
      <c r="AQ6" s="66">
        <v>2</v>
      </c>
      <c r="AR6" s="66">
        <v>2006</v>
      </c>
      <c r="AS6" s="215">
        <f>Params!$C$18*Y6</f>
        <v>16716.640629749603</v>
      </c>
      <c r="AT6" s="215">
        <f>Params!$C$18*Z6</f>
        <v>3983.4463639257856</v>
      </c>
      <c r="AU6" s="215">
        <f>Params!$C$18*AA6</f>
        <v>5218.4649705873035</v>
      </c>
      <c r="AV6" s="215">
        <f>Params!$C$18*AB6</f>
        <v>648.60108544402203</v>
      </c>
      <c r="AW6" s="215">
        <f>Params!$C$18*AC6</f>
        <v>15696.384500904771</v>
      </c>
      <c r="AX6" s="215">
        <f>Params!$C$18*AD6</f>
        <v>6163.6571084552616</v>
      </c>
      <c r="AY6" s="215">
        <f>Params!$C$18*AE6</f>
        <v>4404.6622598193244</v>
      </c>
      <c r="AZ6" s="215">
        <f>Params!$C$18*AF6</f>
        <v>624.87739869154927</v>
      </c>
      <c r="BA6" s="215">
        <f>Params!$C$18*AG6</f>
        <v>3555.7539583813677</v>
      </c>
      <c r="BB6" s="215">
        <f>Params!$C$18*AH6</f>
        <v>851.06811612506237</v>
      </c>
      <c r="BC6" s="215">
        <f>Params!$C$18*AI6</f>
        <v>13459.558197925615</v>
      </c>
      <c r="BD6" s="215">
        <f>Params!$C$18*AJ6</f>
        <v>8074.2508051884597</v>
      </c>
      <c r="BE6" s="215">
        <f>Params!$C$18*AK6</f>
        <v>2485.681316200707</v>
      </c>
      <c r="BF6" s="215">
        <f>Params!$C$18*AL6</f>
        <v>4449.438132718923</v>
      </c>
      <c r="BG6" s="215">
        <f t="shared" si="0"/>
        <v>241.06460795415808</v>
      </c>
      <c r="BH6" s="215">
        <f>Params!$C$18*AN6</f>
        <v>1271.8120097075796</v>
      </c>
      <c r="BI6" s="215">
        <f>Params!$C$18*AO6</f>
        <v>10055.604679126021</v>
      </c>
      <c r="BJ6" s="194"/>
      <c r="BK6" s="66">
        <v>2</v>
      </c>
      <c r="BL6" s="66">
        <v>2006</v>
      </c>
      <c r="BM6" s="215">
        <f t="shared" si="8"/>
        <v>2147.6882629479214</v>
      </c>
      <c r="BN6" s="219">
        <f t="shared" si="9"/>
        <v>1368.6651505047455</v>
      </c>
      <c r="BO6" s="219">
        <f t="shared" si="10"/>
        <v>36.225951973961209</v>
      </c>
      <c r="BP6" s="219">
        <f t="shared" ref="BP6:BP12" si="51">(AZ5*pInt_ART2_Int_LTFU_2004_2012)+(BP5*pInt_LTFU_2004_2012)</f>
        <v>3.1745929547388281</v>
      </c>
      <c r="BQ6" s="219">
        <f t="shared" si="11"/>
        <v>442.64893402912179</v>
      </c>
      <c r="BR6" s="220">
        <f t="shared" ref="BR6:BR12" si="52">(BN5*pInt_LTFU_AIDS_LTFU_2004_2012)+(BR5*pAIDS_LTFU_2004_2012)</f>
        <v>183.52958014673916</v>
      </c>
      <c r="BS6" s="219">
        <f t="shared" ref="BS6:BS12" si="53">(BM5*pInt_LTFU_AIDS_LTFU_2004_2012)+(BS5*pAIDS_LTFU_2004_2012)</f>
        <v>505.36357511488211</v>
      </c>
      <c r="BT6" s="219">
        <f t="shared" ref="BT6:BT12" si="54">(BE5*pAIDS_ART1ear_AIDS_LTFU_2004_2012)+(BT5*pAIDS_LTFU_2004_2012)</f>
        <v>115.07691468334588</v>
      </c>
      <c r="BU6" s="219">
        <f t="shared" ref="BU6:BU12" si="55">(BF5*pAIDS_ART1late_AIDS_LTFU_2004_2012)+(BU5*pAIDS_LTFU_2004_2012)</f>
        <v>22.156509985903931</v>
      </c>
      <c r="BV6" s="219">
        <f t="shared" ref="BV6:BV12" si="56">(BO5*pInt_LTFU_AIDS_LTFU_2004_2012)+(BV5*pAIDS_LTFU_2004_2012)</f>
        <v>1.7258577724619526</v>
      </c>
      <c r="BW6" s="219">
        <f t="shared" ref="BW6:BW12" si="57">(BG5*pAIDS_ART2_AIDS_LTFU_2004_2012)+(BW5*pAIDS_LTFU_2004_2012)</f>
        <v>1.3106379751251296</v>
      </c>
      <c r="BX6" s="220">
        <f t="shared" ref="BX6:BX12" si="58">(BP5*pInt_LTFU_AIDS_LTFU_2004_2012)+(BX5*pAIDS_LTFU_2004_2012)</f>
        <v>0</v>
      </c>
      <c r="BY6" s="195"/>
      <c r="BZ6" s="192">
        <v>2</v>
      </c>
      <c r="CA6" s="66">
        <v>2006</v>
      </c>
      <c r="CB6" s="218">
        <f>pAsympt_NoCare_Asympt_Dead_2004_2006*AS5</f>
        <v>454.26704769829377</v>
      </c>
      <c r="CC6" s="218">
        <f t="shared" si="12"/>
        <v>100.35145759701955</v>
      </c>
      <c r="CD6" s="73">
        <f t="shared" si="13"/>
        <v>93.982580148708792</v>
      </c>
      <c r="CE6" s="73">
        <f>pInt_NoCare_Int_Dead_2004_2006*AW5</f>
        <v>571.73374031171625</v>
      </c>
      <c r="CF6" s="73">
        <f t="shared" si="14"/>
        <v>195.06147087926163</v>
      </c>
      <c r="CG6" s="73">
        <f t="shared" si="15"/>
        <v>11.627490620827693</v>
      </c>
      <c r="CH6" s="73">
        <f t="shared" ref="CH6:CH12" si="59">pInt_ART2_Int_Dead_2004_2012*AZ5</f>
        <v>1.1160144421607423</v>
      </c>
      <c r="CI6" s="73">
        <f t="shared" si="16"/>
        <v>50.036609081156818</v>
      </c>
      <c r="CJ6" s="73">
        <f t="shared" ref="CJ6:CJ12" si="60">(BN5*pInt_LTFU_Int_Dead_2004_2012)</f>
        <v>21.292561849545621</v>
      </c>
      <c r="CK6" s="73">
        <f t="shared" ref="CK6:CK12" si="61">(BO5*pInt_LTFU_Int_Dead_2004_2012)</f>
        <v>0.20022894039360703</v>
      </c>
      <c r="CL6" s="73">
        <f t="shared" ref="CL6:CL12" si="62">(BP5*pInt_LTFU_Int_Dead_2004_2012)</f>
        <v>0</v>
      </c>
      <c r="CM6" s="73">
        <f t="shared" ref="CM6" si="63">pAIDS_NoCare_AIDS_Dead_2004_2006*BC5</f>
        <v>6757.3862396571913</v>
      </c>
      <c r="CN6" s="73">
        <f t="shared" ref="CN6:CN12" si="64">pAIDS_InCare_AIDS_Dead_2004_2012*BD5</f>
        <v>2492.4986453174415</v>
      </c>
      <c r="CO6" s="73">
        <f t="shared" ref="CO6:CO12" si="65">pAIDS_ART1ear_AIDS_Dead_2004_2012*BE5</f>
        <v>456.70525035766394</v>
      </c>
      <c r="CP6" s="73">
        <f t="shared" ref="CP6:CP12" si="66">pAIDS_ART1late_AIDS_Dead_2004_2012*BF5</f>
        <v>52.849003591907035</v>
      </c>
      <c r="CQ6" s="73">
        <f t="shared" ref="CQ6:CQ12" si="67">pAIDS_ART2_AIDS_Dead_2004_2012*BG5</f>
        <v>4.4989353205405909</v>
      </c>
      <c r="CR6" s="73">
        <f t="shared" ref="CR6:CR12" si="68">(BQ5*pAIDS_LTFU_AIDS_Dead_2004_2012)</f>
        <v>118.19038275596323</v>
      </c>
      <c r="CS6" s="73">
        <f t="shared" ref="CS6:CS12" si="69">(BR5*pAIDS_LTFU_AIDS_Dead_2004_2012)</f>
        <v>0</v>
      </c>
      <c r="CT6" s="73">
        <f t="shared" ref="CT6:CT12" si="70">(BS5*pAIDS_LTFU_AIDS_Dead_2004_2012)</f>
        <v>140.92559283523772</v>
      </c>
      <c r="CU6" s="73">
        <f t="shared" ref="CU6:CU12" si="71">(BT5*pAIDS_LTFU_AIDS_Dead_2004_2012)</f>
        <v>32.550629290076422</v>
      </c>
      <c r="CV6" s="73">
        <f t="shared" ref="CV6:CV12" si="72">(BU5*pAIDS_LTFU_AIDS_Dead_2004_2012)</f>
        <v>0</v>
      </c>
      <c r="CW6" s="73">
        <f t="shared" ref="CW6:CW12" si="73">(BV5*pAIDS_LTFU_AIDS_Dead_2004_2012)</f>
        <v>0</v>
      </c>
      <c r="CX6" s="73">
        <f t="shared" ref="CX6:CX12" si="74">(BW5*pAIDS_LTFU_AIDS_Dead_2004_2012)</f>
        <v>0</v>
      </c>
      <c r="CY6" s="73">
        <f t="shared" ref="CY6:CY12" si="75">(BX5*pAIDS_LTFU_AIDS_Dead_2004_2012)</f>
        <v>0</v>
      </c>
      <c r="CZ6" s="190"/>
      <c r="DA6" s="66">
        <v>2006</v>
      </c>
      <c r="DB6" s="218">
        <f t="shared" si="1"/>
        <v>18221.35427756951</v>
      </c>
      <c r="DC6" s="218">
        <f t="shared" si="2"/>
        <v>86345.692260210402</v>
      </c>
      <c r="DD6" s="73">
        <f t="shared" si="3"/>
        <v>12205.723715384662</v>
      </c>
      <c r="DE6" s="73">
        <f t="shared" si="4"/>
        <v>7176.184056873788</v>
      </c>
      <c r="DF6" s="73">
        <f t="shared" si="5"/>
        <v>22805.621012821655</v>
      </c>
      <c r="DG6" s="73">
        <f t="shared" si="6"/>
        <v>48221.416580563062</v>
      </c>
      <c r="DH6" s="72">
        <f t="shared" si="33"/>
        <v>0.20199075540569944</v>
      </c>
      <c r="DI6" s="72">
        <f t="shared" si="34"/>
        <v>0.23935130123727016</v>
      </c>
      <c r="DJ6" s="73">
        <f>SUM(AV4:AV6,BB4:BB6,BI4:BI6)</f>
        <v>23654.30773978959</v>
      </c>
      <c r="DK6" s="73">
        <v>0</v>
      </c>
      <c r="DL6" s="190"/>
    </row>
    <row r="7" spans="1:116" s="127" customFormat="1" x14ac:dyDescent="0.25">
      <c r="A7" s="190"/>
      <c r="B7" s="63"/>
      <c r="C7" s="62"/>
      <c r="D7" s="173"/>
      <c r="E7" s="173"/>
      <c r="F7" s="173"/>
      <c r="G7" s="173"/>
      <c r="H7" s="173"/>
      <c r="I7" s="173"/>
      <c r="J7" s="173"/>
      <c r="K7" s="173"/>
      <c r="L7" s="173"/>
      <c r="M7" s="173"/>
      <c r="N7" s="173"/>
      <c r="O7" s="173"/>
      <c r="P7" s="173"/>
      <c r="Q7" s="173"/>
      <c r="R7" s="173"/>
      <c r="S7" s="173"/>
      <c r="T7" s="173"/>
      <c r="U7" s="62"/>
      <c r="V7" s="190"/>
      <c r="W7" s="66">
        <v>3</v>
      </c>
      <c r="X7" s="66">
        <v>2007</v>
      </c>
      <c r="Y7" s="70">
        <f>MMULT($Y6:$AO6,D$70:D$86)</f>
        <v>9.6312178173697791E-2</v>
      </c>
      <c r="Z7" s="70">
        <f t="shared" ref="Z7" si="76">MMULT($Y6:$AO6,E$70:E$86)</f>
        <v>2.7116396350927441E-2</v>
      </c>
      <c r="AA7" s="70">
        <f t="shared" ref="AA7" si="77">MMULT($Y6:$AO6,F$70:F$86)</f>
        <v>4.24499876698088E-2</v>
      </c>
      <c r="AB7" s="70">
        <f t="shared" ref="AB7" si="78">MMULT($Y6:$AO6,G$70:G$86)</f>
        <v>4.2441889777829192E-3</v>
      </c>
      <c r="AC7" s="70">
        <f t="shared" ref="AC7" si="79">MMULT($Y6:$AO6,H$70:H$86)</f>
        <v>9.8131635020453273E-2</v>
      </c>
      <c r="AD7" s="70">
        <f t="shared" ref="AD7" si="80">MMULT($Y6:$AO6,I$70:I$86)</f>
        <v>4.7923364634803685E-2</v>
      </c>
      <c r="AE7" s="70">
        <f t="shared" ref="AE7" si="81">MMULT($Y6:$AO6,J$70:J$86)</f>
        <v>5.781148345815508E-2</v>
      </c>
      <c r="AF7" s="70">
        <f t="shared" ref="AF7" si="82">MMULT($Y6:$AO6,K$70:K$86)</f>
        <v>1.0814356115073084E-2</v>
      </c>
      <c r="AG7" s="70">
        <f t="shared" ref="AG7" si="83">MMULT($Y6:$AO6,L$70:L$86)</f>
        <v>3.4556798281377608E-2</v>
      </c>
      <c r="AH7" s="70">
        <f t="shared" ref="AH7" si="84">MMULT($Y6:$AO6,M$70:M$86)</f>
        <v>6.5785389094525776E-3</v>
      </c>
      <c r="AI7" s="70">
        <f t="shared" ref="AI7" si="85">MMULT($Y6:$AO6,N$70:N$86)</f>
        <v>5.1258168855945613E-2</v>
      </c>
      <c r="AJ7" s="70">
        <f t="shared" ref="AJ7" si="86">MMULT($Y6:$AO6,O$70:O$86)</f>
        <v>0.10090266218689159</v>
      </c>
      <c r="AK7" s="70">
        <f t="shared" ref="AK7" si="87">MMULT($Y6:$AO6,P$70:P$86)</f>
        <v>4.1572160040610963E-2</v>
      </c>
      <c r="AL7" s="70">
        <f t="shared" ref="AL7" si="88">MMULT($Y6:$AO6,Q$70:Q$86)</f>
        <v>5.6274080490802625E-2</v>
      </c>
      <c r="AM7" s="70">
        <f t="shared" ref="AM7" si="89">MMULT($Y6:$AO6,R$70:R$86)</f>
        <v>5.3811235467495517E-3</v>
      </c>
      <c r="AN7" s="70">
        <f t="shared" ref="AN7" si="90">MMULT($Y6:$AO6,S$70:S$86)</f>
        <v>1.5795096196343068E-2</v>
      </c>
      <c r="AO7" s="70">
        <f t="shared" ref="AO7" si="91">MMULT($Y6:$AO6,T$70:T$86)</f>
        <v>8.7838619820309841E-2</v>
      </c>
      <c r="AP7" s="190"/>
      <c r="AQ7" s="66">
        <v>3</v>
      </c>
      <c r="AR7" s="66">
        <v>2007</v>
      </c>
      <c r="AS7" s="215">
        <f>Params!$C$18*Y7</f>
        <v>10594.339599106757</v>
      </c>
      <c r="AT7" s="215">
        <f>Params!$C$18*Z7</f>
        <v>2982.8035986020186</v>
      </c>
      <c r="AU7" s="215">
        <f>Params!$C$18*AA7</f>
        <v>4669.4986436789677</v>
      </c>
      <c r="AV7" s="215">
        <f>Params!$C$18*AB7</f>
        <v>466.86078755612112</v>
      </c>
      <c r="AW7" s="215">
        <f>Params!$C$18*AC7</f>
        <v>10794.47985224986</v>
      </c>
      <c r="AX7" s="215">
        <f>Params!$C$18*AD7</f>
        <v>5271.5701098284053</v>
      </c>
      <c r="AY7" s="215">
        <f>Params!$C$18*AE7</f>
        <v>6359.2631803970589</v>
      </c>
      <c r="AZ7" s="215">
        <f>Params!$C$18*AF7</f>
        <v>1189.5791726580392</v>
      </c>
      <c r="BA7" s="215">
        <f>Params!$C$18*AG7</f>
        <v>3801.2478109515368</v>
      </c>
      <c r="BB7" s="215">
        <f>Params!$C$18*AH7</f>
        <v>723.63928003978356</v>
      </c>
      <c r="BC7" s="215">
        <f>Params!$C$18*AI7</f>
        <v>5638.3985741540173</v>
      </c>
      <c r="BD7" s="215">
        <f>Params!$C$18*AJ7</f>
        <v>11099.292840558075</v>
      </c>
      <c r="BE7" s="215">
        <f>Params!$C$18*AK7</f>
        <v>4572.9376044672063</v>
      </c>
      <c r="BF7" s="215">
        <f>Params!$C$18*AL7</f>
        <v>6190.1488539882885</v>
      </c>
      <c r="BG7" s="215">
        <f t="shared" si="0"/>
        <v>591.92359014245073</v>
      </c>
      <c r="BH7" s="215">
        <f>Params!$C$18*AN7</f>
        <v>1737.4605815977375</v>
      </c>
      <c r="BI7" s="215">
        <f>Params!$C$18*AO7</f>
        <v>9662.2481802340826</v>
      </c>
      <c r="BJ7" s="194"/>
      <c r="BK7" s="66">
        <v>3</v>
      </c>
      <c r="BL7" s="66">
        <v>2007</v>
      </c>
      <c r="BM7" s="215">
        <f t="shared" si="8"/>
        <v>2067.3030526776201</v>
      </c>
      <c r="BN7" s="219">
        <f t="shared" si="9"/>
        <v>1644.3021114214728</v>
      </c>
      <c r="BO7" s="219">
        <f t="shared" si="10"/>
        <v>79.260355805388997</v>
      </c>
      <c r="BP7" s="219">
        <f t="shared" si="51"/>
        <v>10.382291047054558</v>
      </c>
      <c r="BQ7" s="219">
        <f t="shared" si="11"/>
        <v>570.3272853261708</v>
      </c>
      <c r="BR7" s="220">
        <f t="shared" si="52"/>
        <v>368.6069199139809</v>
      </c>
      <c r="BS7" s="219">
        <f t="shared" si="53"/>
        <v>625.31792623142724</v>
      </c>
      <c r="BT7" s="219">
        <f t="shared" si="54"/>
        <v>103.64117600417765</v>
      </c>
      <c r="BU7" s="219">
        <f t="shared" si="55"/>
        <v>52.824542859499218</v>
      </c>
      <c r="BV7" s="219">
        <f t="shared" si="56"/>
        <v>9.0805205048544142</v>
      </c>
      <c r="BW7" s="219">
        <f t="shared" si="57"/>
        <v>6.8990923322267257</v>
      </c>
      <c r="BX7" s="220">
        <f t="shared" si="58"/>
        <v>0.76311842540072539</v>
      </c>
      <c r="BY7" s="195"/>
      <c r="BZ7" s="192">
        <v>3</v>
      </c>
      <c r="CA7" s="66">
        <v>2007</v>
      </c>
      <c r="CB7" s="218">
        <f>pAsympt_NoCare_Asympt_Dead_2007_2009*AS6</f>
        <v>303.99285228907007</v>
      </c>
      <c r="CC7" s="218">
        <f t="shared" si="12"/>
        <v>67.969918008951097</v>
      </c>
      <c r="CD7" s="73">
        <f t="shared" si="13"/>
        <v>94.898017258099941</v>
      </c>
      <c r="CE7" s="73">
        <f>pInt_NoCare_Int_Dead_2007_2009*AW6</f>
        <v>437.74920559177298</v>
      </c>
      <c r="CF7" s="73">
        <f t="shared" si="14"/>
        <v>161.29006406372255</v>
      </c>
      <c r="CG7" s="73">
        <f t="shared" si="15"/>
        <v>22.275122506766728</v>
      </c>
      <c r="CH7" s="73">
        <f t="shared" si="59"/>
        <v>3.1601107613946611</v>
      </c>
      <c r="CI7" s="73">
        <f t="shared" si="16"/>
        <v>59.895884361779963</v>
      </c>
      <c r="CJ7" s="73">
        <f t="shared" si="60"/>
        <v>38.170069185044589</v>
      </c>
      <c r="CK7" s="73">
        <f t="shared" si="61"/>
        <v>1.0102888150766922</v>
      </c>
      <c r="CL7" s="73">
        <f t="shared" si="62"/>
        <v>8.8534754225347734E-2</v>
      </c>
      <c r="CM7" s="73">
        <f>pAIDS_NoCare_AIDS_Dead_2007_2009*BC6</f>
        <v>5525.3470112934265</v>
      </c>
      <c r="CN7" s="73">
        <f t="shared" si="64"/>
        <v>3110.1003015807946</v>
      </c>
      <c r="CO7" s="73">
        <f t="shared" si="65"/>
        <v>367.39591182522867</v>
      </c>
      <c r="CP7" s="73">
        <f t="shared" si="66"/>
        <v>114.59615335907783</v>
      </c>
      <c r="CQ7" s="73">
        <f t="shared" si="67"/>
        <v>22.711227840025519</v>
      </c>
      <c r="CR7" s="73">
        <f t="shared" si="68"/>
        <v>181.71391131300089</v>
      </c>
      <c r="CS7" s="73">
        <f t="shared" si="69"/>
        <v>75.341597564770751</v>
      </c>
      <c r="CT7" s="73">
        <f t="shared" si="70"/>
        <v>207.45919578607902</v>
      </c>
      <c r="CU7" s="73">
        <f t="shared" si="71"/>
        <v>47.240769515933245</v>
      </c>
      <c r="CV7" s="73">
        <f t="shared" si="72"/>
        <v>9.0955738985678565</v>
      </c>
      <c r="CW7" s="73">
        <f t="shared" si="73"/>
        <v>0.70849005181015989</v>
      </c>
      <c r="CX7" s="73">
        <f t="shared" si="74"/>
        <v>0.53803620536827113</v>
      </c>
      <c r="CY7" s="73">
        <f t="shared" si="75"/>
        <v>0</v>
      </c>
      <c r="CZ7" s="190"/>
      <c r="DA7" s="66">
        <v>2007</v>
      </c>
      <c r="DB7" s="218">
        <f t="shared" si="1"/>
        <v>19353.666548988498</v>
      </c>
      <c r="DC7" s="218">
        <f t="shared" si="2"/>
        <v>75492.944012380423</v>
      </c>
      <c r="DD7" s="73">
        <f t="shared" si="3"/>
        <v>18903.852401653043</v>
      </c>
      <c r="DE7" s="73">
        <f t="shared" si="4"/>
        <v>11355.010048597946</v>
      </c>
      <c r="DF7" s="73">
        <f t="shared" si="5"/>
        <v>18475.151996309829</v>
      </c>
      <c r="DG7" s="73">
        <f t="shared" si="6"/>
        <v>38342.449769339633</v>
      </c>
      <c r="DH7" s="72">
        <f t="shared" si="33"/>
        <v>0.33021962440801689</v>
      </c>
      <c r="DI7" s="72">
        <f t="shared" si="34"/>
        <v>0.38065532569027155</v>
      </c>
      <c r="DJ7" s="73">
        <f>SUM(AV4:AV7,BB4:BB7,BI4:BI7)</f>
        <v>34507.055987619577</v>
      </c>
      <c r="DK7" s="218">
        <v>0</v>
      </c>
      <c r="DL7" s="190"/>
    </row>
    <row r="8" spans="1:116" s="127" customFormat="1" x14ac:dyDescent="0.25">
      <c r="A8" s="190"/>
      <c r="B8" s="63"/>
      <c r="C8" s="62"/>
      <c r="D8" s="173"/>
      <c r="E8" s="173"/>
      <c r="F8" s="173"/>
      <c r="G8" s="173"/>
      <c r="H8" s="173"/>
      <c r="I8" s="173"/>
      <c r="J8" s="173"/>
      <c r="K8" s="173"/>
      <c r="L8" s="173"/>
      <c r="M8" s="173"/>
      <c r="N8" s="173"/>
      <c r="O8" s="173"/>
      <c r="P8" s="173"/>
      <c r="Q8" s="173"/>
      <c r="R8" s="173"/>
      <c r="S8" s="173"/>
      <c r="T8" s="173"/>
      <c r="U8" s="62"/>
      <c r="V8" s="190"/>
      <c r="W8" s="66">
        <v>4</v>
      </c>
      <c r="X8" s="66">
        <v>2008</v>
      </c>
      <c r="Y8" s="70">
        <f>MMULT($Y7:$AO7,D$92:D$108)</f>
        <v>6.1038814298965759E-2</v>
      </c>
      <c r="Z8" s="70">
        <f t="shared" ref="Z8" si="92">MMULT($Y7:$AO7,E$92:E$108)</f>
        <v>1.9010564845856948E-2</v>
      </c>
      <c r="AA8" s="70">
        <f t="shared" ref="AA8" si="93">MMULT($Y7:$AO7,F$92:F$108)</f>
        <v>3.6362279785885465E-2</v>
      </c>
      <c r="AB8" s="70">
        <f t="shared" ref="AB8" si="94">MMULT($Y7:$AO7,G$92:G$108)</f>
        <v>2.9860857567301064E-3</v>
      </c>
      <c r="AC8" s="70">
        <f t="shared" ref="AC8" si="95">MMULT($Y7:$AO7,H$92:H$108)</f>
        <v>6.5846010447470377E-2</v>
      </c>
      <c r="AD8" s="70">
        <f t="shared" ref="AD8" si="96">MMULT($Y7:$AO7,I$92:I$108)</f>
        <v>3.5364218219217772E-2</v>
      </c>
      <c r="AE8" s="70">
        <f t="shared" ref="AE8" si="97">MMULT($Y7:$AO7,J$92:J$108)</f>
        <v>7.3404450169126265E-2</v>
      </c>
      <c r="AF8" s="70">
        <f t="shared" ref="AF8" si="98">MMULT($Y7:$AO7,K$92:K$108)</f>
        <v>1.6340229195015973E-2</v>
      </c>
      <c r="AG8" s="70">
        <f t="shared" ref="AG8" si="99">MMULT($Y7:$AO7,L$92:L$108)</f>
        <v>3.3387493724101838E-2</v>
      </c>
      <c r="AH8" s="70">
        <f t="shared" ref="AH8" si="100">MMULT($Y7:$AO7,M$92:M$108)</f>
        <v>5.3015934151247161E-3</v>
      </c>
      <c r="AI8" s="70">
        <f t="shared" ref="AI8" si="101">MMULT($Y7:$AO7,N$92:N$108)</f>
        <v>3.2979250677898905E-2</v>
      </c>
      <c r="AJ8" s="70">
        <f t="shared" ref="AJ8" si="102">MMULT($Y7:$AO7,O$92:O$108)</f>
        <v>6.1771772432437658E-2</v>
      </c>
      <c r="AK8" s="70">
        <f t="shared" ref="AK8" si="103">MMULT($Y7:$AO7,P$92:P$108)</f>
        <v>5.2206641855161412E-2</v>
      </c>
      <c r="AL8" s="70">
        <f t="shared" ref="AL8" si="104">MMULT($Y7:$AO7,Q$92:Q$108)</f>
        <v>8.6604990304573581E-2</v>
      </c>
      <c r="AM8" s="70">
        <f t="shared" ref="AM8" si="105">MMULT($Y7:$AO7,R$92:R$108)</f>
        <v>9.4791891168464447E-3</v>
      </c>
      <c r="AN8" s="70">
        <f t="shared" ref="AN8" si="106">MMULT($Y7:$AO7,S$92:S$108)</f>
        <v>1.9722224263350855E-2</v>
      </c>
      <c r="AO8" s="70">
        <f t="shared" ref="AO8" si="107">MMULT($Y7:$AO7,T$92:T$108)</f>
        <v>7.4493682513876072E-2</v>
      </c>
      <c r="AP8" s="190"/>
      <c r="AQ8" s="66">
        <v>4</v>
      </c>
      <c r="AR8" s="66">
        <v>2008</v>
      </c>
      <c r="AS8" s="215">
        <f>Params!$C$18*Y8</f>
        <v>6714.2695728862336</v>
      </c>
      <c r="AT8" s="215">
        <f>Params!$C$18*Z8</f>
        <v>2091.162133044264</v>
      </c>
      <c r="AU8" s="215">
        <f>Params!$C$18*AA8</f>
        <v>3999.8507764474011</v>
      </c>
      <c r="AV8" s="215">
        <f>Params!$C$18*AB8</f>
        <v>328.46943324031173</v>
      </c>
      <c r="AW8" s="215">
        <f>Params!$C$18*AC8</f>
        <v>7243.0611492217413</v>
      </c>
      <c r="AX8" s="215">
        <f>Params!$C$18*AD8</f>
        <v>3890.064004113955</v>
      </c>
      <c r="AY8" s="215">
        <f>Params!$C$18*AE8</f>
        <v>8074.4895186038893</v>
      </c>
      <c r="AZ8" s="215">
        <f>Params!$C$18*AF8</f>
        <v>1797.4252114517571</v>
      </c>
      <c r="BA8" s="215">
        <f>Params!$C$18*AG8</f>
        <v>3672.6243096512021</v>
      </c>
      <c r="BB8" s="215">
        <f>Params!$C$18*AH8</f>
        <v>583.17527566371882</v>
      </c>
      <c r="BC8" s="215">
        <f>Params!$C$18*AI8</f>
        <v>3627.7175745688796</v>
      </c>
      <c r="BD8" s="215">
        <f>Params!$C$18*AJ8</f>
        <v>6794.8949675681424</v>
      </c>
      <c r="BE8" s="215">
        <f>Params!$C$18*AK8</f>
        <v>5742.7306040677549</v>
      </c>
      <c r="BF8" s="215">
        <f>Params!$C$18*AL8</f>
        <v>9526.5489335030943</v>
      </c>
      <c r="BG8" s="215">
        <f t="shared" si="0"/>
        <v>1042.7108028531088</v>
      </c>
      <c r="BH8" s="215">
        <f>Params!$C$18*AN8</f>
        <v>2169.4446689685942</v>
      </c>
      <c r="BI8" s="215">
        <f>Params!$C$18*AO8</f>
        <v>8194.3050765263688</v>
      </c>
      <c r="BJ8" s="194"/>
      <c r="BK8" s="66">
        <v>4</v>
      </c>
      <c r="BL8" s="66">
        <v>2008</v>
      </c>
      <c r="BM8" s="215">
        <f t="shared" si="8"/>
        <v>1869.2263416496226</v>
      </c>
      <c r="BN8" s="219">
        <f t="shared" si="9"/>
        <v>1655.4661683852335</v>
      </c>
      <c r="BO8" s="219">
        <f t="shared" si="10"/>
        <v>126.26303447328797</v>
      </c>
      <c r="BP8" s="219">
        <f t="shared" si="51"/>
        <v>21.668765143057563</v>
      </c>
      <c r="BQ8" s="219">
        <f t="shared" si="11"/>
        <v>775.7674313240866</v>
      </c>
      <c r="BR8" s="220">
        <f t="shared" si="52"/>
        <v>474.80234314595913</v>
      </c>
      <c r="BS8" s="219">
        <f t="shared" si="53"/>
        <v>631.87906301992984</v>
      </c>
      <c r="BT8" s="219">
        <f t="shared" si="54"/>
        <v>167.35060063267747</v>
      </c>
      <c r="BU8" s="219">
        <f t="shared" si="55"/>
        <v>78.237844872499366</v>
      </c>
      <c r="BV8" s="219">
        <f t="shared" si="56"/>
        <v>21.012290773963215</v>
      </c>
      <c r="BW8" s="219">
        <f t="shared" si="57"/>
        <v>17.734698413257735</v>
      </c>
      <c r="BX8" s="220">
        <f t="shared" si="58"/>
        <v>2.660396786220848</v>
      </c>
      <c r="BY8" s="195"/>
      <c r="BZ8" s="192">
        <v>4</v>
      </c>
      <c r="CA8" s="66">
        <v>2008</v>
      </c>
      <c r="CB8" s="218">
        <f>pAsympt_NoCare_Asympt_Dead_2007_2009*AS7</f>
        <v>192.65853613673977</v>
      </c>
      <c r="CC8" s="218">
        <f t="shared" si="12"/>
        <v>50.895856881571582</v>
      </c>
      <c r="CD8" s="73">
        <f t="shared" si="13"/>
        <v>84.915040222000385</v>
      </c>
      <c r="CE8" s="73">
        <f>pInt_NoCare_Int_Dead_2007_2009*AW7</f>
        <v>301.04225465593055</v>
      </c>
      <c r="CF8" s="73">
        <f t="shared" si="14"/>
        <v>137.94600604311017</v>
      </c>
      <c r="CG8" s="73">
        <f t="shared" si="15"/>
        <v>32.159870164920655</v>
      </c>
      <c r="CH8" s="73">
        <f t="shared" si="59"/>
        <v>6.0159032042431688</v>
      </c>
      <c r="CI8" s="73">
        <f t="shared" si="16"/>
        <v>57.654058421855787</v>
      </c>
      <c r="CJ8" s="73">
        <f t="shared" si="60"/>
        <v>45.857180867742784</v>
      </c>
      <c r="CK8" s="73">
        <f t="shared" si="61"/>
        <v>2.21045539415337</v>
      </c>
      <c r="CL8" s="73">
        <f t="shared" si="62"/>
        <v>0.28954691176230651</v>
      </c>
      <c r="CM8" s="73">
        <f>pAIDS_NoCare_AIDS_Dead_2007_2009*BC7</f>
        <v>2314.6457151160048</v>
      </c>
      <c r="CN8" s="73">
        <f t="shared" si="64"/>
        <v>4275.3086129763215</v>
      </c>
      <c r="CO8" s="73">
        <f t="shared" si="65"/>
        <v>675.90264687713795</v>
      </c>
      <c r="CP8" s="73">
        <f t="shared" si="66"/>
        <v>159.42850001010981</v>
      </c>
      <c r="CQ8" s="73">
        <f t="shared" si="67"/>
        <v>55.766425580678863</v>
      </c>
      <c r="CR8" s="73">
        <f t="shared" si="68"/>
        <v>234.12775628264845</v>
      </c>
      <c r="CS8" s="73">
        <f t="shared" si="69"/>
        <v>151.31857326510783</v>
      </c>
      <c r="CT8" s="73">
        <f t="shared" si="70"/>
        <v>256.70222484297585</v>
      </c>
      <c r="CU8" s="73">
        <f t="shared" si="71"/>
        <v>42.54623024475471</v>
      </c>
      <c r="CV8" s="73">
        <f t="shared" si="72"/>
        <v>21.68525338793506</v>
      </c>
      <c r="CW8" s="73">
        <f t="shared" si="73"/>
        <v>3.7276874987039825</v>
      </c>
      <c r="CX8" s="73">
        <f t="shared" si="74"/>
        <v>2.8321790832912606</v>
      </c>
      <c r="CY8" s="73">
        <f t="shared" si="75"/>
        <v>0.31327136069746253</v>
      </c>
      <c r="CZ8" s="190"/>
      <c r="DA8" s="66">
        <v>2008</v>
      </c>
      <c r="DB8" s="218">
        <f t="shared" si="1"/>
        <v>12776.12110472636</v>
      </c>
      <c r="DC8" s="218">
        <f t="shared" si="2"/>
        <v>66386.994226950032</v>
      </c>
      <c r="DD8" s="73">
        <f t="shared" si="3"/>
        <v>26183.905070479603</v>
      </c>
      <c r="DE8" s="73">
        <f t="shared" si="4"/>
        <v>16311.990340423958</v>
      </c>
      <c r="DF8" s="73">
        <f t="shared" si="5"/>
        <v>12592.057211105615</v>
      </c>
      <c r="DG8" s="73">
        <f t="shared" si="6"/>
        <v>27397.806674092513</v>
      </c>
      <c r="DH8" s="72">
        <f t="shared" si="33"/>
        <v>0.48867242605649042</v>
      </c>
      <c r="DI8" s="72">
        <f t="shared" si="34"/>
        <v>0.56434969224788534</v>
      </c>
      <c r="DJ8" s="73">
        <f>SUM(AV4:AV8,BB4:BB8,BI4:BI8)</f>
        <v>43613.005773049976</v>
      </c>
      <c r="DK8" s="218">
        <v>0</v>
      </c>
      <c r="DL8" s="190"/>
    </row>
    <row r="9" spans="1:116" s="127" customFormat="1" x14ac:dyDescent="0.25">
      <c r="A9" s="190"/>
      <c r="B9" s="63"/>
      <c r="D9" s="173"/>
      <c r="E9" s="173"/>
      <c r="F9" s="173"/>
      <c r="G9" s="173"/>
      <c r="H9" s="173"/>
      <c r="I9" s="173"/>
      <c r="J9" s="173"/>
      <c r="K9" s="173"/>
      <c r="L9" s="173"/>
      <c r="M9" s="173"/>
      <c r="N9" s="173"/>
      <c r="O9" s="173"/>
      <c r="P9" s="173"/>
      <c r="Q9" s="173"/>
      <c r="R9" s="173"/>
      <c r="S9" s="173"/>
      <c r="T9" s="173"/>
      <c r="U9" s="62"/>
      <c r="V9" s="190"/>
      <c r="W9" s="66">
        <v>5</v>
      </c>
      <c r="X9" s="66">
        <v>2009</v>
      </c>
      <c r="Y9" s="70">
        <f>MMULT($Y8:$AO8,D$114:D$130)</f>
        <v>3.8683964184719276E-2</v>
      </c>
      <c r="Z9" s="70">
        <f t="shared" ref="Z9" si="108">MMULT($Y8:$AO8,E$114:E$130)</f>
        <v>1.2847866194150619E-2</v>
      </c>
      <c r="AA9" s="70">
        <f t="shared" ref="AA9" si="109">MMULT($Y8:$AO8,F$114:F$130)</f>
        <v>2.9853817870297172E-2</v>
      </c>
      <c r="AB9" s="70">
        <f t="shared" ref="AB9" si="110">MMULT($Y8:$AO8,G$114:G$130)</f>
        <v>2.0956222684543682E-3</v>
      </c>
      <c r="AC9" s="70">
        <f t="shared" ref="AC9" si="111">MMULT($Y8:$AO8,H$114:H$130)</f>
        <v>4.3465191243211763E-2</v>
      </c>
      <c r="AD9" s="70">
        <f t="shared" ref="AD9" si="112">MMULT($Y8:$AO8,I$114:I$130)</f>
        <v>2.4505451540474326E-2</v>
      </c>
      <c r="AE9" s="70">
        <f t="shared" ref="AE9" si="113">MMULT($Y8:$AO8,J$114:J$130)</f>
        <v>8.5734682909722346E-2</v>
      </c>
      <c r="AF9" s="70">
        <f t="shared" ref="AF9" si="114">MMULT($Y8:$AO8,K$114:K$130)</f>
        <v>2.1716585175041069E-2</v>
      </c>
      <c r="AG9" s="70">
        <f t="shared" ref="AG9" si="115">MMULT($Y8:$AO8,L$114:L$130)</f>
        <v>2.9668652543604592E-2</v>
      </c>
      <c r="AH9" s="70">
        <f t="shared" ref="AH9" si="116">MMULT($Y8:$AO8,M$114:M$130)</f>
        <v>4.1467392274690132E-3</v>
      </c>
      <c r="AI9" s="70">
        <f t="shared" ref="AI9" si="117">MMULT($Y8:$AO8,N$114:N$130)</f>
        <v>2.2031267207768414E-2</v>
      </c>
      <c r="AJ9" s="70">
        <f t="shared" ref="AJ9" si="118">MMULT($Y8:$AO8,O$114:O$130)</f>
        <v>4.0174592652100355E-2</v>
      </c>
      <c r="AK9" s="70">
        <f t="shared" ref="AK9" si="119">MMULT($Y8:$AO8,P$114:P$130)</f>
        <v>3.5175662434715614E-2</v>
      </c>
      <c r="AL9" s="70">
        <f t="shared" ref="AL9" si="120">MMULT($Y8:$AO8,Q$114:Q$130)</f>
        <v>0.12362476112816889</v>
      </c>
      <c r="AM9" s="70">
        <f t="shared" ref="AM9" si="121">MMULT($Y8:$AO8,R$114:R$130)</f>
        <v>1.4760248460824854E-2</v>
      </c>
      <c r="AN9" s="70">
        <f t="shared" ref="AN9" si="122">MMULT($Y8:$AO8,S$114:S$130)</f>
        <v>1.8764596873201134E-2</v>
      </c>
      <c r="AO9" s="70">
        <f t="shared" ref="AO9" si="123">MMULT($Y8:$AO8,T$114:T$130)</f>
        <v>5.6268427421985456E-2</v>
      </c>
      <c r="AP9" s="190"/>
      <c r="AQ9" s="66">
        <v>5</v>
      </c>
      <c r="AR9" s="66">
        <v>2009</v>
      </c>
      <c r="AS9" s="215">
        <f>Params!$C$18*Y9</f>
        <v>4255.23606031912</v>
      </c>
      <c r="AT9" s="215">
        <f>Params!$C$18*Z9</f>
        <v>1413.265281356568</v>
      </c>
      <c r="AU9" s="215">
        <f>Params!$C$18*AA9</f>
        <v>3283.919965732689</v>
      </c>
      <c r="AV9" s="215">
        <f>Params!$C$18*AB9</f>
        <v>230.5184495299805</v>
      </c>
      <c r="AW9" s="215">
        <f>Params!$C$18*AC9</f>
        <v>4781.1710367532942</v>
      </c>
      <c r="AX9" s="215">
        <f>Params!$C$18*AD9</f>
        <v>2695.5996694521759</v>
      </c>
      <c r="AY9" s="215">
        <f>Params!$C$18*AE9</f>
        <v>9430.8151200694574</v>
      </c>
      <c r="AZ9" s="215">
        <f>Params!$C$18*AF9</f>
        <v>2388.8243692545175</v>
      </c>
      <c r="BA9" s="215">
        <f>Params!$C$18*AG9</f>
        <v>3263.5517797965053</v>
      </c>
      <c r="BB9" s="215">
        <f>Params!$C$18*AH9</f>
        <v>456.14131502159148</v>
      </c>
      <c r="BC9" s="215">
        <f>Params!$C$18*AI9</f>
        <v>2423.4393928545255</v>
      </c>
      <c r="BD9" s="215">
        <f>Params!$C$18*AJ9</f>
        <v>4419.2051917310391</v>
      </c>
      <c r="BE9" s="215">
        <f>Params!$C$18*AK9</f>
        <v>3869.3228678187174</v>
      </c>
      <c r="BF9" s="215">
        <f>Params!$C$18*AL9</f>
        <v>13598.723724098578</v>
      </c>
      <c r="BG9" s="215">
        <f t="shared" si="0"/>
        <v>1623.627330690734</v>
      </c>
      <c r="BH9" s="215">
        <f>Params!$C$18*AN9</f>
        <v>2064.1056560521247</v>
      </c>
      <c r="BI9" s="215">
        <f>Params!$C$18*AO9</f>
        <v>6189.5270164184003</v>
      </c>
      <c r="BJ9" s="194"/>
      <c r="BK9" s="66">
        <v>5</v>
      </c>
      <c r="BL9" s="66">
        <v>2009</v>
      </c>
      <c r="BM9" s="215">
        <f t="shared" si="8"/>
        <v>1530.1867292424256</v>
      </c>
      <c r="BN9" s="219">
        <f t="shared" si="9"/>
        <v>1526.4357000239465</v>
      </c>
      <c r="BO9" s="219">
        <f t="shared" si="10"/>
        <v>171.5635756977789</v>
      </c>
      <c r="BP9" s="219">
        <f t="shared" si="51"/>
        <v>35.36577483235402</v>
      </c>
      <c r="BQ9" s="219">
        <f t="shared" si="11"/>
        <v>566.97621727755109</v>
      </c>
      <c r="BR9" s="220">
        <f t="shared" si="52"/>
        <v>500.40140071342182</v>
      </c>
      <c r="BS9" s="219">
        <f t="shared" si="53"/>
        <v>585.6805701903246</v>
      </c>
      <c r="BT9" s="219">
        <f t="shared" si="54"/>
        <v>218.18679443930023</v>
      </c>
      <c r="BU9" s="219">
        <f t="shared" si="55"/>
        <v>119.74695538876136</v>
      </c>
      <c r="BV9" s="219">
        <f t="shared" si="56"/>
        <v>34.8856395096686</v>
      </c>
      <c r="BW9" s="219">
        <f t="shared" si="57"/>
        <v>32.445199657932868</v>
      </c>
      <c r="BX9" s="220">
        <f t="shared" si="58"/>
        <v>5.7828788751642222</v>
      </c>
      <c r="BY9" s="195"/>
      <c r="BZ9" s="192">
        <v>5</v>
      </c>
      <c r="CA9" s="66">
        <v>2009</v>
      </c>
      <c r="CB9" s="218">
        <f>pAsympt_NoCare_Asympt_Dead_2007_2009*AS8</f>
        <v>122.0992903841575</v>
      </c>
      <c r="CC9" s="218">
        <f t="shared" si="12"/>
        <v>35.681695130535971</v>
      </c>
      <c r="CD9" s="73">
        <f t="shared" si="13"/>
        <v>72.737464015287031</v>
      </c>
      <c r="CE9" s="73">
        <f>pInt_NoCare_Int_Dead_2007_2009*AW8</f>
        <v>201.99838147069403</v>
      </c>
      <c r="CF9" s="73">
        <f t="shared" si="14"/>
        <v>101.79486973323331</v>
      </c>
      <c r="CG9" s="73">
        <f t="shared" si="15"/>
        <v>40.834060047519564</v>
      </c>
      <c r="CH9" s="73">
        <f t="shared" si="59"/>
        <v>9.0898834961937123</v>
      </c>
      <c r="CI9" s="73">
        <f t="shared" si="16"/>
        <v>52.12998866593594</v>
      </c>
      <c r="CJ9" s="73">
        <f t="shared" si="60"/>
        <v>46.168530087480988</v>
      </c>
      <c r="CK9" s="73">
        <f t="shared" si="61"/>
        <v>3.5212913542671238</v>
      </c>
      <c r="CL9" s="73">
        <f t="shared" si="62"/>
        <v>0.60431016626672129</v>
      </c>
      <c r="CM9" s="73">
        <f>pAIDS_NoCare_AIDS_Dead_2007_2009*BC8</f>
        <v>1489.2315307607971</v>
      </c>
      <c r="CN9" s="73">
        <f t="shared" si="64"/>
        <v>2617.3084534683644</v>
      </c>
      <c r="CO9" s="73">
        <f t="shared" si="65"/>
        <v>848.80379994687871</v>
      </c>
      <c r="CP9" s="73">
        <f t="shared" si="66"/>
        <v>245.35813961287064</v>
      </c>
      <c r="CQ9" s="73">
        <f t="shared" si="67"/>
        <v>98.236082085331319</v>
      </c>
      <c r="CR9" s="73">
        <f t="shared" si="68"/>
        <v>318.46396405388236</v>
      </c>
      <c r="CS9" s="73">
        <f t="shared" si="69"/>
        <v>194.91335964214389</v>
      </c>
      <c r="CT9" s="73">
        <f t="shared" si="70"/>
        <v>259.39566819467723</v>
      </c>
      <c r="CU9" s="73">
        <f t="shared" si="71"/>
        <v>68.699888023548525</v>
      </c>
      <c r="CV9" s="73">
        <f t="shared" si="72"/>
        <v>32.117788413213134</v>
      </c>
      <c r="CW9" s="73">
        <f t="shared" si="73"/>
        <v>8.6258550482169198</v>
      </c>
      <c r="CX9" s="73">
        <f t="shared" si="74"/>
        <v>7.280355077998486</v>
      </c>
      <c r="CY9" s="73">
        <f t="shared" si="75"/>
        <v>1.0921320904771972</v>
      </c>
      <c r="CZ9" s="190"/>
      <c r="DA9" s="66">
        <v>2009</v>
      </c>
      <c r="DB9" s="218">
        <f t="shared" si="1"/>
        <v>8528.070142539782</v>
      </c>
      <c r="DC9" s="218">
        <f t="shared" si="2"/>
        <v>59510.807445980041</v>
      </c>
      <c r="DD9" s="73">
        <f t="shared" si="3"/>
        <v>30911.313411932006</v>
      </c>
      <c r="DE9" s="73">
        <f t="shared" si="4"/>
        <v>19091.673922608032</v>
      </c>
      <c r="DF9" s="73">
        <f t="shared" si="5"/>
        <v>8906.7502406376898</v>
      </c>
      <c r="DG9" s="73">
        <f t="shared" si="6"/>
        <v>19647.072726639664</v>
      </c>
      <c r="DH9" s="72">
        <f t="shared" si="33"/>
        <v>0.61139834106273716</v>
      </c>
      <c r="DI9" s="72">
        <f t="shared" si="34"/>
        <v>0.68188387358136326</v>
      </c>
      <c r="DJ9" s="73">
        <f>SUM(AV4:AV9,BB4:BB9,BI4:BI9)</f>
        <v>50489.192554019945</v>
      </c>
      <c r="DK9" s="218">
        <v>0</v>
      </c>
      <c r="DL9" s="190"/>
    </row>
    <row r="10" spans="1:116" s="127" customFormat="1" x14ac:dyDescent="0.25">
      <c r="A10" s="190"/>
      <c r="B10" s="63"/>
      <c r="D10" s="173"/>
      <c r="E10" s="173"/>
      <c r="F10" s="173"/>
      <c r="G10" s="173"/>
      <c r="H10" s="173"/>
      <c r="I10" s="173"/>
      <c r="J10" s="173"/>
      <c r="K10" s="173"/>
      <c r="L10" s="173"/>
      <c r="M10" s="173"/>
      <c r="N10" s="173"/>
      <c r="O10" s="173"/>
      <c r="P10" s="173"/>
      <c r="Q10" s="173"/>
      <c r="R10" s="173"/>
      <c r="S10" s="173"/>
      <c r="T10" s="173"/>
      <c r="U10" s="62"/>
      <c r="V10" s="190"/>
      <c r="W10" s="66">
        <v>6</v>
      </c>
      <c r="X10" s="66">
        <v>2010</v>
      </c>
      <c r="Y10" s="70">
        <f>MMULT($Y9:$AO9,D$136:D$152)</f>
        <v>2.4516352459192502E-2</v>
      </c>
      <c r="Z10" s="70">
        <f t="shared" ref="Z10" si="124">MMULT($Y9:$AO9,E$136:E$152)</f>
        <v>8.4928593208096551E-3</v>
      </c>
      <c r="AA10" s="70">
        <f t="shared" ref="AA10" si="125">MMULT($Y9:$AO9,F$136:F$152)</f>
        <v>2.3663543583576082E-2</v>
      </c>
      <c r="AB10" s="70">
        <f t="shared" ref="AB10" si="126">MMULT($Y9:$AO9,G$136:G$152)</f>
        <v>1.4655869535922796E-3</v>
      </c>
      <c r="AC10" s="70">
        <f t="shared" ref="AC10" si="127">MMULT($Y9:$AO9,H$136:H$152)</f>
        <v>2.8369935121853228E-2</v>
      </c>
      <c r="AD10" s="70">
        <f t="shared" ref="AD10" si="128">MMULT($Y9:$AO9,I$136:I$152)</f>
        <v>1.6434973501892165E-2</v>
      </c>
      <c r="AE10" s="70">
        <f t="shared" ref="AE10" si="129">MMULT($Y9:$AO9,J$136:J$152)</f>
        <v>9.4774644537070421E-2</v>
      </c>
      <c r="AF10" s="70">
        <f t="shared" ref="AF10" si="130">MMULT($Y9:$AO9,K$136:K$152)</f>
        <v>2.6531813607329525E-2</v>
      </c>
      <c r="AG10" s="70">
        <f t="shared" ref="AG10" si="131">MMULT($Y9:$AO9,L$136:L$152)</f>
        <v>2.5008075261001749E-2</v>
      </c>
      <c r="AH10" s="70">
        <f t="shared" ref="AH10" si="132">MMULT($Y9:$AO9,M$136:M$152)</f>
        <v>3.2242517907007657E-3</v>
      </c>
      <c r="AI10" s="70">
        <f t="shared" ref="AI10" si="133">MMULT($Y9:$AO9,N$136:N$152)</f>
        <v>1.4560981253997849E-2</v>
      </c>
      <c r="AJ10" s="70">
        <f t="shared" ref="AJ10" si="134">MMULT($Y9:$AO9,O$136:O$152)</f>
        <v>2.691643269440128E-2</v>
      </c>
      <c r="AK10" s="70">
        <f t="shared" ref="AK10" si="135">MMULT($Y9:$AO9,P$136:P$152)</f>
        <v>2.4120787150897209E-2</v>
      </c>
      <c r="AL10" s="70">
        <f t="shared" ref="AL10" si="136">MMULT($Y9:$AO9,Q$136:Q$152)</f>
        <v>0.14418502917346571</v>
      </c>
      <c r="AM10" s="70">
        <f t="shared" ref="AM10" si="137">MMULT($Y9:$AO9,R$136:R$152)</f>
        <v>2.0347634516547898E-2</v>
      </c>
      <c r="AN10" s="70">
        <f t="shared" ref="AN10" si="138">MMULT($Y9:$AO9,S$136:S$152)</f>
        <v>1.6398674731974306E-2</v>
      </c>
      <c r="AO10" s="70">
        <f t="shared" ref="AO10" si="139">MMULT($Y9:$AO9,T$136:T$152)</f>
        <v>4.1995764759697803E-2</v>
      </c>
      <c r="AP10" s="190"/>
      <c r="AQ10" s="66">
        <v>6</v>
      </c>
      <c r="AR10" s="66">
        <v>2010</v>
      </c>
      <c r="AS10" s="215">
        <f>Params!$C$18*Y10</f>
        <v>2696.798770511175</v>
      </c>
      <c r="AT10" s="215">
        <f>Params!$C$18*Z10</f>
        <v>934.21452528906207</v>
      </c>
      <c r="AU10" s="215">
        <f>Params!$C$18*AA10</f>
        <v>2602.9897941933691</v>
      </c>
      <c r="AV10" s="215">
        <f>Params!$C$18*AB10</f>
        <v>161.21456489515077</v>
      </c>
      <c r="AW10" s="215">
        <f>Params!$C$18*AC10</f>
        <v>3120.692863403855</v>
      </c>
      <c r="AX10" s="215">
        <f>Params!$C$18*AD10</f>
        <v>1807.8470852081382</v>
      </c>
      <c r="AY10" s="215">
        <f>Params!$C$18*AE10</f>
        <v>10425.210899077747</v>
      </c>
      <c r="AZ10" s="215">
        <f>Params!$C$18*AF10</f>
        <v>2918.4994968062479</v>
      </c>
      <c r="BA10" s="215">
        <f>Params!$C$18*AG10</f>
        <v>2750.8882787101925</v>
      </c>
      <c r="BB10" s="215">
        <f>Params!$C$18*AH10</f>
        <v>354.66769697708423</v>
      </c>
      <c r="BC10" s="215">
        <f>Params!$C$18*AI10</f>
        <v>1601.7079379397635</v>
      </c>
      <c r="BD10" s="215">
        <f>Params!$C$18*AJ10</f>
        <v>2960.8075963841407</v>
      </c>
      <c r="BE10" s="215">
        <f>Params!$C$18*AK10</f>
        <v>2653.2865865986928</v>
      </c>
      <c r="BF10" s="215">
        <f>Params!$C$18*AL10</f>
        <v>15860.353209081228</v>
      </c>
      <c r="BG10" s="215">
        <f t="shared" si="0"/>
        <v>2238.2397968202686</v>
      </c>
      <c r="BH10" s="215">
        <f>Params!$C$18*AN10</f>
        <v>1803.8542205171736</v>
      </c>
      <c r="BI10" s="215">
        <f>Params!$C$18*AO10</f>
        <v>4619.5341235667584</v>
      </c>
      <c r="BJ10" s="194"/>
      <c r="BK10" s="66">
        <v>6</v>
      </c>
      <c r="BL10" s="66">
        <v>2010</v>
      </c>
      <c r="BM10" s="215">
        <f t="shared" si="8"/>
        <v>1163.4227787912696</v>
      </c>
      <c r="BN10" s="219">
        <f t="shared" si="9"/>
        <v>1326.6273058622987</v>
      </c>
      <c r="BO10" s="219">
        <f t="shared" si="10"/>
        <v>210.95419511460682</v>
      </c>
      <c r="BP10" s="219">
        <f t="shared" si="51"/>
        <v>49.883998942017243</v>
      </c>
      <c r="BQ10" s="219">
        <f t="shared" si="11"/>
        <v>382.21858026594759</v>
      </c>
      <c r="BR10" s="220">
        <f t="shared" si="52"/>
        <v>474.90855892790404</v>
      </c>
      <c r="BS10" s="219">
        <f t="shared" si="53"/>
        <v>494.21223077945956</v>
      </c>
      <c r="BT10" s="219">
        <f t="shared" si="54"/>
        <v>169.75954000147698</v>
      </c>
      <c r="BU10" s="219">
        <f t="shared" si="55"/>
        <v>172.67394508962118</v>
      </c>
      <c r="BV10" s="219">
        <f t="shared" si="56"/>
        <v>48.768787225313361</v>
      </c>
      <c r="BW10" s="219">
        <f t="shared" si="57"/>
        <v>51.563384391040003</v>
      </c>
      <c r="BX10" s="220">
        <f t="shared" si="58"/>
        <v>9.7491938364107966</v>
      </c>
      <c r="BY10" s="195"/>
      <c r="BZ10" s="192">
        <v>6</v>
      </c>
      <c r="CA10" s="66">
        <v>2010</v>
      </c>
      <c r="CB10" s="218">
        <f>pAsympt_NoCare_Asympt_Dead_2010_2012*AS9</f>
        <v>77.381656744934801</v>
      </c>
      <c r="CC10" s="218">
        <f t="shared" si="12"/>
        <v>24.114677724450161</v>
      </c>
      <c r="CD10" s="73">
        <f t="shared" si="13"/>
        <v>59.718230425765789</v>
      </c>
      <c r="CE10" s="73">
        <f>pInt_NoCare_Int_Dead_2010_2012*AW9</f>
        <v>133.33986708955211</v>
      </c>
      <c r="CF10" s="73">
        <f t="shared" si="14"/>
        <v>70.53822685555815</v>
      </c>
      <c r="CG10" s="73">
        <f t="shared" si="15"/>
        <v>47.693228162931184</v>
      </c>
      <c r="CH10" s="73">
        <f t="shared" si="59"/>
        <v>12.080689127451242</v>
      </c>
      <c r="CI10" s="73">
        <f t="shared" si="16"/>
        <v>42.674669768336422</v>
      </c>
      <c r="CJ10" s="73">
        <f t="shared" si="60"/>
        <v>42.570059049833311</v>
      </c>
      <c r="CK10" s="73">
        <f t="shared" si="61"/>
        <v>4.7846571906962208</v>
      </c>
      <c r="CL10" s="73">
        <f t="shared" si="62"/>
        <v>0.98629973272559135</v>
      </c>
      <c r="CM10" s="73">
        <f>pAIDS_NoCare_AIDS_Dead_2010_2012*BC9</f>
        <v>994.85758815049564</v>
      </c>
      <c r="CN10" s="73">
        <f t="shared" si="64"/>
        <v>1702.2225010298423</v>
      </c>
      <c r="CO10" s="73">
        <f t="shared" si="65"/>
        <v>571.90493161903021</v>
      </c>
      <c r="CP10" s="73">
        <f t="shared" si="66"/>
        <v>350.23780146871286</v>
      </c>
      <c r="CQ10" s="73">
        <f t="shared" si="67"/>
        <v>152.96550807500515</v>
      </c>
      <c r="CR10" s="73">
        <f t="shared" si="68"/>
        <v>232.75209345963427</v>
      </c>
      <c r="CS10" s="73">
        <f t="shared" si="69"/>
        <v>205.42215006025043</v>
      </c>
      <c r="CT10" s="73">
        <f t="shared" si="70"/>
        <v>240.43050600074568</v>
      </c>
      <c r="CU10" s="73">
        <f t="shared" si="71"/>
        <v>89.568894820387285</v>
      </c>
      <c r="CV10" s="73">
        <f t="shared" si="72"/>
        <v>49.157890053980545</v>
      </c>
      <c r="CW10" s="73">
        <f t="shared" si="73"/>
        <v>14.321069173839206</v>
      </c>
      <c r="CX10" s="73">
        <f t="shared" si="74"/>
        <v>13.319232646760062</v>
      </c>
      <c r="CY10" s="73">
        <f t="shared" si="75"/>
        <v>2.3739570080751262</v>
      </c>
      <c r="CZ10" s="190"/>
      <c r="DA10" s="66">
        <v>2010</v>
      </c>
      <c r="DB10" s="218">
        <f t="shared" si="1"/>
        <v>5702.8692068813416</v>
      </c>
      <c r="DC10" s="218">
        <f t="shared" si="2"/>
        <v>54375.391060541057</v>
      </c>
      <c r="DD10" s="73">
        <f t="shared" si="3"/>
        <v>34095.589988384185</v>
      </c>
      <c r="DE10" s="73">
        <f t="shared" si="4"/>
        <v>20751.879592500187</v>
      </c>
      <c r="DF10" s="73">
        <f t="shared" si="5"/>
        <v>6366.3697548410773</v>
      </c>
      <c r="DG10" s="73">
        <f t="shared" si="6"/>
        <v>14045.797982163263</v>
      </c>
      <c r="DH10" s="72">
        <f t="shared" si="33"/>
        <v>0.7082386159959414</v>
      </c>
      <c r="DI10" s="72">
        <f t="shared" si="34"/>
        <v>0.76523669823600715</v>
      </c>
      <c r="DJ10" s="73">
        <f>SUM(AV4:AV10,BB4:BB10,BI4:BI10)</f>
        <v>55624.608939458951</v>
      </c>
      <c r="DK10" s="218">
        <f>SUM(AV10,BB10,BI10)</f>
        <v>5135.4163854389935</v>
      </c>
      <c r="DL10" s="190"/>
    </row>
    <row r="11" spans="1:116" s="127" customFormat="1" x14ac:dyDescent="0.25">
      <c r="A11" s="190"/>
      <c r="B11" s="63"/>
      <c r="D11" s="173"/>
      <c r="E11" s="173"/>
      <c r="F11" s="173"/>
      <c r="G11" s="173"/>
      <c r="H11" s="173"/>
      <c r="I11" s="173"/>
      <c r="J11" s="173"/>
      <c r="K11" s="173"/>
      <c r="L11" s="173"/>
      <c r="M11" s="173"/>
      <c r="N11" s="173"/>
      <c r="O11" s="173"/>
      <c r="P11" s="173"/>
      <c r="Q11" s="173"/>
      <c r="R11" s="173"/>
      <c r="S11" s="173"/>
      <c r="T11" s="173"/>
      <c r="U11" s="62"/>
      <c r="V11" s="190"/>
      <c r="W11" s="66">
        <v>7</v>
      </c>
      <c r="X11" s="66">
        <v>2011</v>
      </c>
      <c r="Y11" s="70">
        <f>MMULT($Y10:$AO10,D$158:D$174)</f>
        <v>1.5537485637027299E-2</v>
      </c>
      <c r="Z11" s="70">
        <f t="shared" ref="Z11" si="140">MMULT($Y10:$AO10,E$158:E$174)</f>
        <v>5.5359576765782216E-3</v>
      </c>
      <c r="AA11" s="70">
        <f t="shared" ref="AA11" si="141">MMULT($Y10:$AO10,F$158:F$174)</f>
        <v>1.8238060152173382E-2</v>
      </c>
      <c r="AB11" s="70">
        <f t="shared" ref="AB11" si="142">MMULT($Y10:$AO10,G$158:G$174)</f>
        <v>1.0210680025584081E-3</v>
      </c>
      <c r="AC11" s="70">
        <f t="shared" ref="AC11" si="143">MMULT($Y10:$AO10,H$158:H$174)</f>
        <v>1.8370619679546608E-2</v>
      </c>
      <c r="AD11" s="70">
        <f t="shared" ref="AD11" si="144">MMULT($Y10:$AO10,I$158:I$174)</f>
        <v>1.0814881239811971E-2</v>
      </c>
      <c r="AE11" s="70">
        <f t="shared" ref="AE11" si="145">MMULT($Y10:$AO10,J$158:J$174)</f>
        <v>0.10094907666958793</v>
      </c>
      <c r="AF11" s="70">
        <f t="shared" ref="AF11" si="146">MMULT($Y10:$AO10,K$158:K$174)</f>
        <v>3.0625650105151159E-2</v>
      </c>
      <c r="AG11" s="70">
        <f t="shared" ref="AG11" si="147">MMULT($Y10:$AO10,L$158:L$174)</f>
        <v>2.0451319259054013E-2</v>
      </c>
      <c r="AH11" s="70">
        <f t="shared" ref="AH11" si="148">MMULT($Y10:$AO10,M$158:M$174)</f>
        <v>2.5321709389432758E-3</v>
      </c>
      <c r="AI11" s="70">
        <f t="shared" ref="AI11" si="149">MMULT($Y10:$AO10,N$158:N$174)</f>
        <v>9.5165252654272111E-3</v>
      </c>
      <c r="AJ11" s="70">
        <f t="shared" ref="AJ11" si="150">MMULT($Y10:$AO10,O$158:O$174)</f>
        <v>1.7870886730976518E-2</v>
      </c>
      <c r="AK11" s="70">
        <f t="shared" ref="AK11" si="151">MMULT($Y10:$AO10,P$158:P$174)</f>
        <v>1.6847467060997268E-2</v>
      </c>
      <c r="AL11" s="70">
        <f t="shared" ref="AL11" si="152">MMULT($Y10:$AO10,Q$158:Q$174)</f>
        <v>0.15429432932858747</v>
      </c>
      <c r="AM11" s="70">
        <f t="shared" ref="AM11" si="153">MMULT($Y10:$AO10,R$158:R$174)</f>
        <v>2.5430267605287417E-2</v>
      </c>
      <c r="AN11" s="70">
        <f t="shared" ref="AN11" si="154">MMULT($Y10:$AO10,S$158:S$174)</f>
        <v>1.4013023577640241E-2</v>
      </c>
      <c r="AO11" s="70">
        <f t="shared" ref="AO11" si="155">MMULT($Y10:$AO10,T$158:T$174)</f>
        <v>3.227294798466121E-2</v>
      </c>
      <c r="AP11" s="190"/>
      <c r="AQ11" s="66">
        <v>7</v>
      </c>
      <c r="AR11" s="66">
        <v>2011</v>
      </c>
      <c r="AS11" s="215">
        <f>Params!$C$18*Y11</f>
        <v>1709.123420073003</v>
      </c>
      <c r="AT11" s="215">
        <f>Params!$C$18*Z11</f>
        <v>608.9553444236044</v>
      </c>
      <c r="AU11" s="215">
        <f>Params!$C$18*AA11</f>
        <v>2006.186616739072</v>
      </c>
      <c r="AV11" s="215">
        <f>Params!$C$18*AB11</f>
        <v>112.31748028142489</v>
      </c>
      <c r="AW11" s="215">
        <f>Params!$C$18*AC11</f>
        <v>2020.7681647501267</v>
      </c>
      <c r="AX11" s="215">
        <f>Params!$C$18*AD11</f>
        <v>1189.6369363793167</v>
      </c>
      <c r="AY11" s="215">
        <f>Params!$C$18*AE11</f>
        <v>11104.398433654671</v>
      </c>
      <c r="AZ11" s="215">
        <f>Params!$C$18*AF11</f>
        <v>3368.8215115666276</v>
      </c>
      <c r="BA11" s="215">
        <f>Params!$C$18*AG11</f>
        <v>2249.6451184959415</v>
      </c>
      <c r="BB11" s="215">
        <f>Params!$C$18*AH11</f>
        <v>278.53880328376033</v>
      </c>
      <c r="BC11" s="215">
        <f>Params!$C$18*AI11</f>
        <v>1046.8177791969931</v>
      </c>
      <c r="BD11" s="215">
        <f>Params!$C$18*AJ11</f>
        <v>1965.797540407417</v>
      </c>
      <c r="BE11" s="215">
        <f>Params!$C$18*AK11</f>
        <v>1853.2213767096994</v>
      </c>
      <c r="BF11" s="215">
        <f>Params!$C$18*AL11</f>
        <v>16972.376226144621</v>
      </c>
      <c r="BG11" s="215">
        <f t="shared" si="0"/>
        <v>2797.3294365816159</v>
      </c>
      <c r="BH11" s="215">
        <f>Params!$C$18*AN11</f>
        <v>1541.4325935404265</v>
      </c>
      <c r="BI11" s="215">
        <f>Params!$C$18*AO11</f>
        <v>3550.0242783127333</v>
      </c>
      <c r="BJ11" s="194"/>
      <c r="BK11" s="66">
        <v>7</v>
      </c>
      <c r="BL11" s="66">
        <v>2011</v>
      </c>
      <c r="BM11" s="215">
        <f t="shared" si="8"/>
        <v>840.46595664013171</v>
      </c>
      <c r="BN11" s="219">
        <f t="shared" si="9"/>
        <v>1102.7596766785059</v>
      </c>
      <c r="BO11" s="219">
        <f t="shared" si="10"/>
        <v>242.54482251887652</v>
      </c>
      <c r="BP11" s="219">
        <f t="shared" si="51"/>
        <v>63.874662658427333</v>
      </c>
      <c r="BQ11" s="219">
        <f t="shared" si="11"/>
        <v>256.58883910009985</v>
      </c>
      <c r="BR11" s="220">
        <f t="shared" si="52"/>
        <v>421.37702262173053</v>
      </c>
      <c r="BS11" s="219">
        <f t="shared" si="53"/>
        <v>386.31086396653495</v>
      </c>
      <c r="BT11" s="219">
        <f t="shared" si="54"/>
        <v>120.75485613445124</v>
      </c>
      <c r="BU11" s="219">
        <f t="shared" si="55"/>
        <v>208.51510262844451</v>
      </c>
      <c r="BV11" s="219">
        <f t="shared" si="56"/>
        <v>61.233404222393204</v>
      </c>
      <c r="BW11" s="219">
        <f t="shared" si="57"/>
        <v>72.557503321988705</v>
      </c>
      <c r="BX11" s="220">
        <f t="shared" si="58"/>
        <v>14.095001544783628</v>
      </c>
      <c r="BY11" s="195"/>
      <c r="BZ11" s="192">
        <v>7</v>
      </c>
      <c r="CA11" s="66">
        <v>2011</v>
      </c>
      <c r="CB11" s="218">
        <f>pAsympt_NoCare_Asympt_Dead_2010_2012*AS10</f>
        <v>49.041405414816836</v>
      </c>
      <c r="CC11" s="218">
        <f t="shared" si="12"/>
        <v>15.940589852473721</v>
      </c>
      <c r="CD11" s="73">
        <f t="shared" si="13"/>
        <v>47.335485014134349</v>
      </c>
      <c r="CE11" s="73">
        <f>pInt_NoCare_Int_Dead_2010_2012*AW10</f>
        <v>87.031559514371551</v>
      </c>
      <c r="CF11" s="73">
        <f t="shared" si="14"/>
        <v>47.30759142825071</v>
      </c>
      <c r="CG11" s="73">
        <f t="shared" si="15"/>
        <v>52.722055912037646</v>
      </c>
      <c r="CH11" s="73">
        <f t="shared" si="59"/>
        <v>14.759345891360777</v>
      </c>
      <c r="CI11" s="73">
        <f t="shared" si="16"/>
        <v>32.44615963337894</v>
      </c>
      <c r="CJ11" s="73">
        <f t="shared" si="60"/>
        <v>36.997695184142621</v>
      </c>
      <c r="CK11" s="73">
        <f t="shared" si="61"/>
        <v>5.883203951989584</v>
      </c>
      <c r="CL11" s="73">
        <f t="shared" si="62"/>
        <v>1.3911917682285486</v>
      </c>
      <c r="CM11" s="73">
        <f>pAIDS_NoCare_AIDS_Dead_2010_2012*BC10</f>
        <v>657.5247149809411</v>
      </c>
      <c r="CN11" s="73">
        <f t="shared" si="64"/>
        <v>1140.466009864316</v>
      </c>
      <c r="CO11" s="73">
        <f t="shared" si="65"/>
        <v>392.16879431150869</v>
      </c>
      <c r="CP11" s="73">
        <f t="shared" si="66"/>
        <v>408.4865132322609</v>
      </c>
      <c r="CQ11" s="73">
        <f t="shared" si="67"/>
        <v>210.86950265160536</v>
      </c>
      <c r="CR11" s="73">
        <f t="shared" si="68"/>
        <v>156.90636045236272</v>
      </c>
      <c r="CS11" s="73">
        <f t="shared" si="69"/>
        <v>194.95696278607264</v>
      </c>
      <c r="CT11" s="73">
        <f t="shared" si="70"/>
        <v>202.88140458449806</v>
      </c>
      <c r="CU11" s="73">
        <f t="shared" si="71"/>
        <v>69.688793138118683</v>
      </c>
      <c r="CV11" s="73">
        <f t="shared" si="72"/>
        <v>70.885199380186705</v>
      </c>
      <c r="CW11" s="73">
        <f t="shared" si="73"/>
        <v>20.020305925146939</v>
      </c>
      <c r="CX11" s="73">
        <f t="shared" si="74"/>
        <v>21.1675292492971</v>
      </c>
      <c r="CY11" s="73">
        <f t="shared" si="75"/>
        <v>4.0021877564179462</v>
      </c>
      <c r="CZ11" s="190"/>
      <c r="DA11" s="66">
        <v>2011</v>
      </c>
      <c r="DB11" s="218">
        <f t="shared" si="1"/>
        <v>3764.3898212103381</v>
      </c>
      <c r="DC11" s="218">
        <f t="shared" si="2"/>
        <v>50434.510498663134</v>
      </c>
      <c r="DD11" s="73">
        <f t="shared" si="3"/>
        <v>36096.146984657236</v>
      </c>
      <c r="DE11" s="73">
        <f t="shared" si="4"/>
        <v>21622.927039435934</v>
      </c>
      <c r="DF11" s="73">
        <f t="shared" si="5"/>
        <v>4554.0479131448365</v>
      </c>
      <c r="DG11" s="73">
        <f t="shared" si="6"/>
        <v>10014.098132770221</v>
      </c>
      <c r="DH11" s="72">
        <f t="shared" si="33"/>
        <v>0.78282270876531568</v>
      </c>
      <c r="DI11" s="72">
        <f t="shared" si="34"/>
        <v>0.82602848795957395</v>
      </c>
      <c r="DJ11" s="73">
        <f>SUM(AV4:AV11,BB4:BB11,BI4:BI11)</f>
        <v>59565.489501336866</v>
      </c>
      <c r="DK11" s="218">
        <f>SUM(AV10:AV11,BB10:BB11,BI10:BI11)</f>
        <v>9076.2969473169105</v>
      </c>
      <c r="DL11" s="190"/>
    </row>
    <row r="12" spans="1:116" s="127" customFormat="1" x14ac:dyDescent="0.25">
      <c r="A12" s="190"/>
      <c r="B12" s="63"/>
      <c r="D12" s="173"/>
      <c r="E12" s="173"/>
      <c r="F12" s="173"/>
      <c r="G12" s="173"/>
      <c r="H12" s="173"/>
      <c r="I12" s="173"/>
      <c r="J12" s="173"/>
      <c r="K12" s="173"/>
      <c r="L12" s="173"/>
      <c r="M12" s="173"/>
      <c r="N12" s="173"/>
      <c r="O12" s="173"/>
      <c r="P12" s="173"/>
      <c r="Q12" s="173"/>
      <c r="R12" s="173"/>
      <c r="S12" s="173"/>
      <c r="T12" s="173"/>
      <c r="U12" s="62"/>
      <c r="V12" s="190"/>
      <c r="W12" s="66">
        <v>8</v>
      </c>
      <c r="X12" s="66">
        <v>2012</v>
      </c>
      <c r="Y12" s="70">
        <f>MMULT($Y11:$AO11,D$180:D$196)</f>
        <v>9.8470382297963215E-3</v>
      </c>
      <c r="Z12" s="70">
        <f t="shared" ref="Z12" si="156">MMULT($Y11:$AO11,E$180:E$196)</f>
        <v>3.5757335731741178E-3</v>
      </c>
      <c r="AA12" s="70">
        <f t="shared" ref="AA12" si="157">MMULT($Y11:$AO11,F$180:F$196)</f>
        <v>1.3746741116729421E-2</v>
      </c>
      <c r="AB12" s="70">
        <f t="shared" ref="AB12" si="158">MMULT($Y11:$AO11,G$180:G$196)</f>
        <v>7.0867036404538715E-4</v>
      </c>
      <c r="AC12" s="70">
        <f t="shared" ref="AC12" si="159">MMULT($Y11:$AO11,H$180:H$196)</f>
        <v>1.1828121582710004E-2</v>
      </c>
      <c r="AD12" s="70">
        <f t="shared" ref="AD12" si="160">MMULT($Y11:$AO11,I$180:I$196)</f>
        <v>7.0326187514440121E-3</v>
      </c>
      <c r="AE12" s="70">
        <f t="shared" ref="AE12" si="161">MMULT($Y11:$AO11,J$180:J$196)</f>
        <v>0.10481378362824754</v>
      </c>
      <c r="AF12" s="70">
        <f t="shared" ref="AF12" si="162">MMULT($Y11:$AO11,K$180:K$196)</f>
        <v>3.4003027421008955E-2</v>
      </c>
      <c r="AG12" s="70">
        <f t="shared" ref="AG12" si="163">MMULT($Y11:$AO11,L$180:L$196)</f>
        <v>1.6488664508027023E-2</v>
      </c>
      <c r="AH12" s="70">
        <f t="shared" ref="AH12" si="164">MMULT($Y11:$AO11,M$180:M$196)</f>
        <v>2.0310856643389582E-3</v>
      </c>
      <c r="AI12" s="70">
        <f t="shared" ref="AI12" si="165">MMULT($Y11:$AO11,N$180:N$196)</f>
        <v>6.1683731943972349E-3</v>
      </c>
      <c r="AJ12" s="70">
        <f t="shared" ref="AJ12" si="166">MMULT($Y11:$AO11,O$180:O$196)</f>
        <v>1.1719342398119521E-2</v>
      </c>
      <c r="AK12" s="70">
        <f t="shared" ref="AK12" si="167">MMULT($Y11:$AO11,P$180:P$196)</f>
        <v>1.1737456920853609E-2</v>
      </c>
      <c r="AL12" s="70">
        <f t="shared" ref="AL12" si="168">MMULT($Y11:$AO11,Q$180:Q$196)</f>
        <v>0.15775713776576819</v>
      </c>
      <c r="AM12" s="70">
        <f t="shared" ref="AM12" si="169">MMULT($Y11:$AO11,R$180:R$196)</f>
        <v>2.9746033011391951E-2</v>
      </c>
      <c r="AN12" s="70">
        <f t="shared" ref="AN12" si="170">MMULT($Y11:$AO11,S$180:S$196)</f>
        <v>1.188899276913272E-2</v>
      </c>
      <c r="AO12" s="70">
        <f t="shared" ref="AO12" si="171">MMULT($Y11:$AO11,T$180:T$196)</f>
        <v>2.540272908866175E-2</v>
      </c>
      <c r="AP12" s="190"/>
      <c r="AQ12" s="66">
        <v>8</v>
      </c>
      <c r="AR12" s="66">
        <v>2012</v>
      </c>
      <c r="AS12" s="215">
        <f>Params!$C$18*Y12</f>
        <v>1083.1742052775953</v>
      </c>
      <c r="AT12" s="215">
        <f>Params!$C$18*Z12</f>
        <v>393.33069304915296</v>
      </c>
      <c r="AU12" s="215">
        <f>Params!$C$18*AA12</f>
        <v>1512.1415228402363</v>
      </c>
      <c r="AV12" s="215">
        <f>Params!$C$18*AB12</f>
        <v>77.953740044992585</v>
      </c>
      <c r="AW12" s="215">
        <f>Params!$C$18*AC12</f>
        <v>1301.0933740981004</v>
      </c>
      <c r="AX12" s="215">
        <f>Params!$C$18*AD12</f>
        <v>773.5880626588413</v>
      </c>
      <c r="AY12" s="215">
        <f>Params!$C$18*AE12</f>
        <v>11529.516199107229</v>
      </c>
      <c r="AZ12" s="215">
        <f>Params!$C$18*AF12</f>
        <v>3740.3330163109849</v>
      </c>
      <c r="BA12" s="215">
        <f>Params!$C$18*AG12</f>
        <v>1813.7530958829725</v>
      </c>
      <c r="BB12" s="215">
        <f>Params!$C$18*AH12</f>
        <v>223.41942307728539</v>
      </c>
      <c r="BC12" s="215">
        <f>Params!$C$18*AI12</f>
        <v>678.52105138369586</v>
      </c>
      <c r="BD12" s="215">
        <f>Params!$C$18*AJ12</f>
        <v>1289.1276637931473</v>
      </c>
      <c r="BE12" s="215">
        <f>Params!$C$18*AK12</f>
        <v>1291.1202612938969</v>
      </c>
      <c r="BF12" s="215">
        <f>Params!$C$18*AL12</f>
        <v>17353.285154234502</v>
      </c>
      <c r="BG12" s="215">
        <f t="shared" si="0"/>
        <v>3272.0636312531146</v>
      </c>
      <c r="BH12" s="215">
        <f>Params!$C$18*AN12</f>
        <v>1307.7892046045993</v>
      </c>
      <c r="BI12" s="215">
        <f>Params!$C$18*AO12</f>
        <v>2794.3001997527927</v>
      </c>
      <c r="BJ12" s="194"/>
      <c r="BK12" s="66">
        <v>8</v>
      </c>
      <c r="BL12" s="66">
        <v>2012</v>
      </c>
      <c r="BM12" s="215">
        <f t="shared" si="8"/>
        <v>585.92308722485859</v>
      </c>
      <c r="BN12" s="219">
        <f t="shared" si="9"/>
        <v>885.15957106784845</v>
      </c>
      <c r="BO12" s="219">
        <f t="shared" si="10"/>
        <v>266.17815589222283</v>
      </c>
      <c r="BP12" s="219">
        <f t="shared" si="51"/>
        <v>76.492281698042532</v>
      </c>
      <c r="BQ12" s="219">
        <f t="shared" si="11"/>
        <v>170.96775165783211</v>
      </c>
      <c r="BR12" s="220">
        <f t="shared" si="52"/>
        <v>356.011716315282</v>
      </c>
      <c r="BS12" s="219">
        <f t="shared" si="53"/>
        <v>285.39398436798024</v>
      </c>
      <c r="BT12" s="219">
        <f t="shared" si="54"/>
        <v>84.814059452744317</v>
      </c>
      <c r="BU12" s="219">
        <f t="shared" si="55"/>
        <v>228.25633624128909</v>
      </c>
      <c r="BV12" s="219">
        <f t="shared" si="56"/>
        <v>71.516937109909549</v>
      </c>
      <c r="BW12" s="219">
        <f t="shared" si="57"/>
        <v>92.43253785573981</v>
      </c>
      <c r="BX12" s="220">
        <f t="shared" si="58"/>
        <v>18.395881603822058</v>
      </c>
      <c r="BY12" s="195"/>
      <c r="BZ12" s="192">
        <v>8</v>
      </c>
      <c r="CA12" s="66">
        <v>2012</v>
      </c>
      <c r="CB12" s="218">
        <f>pAsympt_NoCare_Asympt_Dead_2010_2012*AS11</f>
        <v>31.080485301419383</v>
      </c>
      <c r="CC12" s="218">
        <f t="shared" si="12"/>
        <v>10.390662017297368</v>
      </c>
      <c r="CD12" s="73">
        <f t="shared" si="13"/>
        <v>36.482592726275833</v>
      </c>
      <c r="CE12" s="73">
        <f>pInt_NoCare_Int_Dead_2010_2012*AW11</f>
        <v>56.356268461283136</v>
      </c>
      <c r="CF12" s="73">
        <f t="shared" si="14"/>
        <v>31.130319922887278</v>
      </c>
      <c r="CG12" s="73">
        <f t="shared" si="15"/>
        <v>56.156822222222438</v>
      </c>
      <c r="CH12" s="73">
        <f t="shared" si="59"/>
        <v>17.036700533914672</v>
      </c>
      <c r="CI12" s="73">
        <f t="shared" si="16"/>
        <v>23.439366232710462</v>
      </c>
      <c r="CJ12" s="73">
        <f t="shared" si="60"/>
        <v>30.754354443651067</v>
      </c>
      <c r="CK12" s="73">
        <f t="shared" si="61"/>
        <v>6.7642203446223998</v>
      </c>
      <c r="CL12" s="73">
        <f t="shared" si="62"/>
        <v>1.7813709159938913</v>
      </c>
      <c r="CM12" s="73">
        <f>pAIDS_NoCare_AIDS_Dead_2010_2012*BC11</f>
        <v>429.73412667782532</v>
      </c>
      <c r="CN12" s="73">
        <f t="shared" si="64"/>
        <v>757.20059616418985</v>
      </c>
      <c r="CO12" s="73">
        <f t="shared" si="65"/>
        <v>273.9152252031044</v>
      </c>
      <c r="CP12" s="73">
        <f t="shared" si="66"/>
        <v>437.12688453333345</v>
      </c>
      <c r="CQ12" s="73">
        <f t="shared" si="67"/>
        <v>263.54256942560642</v>
      </c>
      <c r="CR12" s="73">
        <f t="shared" si="68"/>
        <v>105.33350013460984</v>
      </c>
      <c r="CS12" s="73">
        <f t="shared" si="69"/>
        <v>172.98147816839423</v>
      </c>
      <c r="CT12" s="73">
        <f t="shared" si="70"/>
        <v>158.58630322477038</v>
      </c>
      <c r="CU12" s="73">
        <f t="shared" si="71"/>
        <v>49.571648164832673</v>
      </c>
      <c r="CV12" s="73">
        <f t="shared" si="72"/>
        <v>85.598522787708021</v>
      </c>
      <c r="CW12" s="73">
        <f t="shared" si="73"/>
        <v>25.137214909748437</v>
      </c>
      <c r="CX12" s="73">
        <f t="shared" si="74"/>
        <v>29.785924488134437</v>
      </c>
      <c r="CY12" s="73">
        <f t="shared" si="75"/>
        <v>5.7862058705351318</v>
      </c>
      <c r="CZ12" s="190"/>
      <c r="DA12" s="66">
        <v>2012</v>
      </c>
      <c r="DB12" s="218">
        <f t="shared" si="1"/>
        <v>2456.0464195011418</v>
      </c>
      <c r="DC12" s="218">
        <f t="shared" si="2"/>
        <v>47338.837135788068</v>
      </c>
      <c r="DD12" s="73">
        <f t="shared" si="3"/>
        <v>37186.318262199726</v>
      </c>
      <c r="DE12" s="73">
        <f t="shared" si="4"/>
        <v>21916.469046781513</v>
      </c>
      <c r="DF12" s="73">
        <f t="shared" si="5"/>
        <v>3275.4379197814424</v>
      </c>
      <c r="DG12" s="73">
        <f t="shared" si="6"/>
        <v>7163.8724524213576</v>
      </c>
      <c r="DH12" s="72">
        <f t="shared" si="33"/>
        <v>0.83847031237095393</v>
      </c>
      <c r="DI12" s="72">
        <f t="shared" si="34"/>
        <v>0.8699805487480996</v>
      </c>
      <c r="DJ12" s="73">
        <f>SUM(AV4:AV12,BB4:BB12,BI4:BI12)</f>
        <v>62661.162864211932</v>
      </c>
      <c r="DK12" s="73">
        <f>SUM(AV10:AV12,BB10:BB12,BI10:BI12)</f>
        <v>12171.970310191984</v>
      </c>
      <c r="DL12" s="190"/>
    </row>
    <row r="13" spans="1:116" s="127" customFormat="1" x14ac:dyDescent="0.25">
      <c r="A13" s="190"/>
      <c r="B13" s="63"/>
      <c r="D13" s="173"/>
      <c r="E13" s="173"/>
      <c r="F13" s="173"/>
      <c r="G13" s="173"/>
      <c r="H13" s="173"/>
      <c r="I13" s="173"/>
      <c r="J13" s="173"/>
      <c r="K13" s="173"/>
      <c r="L13" s="173"/>
      <c r="M13" s="173"/>
      <c r="N13" s="173"/>
      <c r="O13" s="173"/>
      <c r="P13" s="173"/>
      <c r="Q13" s="173"/>
      <c r="R13" s="173"/>
      <c r="S13" s="173"/>
      <c r="T13" s="173"/>
      <c r="U13" s="62"/>
      <c r="V13" s="190"/>
      <c r="W13" s="66">
        <v>9</v>
      </c>
      <c r="X13" s="66">
        <v>2013</v>
      </c>
      <c r="Y13" s="70">
        <f>MMULT($Y12:$AO12,D$202:D$218)</f>
        <v>6.2406597929844905E-3</v>
      </c>
      <c r="Z13" s="70">
        <f t="shared" ref="Z13:Z23" si="172">MMULT($Y12:$AO12,E$202:E$218)</f>
        <v>2.2956286186523252E-3</v>
      </c>
      <c r="AA13" s="70">
        <f t="shared" ref="AA13:AA23" si="173">MMULT($Y12:$AO12,F$202:F$218)</f>
        <v>1.0039478956260447E-2</v>
      </c>
      <c r="AB13" s="70">
        <f t="shared" ref="AB13:AB23" si="174">MMULT($Y12:$AO12,G$202:G$218)</f>
        <v>4.9006700180210042E-4</v>
      </c>
      <c r="AC13" s="70">
        <f t="shared" ref="AC13:AC23" si="175">MMULT($Y12:$AO12,H$202:H$218)</f>
        <v>7.5842757415270703E-3</v>
      </c>
      <c r="AD13" s="70">
        <f t="shared" ref="AD13:AD23" si="176">MMULT($Y12:$AO12,I$202:I$218)</f>
        <v>4.5376702185461141E-3</v>
      </c>
      <c r="AE13" s="70">
        <f t="shared" ref="AE13:AE23" si="177">MMULT($Y12:$AO12,J$202:J$218)</f>
        <v>0.10737677465027565</v>
      </c>
      <c r="AF13" s="70">
        <f t="shared" ref="AF13:AF23" si="178">MMULT($Y12:$AO12,K$202:K$218)</f>
        <v>3.7080945364009035E-2</v>
      </c>
      <c r="AG13" s="70">
        <f t="shared" ref="AG13:AG23" si="179">MMULT($Y12:$AO12,L$202:L$218)</f>
        <v>1.259927053912541E-2</v>
      </c>
      <c r="AH13" s="70">
        <f t="shared" ref="AH13:AH23" si="180">MMULT($Y12:$AO12,M$202:M$218)</f>
        <v>1.6757628338247028E-3</v>
      </c>
      <c r="AI13" s="70">
        <f t="shared" ref="AI13:AI23" si="181">MMULT($Y12:$AO12,N$202:N$218)</f>
        <v>3.9744088075247021E-3</v>
      </c>
      <c r="AJ13" s="70">
        <f t="shared" ref="AJ13:AJ23" si="182">MMULT($Y12:$AO12,O$202:O$218)</f>
        <v>7.6118935930478814E-3</v>
      </c>
      <c r="AK13" s="70">
        <f t="shared" ref="AK13:AK23" si="183">MMULT($Y12:$AO12,P$202:P$218)</f>
        <v>8.5391541637598409E-3</v>
      </c>
      <c r="AL13" s="70">
        <f t="shared" ref="AL13:AL23" si="184">MMULT($Y12:$AO12,Q$202:Q$218)</f>
        <v>0.1567947186682653</v>
      </c>
      <c r="AM13" s="70">
        <f t="shared" ref="AM13:AM23" si="185">MMULT($Y12:$AO12,R$202:R$218)</f>
        <v>3.3715404538312344E-2</v>
      </c>
      <c r="AN13" s="70">
        <f t="shared" ref="AN13:AN23" si="186">MMULT($Y12:$AO12,S$202:S$218)</f>
        <v>9.2696333894373376E-3</v>
      </c>
      <c r="AO13" s="70">
        <f t="shared" ref="AO13:AO23" si="187">MMULT($Y12:$AO12,T$202:T$218)</f>
        <v>2.0527317993445898E-2</v>
      </c>
      <c r="AP13" s="190"/>
      <c r="AQ13" s="66">
        <v>9</v>
      </c>
      <c r="AR13" s="66">
        <v>2013</v>
      </c>
      <c r="AS13" s="215">
        <f>Params!$C$18*Y13</f>
        <v>686.47257722829397</v>
      </c>
      <c r="AT13" s="215">
        <f>Params!$C$18*Z13</f>
        <v>252.51914805175576</v>
      </c>
      <c r="AU13" s="215">
        <f>Params!$C$18*AA13</f>
        <v>1104.3426851886491</v>
      </c>
      <c r="AV13" s="215">
        <f>Params!$C$18*AB13</f>
        <v>53.907370198231042</v>
      </c>
      <c r="AW13" s="215">
        <f>Params!$C$18*AC13</f>
        <v>834.27033156797779</v>
      </c>
      <c r="AX13" s="215">
        <f>Params!$C$18*AD13</f>
        <v>499.14372404007253</v>
      </c>
      <c r="AY13" s="215">
        <f>Params!$C$18*AE13</f>
        <v>11811.445211530321</v>
      </c>
      <c r="AZ13" s="215">
        <f>Params!$C$18*AF13</f>
        <v>4078.9039900409939</v>
      </c>
      <c r="BA13" s="215">
        <f>Params!$C$18*AG13</f>
        <v>1385.9197593037952</v>
      </c>
      <c r="BB13" s="215">
        <f>Params!$C$18*AH13</f>
        <v>184.33391172071731</v>
      </c>
      <c r="BC13" s="215">
        <f>Params!$C$18*AI13</f>
        <v>437.18496882771723</v>
      </c>
      <c r="BD13" s="215">
        <f>Params!$C$18*AJ13</f>
        <v>837.308295235267</v>
      </c>
      <c r="BE13" s="215">
        <f>Params!$C$18*AK13</f>
        <v>939.30695801358252</v>
      </c>
      <c r="BF13" s="215">
        <f>Params!$C$18*AL13</f>
        <v>17247.419053509184</v>
      </c>
      <c r="BG13" s="215">
        <f t="shared" si="0"/>
        <v>3708.6944992143576</v>
      </c>
      <c r="BH13" s="215">
        <f>Params!$C$18*AN13</f>
        <v>1019.6596728381071</v>
      </c>
      <c r="BI13" s="215">
        <f>Params!$C$18*AO13</f>
        <v>2258.0049792790487</v>
      </c>
      <c r="BJ13" s="194"/>
      <c r="BK13" s="66">
        <v>9</v>
      </c>
      <c r="BL13" s="66">
        <v>2013</v>
      </c>
      <c r="BM13" s="215">
        <f t="shared" ref="BM13:BM23" si="188">(AX12*pInt_InCare_Int_LTFU_2013plus_u)+(BM12*pInt_LTFU_2013plus_u)</f>
        <v>374.62432733535508</v>
      </c>
      <c r="BN13" s="219">
        <f t="shared" ref="BN13:BN23" si="189">(AU12*pAsympt_LTFU_Int_LTFU_2013plus_u)+(BN12*pInt_LTFU_2013plus_u)</f>
        <v>655.10100274332717</v>
      </c>
      <c r="BO13" s="219">
        <f t="shared" ref="BO13:BO23" si="190">(AY12*pInt_ART1_Int_LTFU_2013plus_u)+(BO12*pInt_LTFU_2013plus_u)</f>
        <v>271.91107822147336</v>
      </c>
      <c r="BP13" s="219">
        <f t="shared" ref="BP13:BP23" si="191">(AZ12*pInt_ART2_Int_LTFU_2013plus_u)+(BP12*pInt_LTFU_2013plus_u)</f>
        <v>84.283351003639339</v>
      </c>
      <c r="BQ13" s="219">
        <f t="shared" ref="BQ13:BQ23" si="192">(BD12*pAIDS_InCare_AIDS_LTFU_2013plus_u)+(BQ12*pAIDS_LTFU_2013plus_u)</f>
        <v>100.61266805295908</v>
      </c>
      <c r="BR13" s="220">
        <f t="shared" ref="BR13:BR23" si="193">(BN12*pInt_LTFU_AIDS_LTFU_2013plus_u)+(BR12*pAIDS_LTFU_2013plus_u)</f>
        <v>264.42943511601641</v>
      </c>
      <c r="BS13" s="219">
        <f t="shared" ref="BS13:BS23" si="194">(BM12*pInt_LTFU_AIDS_LTFU_2013plus_u)+(BS12*pAIDS_LTFU_2013plus_u)</f>
        <v>182.25245600293826</v>
      </c>
      <c r="BT13" s="219">
        <f t="shared" ref="BT13:BT23" si="195">(BE12*pAIDS_ART1ear_AIDS_LTFU_2013plus_u)+(BT12*pAIDS_LTFU_2013plus_u)</f>
        <v>53.240626280619743</v>
      </c>
      <c r="BU13" s="219">
        <f t="shared" ref="BU13:BU23" si="196">(BF12*pAIDS_ART1late_AIDS_LTFU_2013plus_u)+(BU12*pAIDS_LTFU_2013plus_u)</f>
        <v>220.49140343580135</v>
      </c>
      <c r="BV13" s="219">
        <f t="shared" ref="BV13:BV23" si="197">(BO12*pInt_LTFU_AIDS_LTFU_2013plus_u)+(BV12*pAIDS_LTFU_2013plus_u)</f>
        <v>74.360777907829515</v>
      </c>
      <c r="BW13" s="219">
        <f t="shared" ref="BW13:BW23" si="198">(BG12*pAIDS_ART2_AIDS_LTFU_2013plus_u)+(BW12*pAIDS_LTFU_2013plus_u)</f>
        <v>103.21588463848357</v>
      </c>
      <c r="BX13" s="220">
        <f t="shared" ref="BX13:BX23" si="199">(BP12*pInt_LTFU_AIDS_LTFU_2013plus_u)+(BX12*pAIDS_LTFU_2013plus_u)</f>
        <v>21.056421403459176</v>
      </c>
      <c r="BY13" s="195"/>
      <c r="BZ13" s="192">
        <v>9</v>
      </c>
      <c r="CA13" s="66">
        <v>2013</v>
      </c>
      <c r="CB13" s="218">
        <f t="shared" ref="CB13:CB23" si="200">pAsympt_NoCare_Asympt_Dead_2013plus_u*AS12</f>
        <v>19.697571030048223</v>
      </c>
      <c r="CC13" s="218">
        <f t="shared" ref="CC13:CC23" si="201">pAsympt_InCare_Asympt_Dead_2013plus_u*AT12</f>
        <v>6.7114384165090577</v>
      </c>
      <c r="CD13" s="73">
        <f t="shared" ref="CD13:CD23" si="202">pAsympt_LTFU_Asympt_Dead_2013plus_u*AU12</f>
        <v>27.498360751673758</v>
      </c>
      <c r="CE13" s="73">
        <f t="shared" ref="CE13:CE23" si="203">pInt_NoCare_Int_Dead_2013plus_u*AW12</f>
        <v>36.285591174154327</v>
      </c>
      <c r="CF13" s="73">
        <f t="shared" ref="CF13:CF23" si="204">pInt_InCare_Int_Dead_2013plus_u*AX12</f>
        <v>20.24318776818621</v>
      </c>
      <c r="CG13" s="73">
        <f t="shared" ref="CG13:CG23" si="205">pInt_ART1_Int_Dead_2013plus_u*AY12</f>
        <v>58.306714710380454</v>
      </c>
      <c r="CH13" s="73">
        <f t="shared" ref="CH13:CH23" si="206">pInt_ART2_Int_Dead_2013plus_u*AZ12</f>
        <v>18.91549708917956</v>
      </c>
      <c r="CI13" s="73">
        <f t="shared" ref="CI13:CI23" si="207">(BM12*pInt_LTFU_Int_Dead_2013plus_u)</f>
        <v>16.340537908954545</v>
      </c>
      <c r="CJ13" s="73">
        <f t="shared" ref="CJ13:CJ23" si="208">(BN12*pInt_LTFU_Int_Dead_2013plus_u)</f>
        <v>24.685805768492113</v>
      </c>
      <c r="CK13" s="73">
        <f t="shared" ref="CK13:CK23" si="209">(BO12*pInt_LTFU_Int_Dead_2013plus_u)</f>
        <v>7.4233194453784721</v>
      </c>
      <c r="CL13" s="73">
        <f t="shared" ref="CL13:CL23" si="210">(BP12*pInt_LTFU_Int_Dead_2013plus_u)</f>
        <v>2.1332578559916215</v>
      </c>
      <c r="CM13" s="73">
        <f t="shared" ref="CM13:CM23" si="211">pAIDS_NoCare_AIDS_Dead_2013plus_u*BC12</f>
        <v>278.54289184175326</v>
      </c>
      <c r="CN13" s="73">
        <f t="shared" ref="CN13:CN23" si="212">pAIDS_InCare_AIDS_Dead_2013plus_u*BD12</f>
        <v>496.55583318799717</v>
      </c>
      <c r="CO13" s="73">
        <f t="shared" ref="CO13:CO23" si="213">pAIDS_ART1ear_AIDS_Dead_2013plus_u*BE12</f>
        <v>190.8339184844229</v>
      </c>
      <c r="CP13" s="73">
        <f t="shared" ref="CP13:CP23" si="214">pAIDS_ART1late_AIDS_Dead_2013plus_u*BF12</f>
        <v>446.93726881944025</v>
      </c>
      <c r="CQ13" s="73">
        <f t="shared" ref="CQ13:CQ23" si="215">pAIDS_ART2_AIDS_Dead_2013plus_u*BG12</f>
        <v>308.26832386188499</v>
      </c>
      <c r="CR13" s="73">
        <f t="shared" ref="CR13:CR23" si="216">(BQ12*pAIDS_LTFU_AIDS_Dead_2013plus_u)</f>
        <v>70.184781830041771</v>
      </c>
      <c r="CS13" s="73">
        <f t="shared" ref="CS13:CS23" si="217">(BR12*pAIDS_LTFU_AIDS_Dead_2013plus_u)</f>
        <v>146.14805655591684</v>
      </c>
      <c r="CT13" s="73">
        <f t="shared" ref="CT13:CT23" si="218">(BS12*pAIDS_LTFU_AIDS_Dead_2013plus_u)</f>
        <v>117.15843680602936</v>
      </c>
      <c r="CU13" s="73">
        <f t="shared" ref="CU13:CU23" si="219">(BT12*pAIDS_LTFU_AIDS_Dead_2013plus_u)</f>
        <v>34.817421420645779</v>
      </c>
      <c r="CV13" s="73">
        <f t="shared" ref="CV13:CV23" si="220">(BU12*pAIDS_LTFU_AIDS_Dead_2013plus_u)</f>
        <v>93.702590138060359</v>
      </c>
      <c r="CW13" s="73">
        <f t="shared" ref="CW13:CW23" si="221">(BV12*pAIDS_LTFU_AIDS_Dead_2013plus_u)</f>
        <v>29.358756721895972</v>
      </c>
      <c r="CX13" s="73">
        <f t="shared" ref="CX13:CX23" si="222">(BW12*pAIDS_LTFU_AIDS_Dead_2013plus_u)</f>
        <v>37.944919088517395</v>
      </c>
      <c r="CY13" s="73">
        <f t="shared" ref="CY13:CY23" si="223">(BX12*pAIDS_LTFU_AIDS_Dead_2013plus_u)</f>
        <v>7.5517805224432433</v>
      </c>
      <c r="CZ13" s="190"/>
      <c r="DA13" s="66">
        <v>2013</v>
      </c>
      <c r="DB13" s="218">
        <f t="shared" si="1"/>
        <v>1588.9711673270954</v>
      </c>
      <c r="DC13" s="218">
        <f t="shared" si="2"/>
        <v>44842.590874590074</v>
      </c>
      <c r="DD13" s="73">
        <f t="shared" si="3"/>
        <v>37785.769712308436</v>
      </c>
      <c r="DE13" s="73">
        <f t="shared" si="4"/>
        <v>21895.420510737124</v>
      </c>
      <c r="DF13" s="73">
        <f t="shared" si="5"/>
        <v>2294.1529369010914</v>
      </c>
      <c r="DG13" s="73">
        <f t="shared" si="6"/>
        <v>5013.4867518129367</v>
      </c>
      <c r="DH13" s="72">
        <f t="shared" si="33"/>
        <v>0.88286042408199905</v>
      </c>
      <c r="DI13" s="72">
        <f t="shared" si="34"/>
        <v>0.90515942987307685</v>
      </c>
      <c r="DJ13" s="73">
        <f>SUM(AV4:AV13,BB4:BB13,BI4:BI13)</f>
        <v>65157.409125409933</v>
      </c>
      <c r="DK13" s="73">
        <f>SUM(AV10:AV13,BB10:BB13,BI10:BI13)</f>
        <v>14668.216571389981</v>
      </c>
      <c r="DL13" s="190"/>
    </row>
    <row r="14" spans="1:116" s="127" customFormat="1" x14ac:dyDescent="0.25">
      <c r="A14" s="190"/>
      <c r="B14" s="63"/>
      <c r="C14" s="62"/>
      <c r="D14" s="173"/>
      <c r="E14" s="173"/>
      <c r="F14" s="173"/>
      <c r="G14" s="173"/>
      <c r="H14" s="173"/>
      <c r="I14" s="173"/>
      <c r="J14" s="173"/>
      <c r="K14" s="173"/>
      <c r="L14" s="173"/>
      <c r="M14" s="173"/>
      <c r="N14" s="173"/>
      <c r="O14" s="173"/>
      <c r="P14" s="173"/>
      <c r="Q14" s="173"/>
      <c r="R14" s="173"/>
      <c r="S14" s="173"/>
      <c r="T14" s="173"/>
      <c r="U14" s="62"/>
      <c r="V14" s="190"/>
      <c r="W14" s="66">
        <v>10</v>
      </c>
      <c r="X14" s="66">
        <v>2014</v>
      </c>
      <c r="Y14" s="70">
        <f t="shared" ref="Y14:Y23" si="224">MMULT($Y13:$AO13,D$202:D$218)</f>
        <v>3.9550810855924533E-3</v>
      </c>
      <c r="Z14" s="70">
        <f t="shared" si="172"/>
        <v>1.4677904378126109E-3</v>
      </c>
      <c r="AA14" s="70">
        <f t="shared" si="173"/>
        <v>7.2351192876899083E-3</v>
      </c>
      <c r="AB14" s="70">
        <f t="shared" si="174"/>
        <v>3.352255721105771E-4</v>
      </c>
      <c r="AC14" s="70">
        <f t="shared" si="175"/>
        <v>4.8484253434178896E-3</v>
      </c>
      <c r="AD14" s="70">
        <f t="shared" si="176"/>
        <v>2.9124786784753684E-3</v>
      </c>
      <c r="AE14" s="70">
        <f t="shared" si="177"/>
        <v>0.10838330721524735</v>
      </c>
      <c r="AF14" s="70">
        <f t="shared" si="178"/>
        <v>3.9453412650722844E-2</v>
      </c>
      <c r="AG14" s="70">
        <f t="shared" si="179"/>
        <v>9.9340050053161582E-3</v>
      </c>
      <c r="AH14" s="70">
        <f t="shared" si="180"/>
        <v>1.4121780981491659E-3</v>
      </c>
      <c r="AI14" s="70">
        <f t="shared" si="181"/>
        <v>2.5497453947926968E-3</v>
      </c>
      <c r="AJ14" s="70">
        <f t="shared" si="182"/>
        <v>4.9102814546843083E-3</v>
      </c>
      <c r="AK14" s="70">
        <f t="shared" si="183"/>
        <v>5.8702133512159495E-3</v>
      </c>
      <c r="AL14" s="70">
        <f t="shared" si="184"/>
        <v>0.15327274816291322</v>
      </c>
      <c r="AM14" s="70">
        <f t="shared" si="185"/>
        <v>3.6563947823240468E-2</v>
      </c>
      <c r="AN14" s="70">
        <f t="shared" si="186"/>
        <v>7.7102665962400976E-3</v>
      </c>
      <c r="AO14" s="70">
        <f t="shared" si="187"/>
        <v>1.6845690884106909E-2</v>
      </c>
      <c r="AP14" s="190"/>
      <c r="AQ14" s="66">
        <v>10</v>
      </c>
      <c r="AR14" s="66">
        <v>2014</v>
      </c>
      <c r="AS14" s="215">
        <f>Params!$C$18*Y14</f>
        <v>435.05891941516984</v>
      </c>
      <c r="AT14" s="215">
        <f>Params!$C$18*Z14</f>
        <v>161.4569481593872</v>
      </c>
      <c r="AU14" s="215">
        <f>Params!$C$18*AA14</f>
        <v>795.86312164588992</v>
      </c>
      <c r="AV14" s="215">
        <f>Params!$C$18*AB14</f>
        <v>36.874812932163479</v>
      </c>
      <c r="AW14" s="215">
        <f>Params!$C$18*AC14</f>
        <v>533.32678777596789</v>
      </c>
      <c r="AX14" s="215">
        <f>Params!$C$18*AD14</f>
        <v>320.37265463229051</v>
      </c>
      <c r="AY14" s="215">
        <f>Params!$C$18*AE14</f>
        <v>11922.163793677208</v>
      </c>
      <c r="AZ14" s="215">
        <f>Params!$C$18*AF14</f>
        <v>4339.8753915795132</v>
      </c>
      <c r="BA14" s="215">
        <f>Params!$C$18*AG14</f>
        <v>1092.7405505847773</v>
      </c>
      <c r="BB14" s="215">
        <f>Params!$C$18*AH14</f>
        <v>155.33959079640826</v>
      </c>
      <c r="BC14" s="215">
        <f>Params!$C$18*AI14</f>
        <v>280.47199342719665</v>
      </c>
      <c r="BD14" s="215">
        <f>Params!$C$18*AJ14</f>
        <v>540.1309600152739</v>
      </c>
      <c r="BE14" s="215">
        <f>Params!$C$18*AK14</f>
        <v>645.72346863375446</v>
      </c>
      <c r="BF14" s="215">
        <f>Params!$C$18*AL14</f>
        <v>16860.002297920455</v>
      </c>
      <c r="BG14" s="215">
        <f t="shared" si="0"/>
        <v>4022.0342605564515</v>
      </c>
      <c r="BH14" s="215">
        <f>Params!$C$18*AN14</f>
        <v>848.12932558641069</v>
      </c>
      <c r="BI14" s="215">
        <f>Params!$C$18*AO14</f>
        <v>1853.0259972517599</v>
      </c>
      <c r="BJ14" s="194"/>
      <c r="BK14" s="66">
        <v>10</v>
      </c>
      <c r="BL14" s="66">
        <v>2014</v>
      </c>
      <c r="BM14" s="215">
        <f t="shared" si="188"/>
        <v>240.35218961654689</v>
      </c>
      <c r="BN14" s="219">
        <f t="shared" si="189"/>
        <v>481.87937143011021</v>
      </c>
      <c r="BO14" s="219">
        <f t="shared" si="190"/>
        <v>278.25093411017156</v>
      </c>
      <c r="BP14" s="219">
        <f t="shared" si="191"/>
        <v>92.258055427948648</v>
      </c>
      <c r="BQ14" s="219">
        <f t="shared" si="192"/>
        <v>63.835728893064939</v>
      </c>
      <c r="BR14" s="220">
        <f t="shared" si="193"/>
        <v>195.84000914035994</v>
      </c>
      <c r="BS14" s="219">
        <f t="shared" si="194"/>
        <v>116.49549411881534</v>
      </c>
      <c r="BT14" s="219">
        <f t="shared" si="195"/>
        <v>37.505439855854505</v>
      </c>
      <c r="BU14" s="219">
        <f t="shared" si="196"/>
        <v>218.22172057546595</v>
      </c>
      <c r="BV14" s="219">
        <f t="shared" si="197"/>
        <v>76.151474808836525</v>
      </c>
      <c r="BW14" s="219">
        <f t="shared" si="198"/>
        <v>116.76419045799793</v>
      </c>
      <c r="BX14" s="220">
        <f t="shared" si="199"/>
        <v>23.315267736015528</v>
      </c>
      <c r="BY14" s="195"/>
      <c r="BZ14" s="192">
        <v>10</v>
      </c>
      <c r="CA14" s="66">
        <v>2014</v>
      </c>
      <c r="CB14" s="218">
        <f t="shared" si="200"/>
        <v>12.4835343052406</v>
      </c>
      <c r="CC14" s="218">
        <f t="shared" si="201"/>
        <v>4.3087578495352856</v>
      </c>
      <c r="CD14" s="73">
        <f t="shared" si="202"/>
        <v>20.08252077738759</v>
      </c>
      <c r="CE14" s="73">
        <f t="shared" si="203"/>
        <v>23.266579311408712</v>
      </c>
      <c r="CF14" s="73">
        <f t="shared" si="204"/>
        <v>13.061551252906252</v>
      </c>
      <c r="CG14" s="73">
        <f t="shared" si="205"/>
        <v>59.732477440754636</v>
      </c>
      <c r="CH14" s="73">
        <f t="shared" si="206"/>
        <v>20.62770780414607</v>
      </c>
      <c r="CI14" s="73">
        <f t="shared" si="207"/>
        <v>10.447724549366843</v>
      </c>
      <c r="CJ14" s="73">
        <f t="shared" si="208"/>
        <v>18.269808790472439</v>
      </c>
      <c r="CK14" s="73">
        <f t="shared" si="209"/>
        <v>7.5832022639475571</v>
      </c>
      <c r="CL14" s="73">
        <f t="shared" si="210"/>
        <v>2.3505393834057124</v>
      </c>
      <c r="CM14" s="73">
        <f t="shared" si="211"/>
        <v>179.47087306825043</v>
      </c>
      <c r="CN14" s="73">
        <f t="shared" si="212"/>
        <v>322.52067025883309</v>
      </c>
      <c r="CO14" s="73">
        <f t="shared" si="213"/>
        <v>138.83418363970071</v>
      </c>
      <c r="CP14" s="73">
        <f t="shared" si="214"/>
        <v>444.21066659408632</v>
      </c>
      <c r="CQ14" s="73">
        <f t="shared" si="215"/>
        <v>349.40427993778326</v>
      </c>
      <c r="CR14" s="73">
        <f t="shared" si="216"/>
        <v>41.302983095712115</v>
      </c>
      <c r="CS14" s="73">
        <f t="shared" si="217"/>
        <v>108.55218035622219</v>
      </c>
      <c r="CT14" s="73">
        <f t="shared" si="218"/>
        <v>74.817319281098065</v>
      </c>
      <c r="CU14" s="73">
        <f t="shared" si="219"/>
        <v>21.856061764668507</v>
      </c>
      <c r="CV14" s="73">
        <f t="shared" si="220"/>
        <v>90.514970779476329</v>
      </c>
      <c r="CW14" s="73">
        <f t="shared" si="221"/>
        <v>30.526195282829057</v>
      </c>
      <c r="CX14" s="73">
        <f t="shared" si="222"/>
        <v>42.371641871064341</v>
      </c>
      <c r="CY14" s="73">
        <f t="shared" si="223"/>
        <v>8.6439713220355952</v>
      </c>
      <c r="CZ14" s="190"/>
      <c r="DA14" s="66">
        <v>2014</v>
      </c>
      <c r="DB14" s="218">
        <f t="shared" si="1"/>
        <v>1021.9605628069517</v>
      </c>
      <c r="DC14" s="218">
        <f t="shared" si="2"/>
        <v>42797.350473609746</v>
      </c>
      <c r="DD14" s="73">
        <f t="shared" si="3"/>
        <v>37789.799212367383</v>
      </c>
      <c r="DE14" s="73">
        <f t="shared" si="4"/>
        <v>21527.76002711066</v>
      </c>
      <c r="DF14" s="73">
        <f t="shared" si="5"/>
        <v>1668.7322790288813</v>
      </c>
      <c r="DG14" s="73">
        <f t="shared" si="6"/>
        <v>3615.1722720219168</v>
      </c>
      <c r="DH14" s="72">
        <f t="shared" si="33"/>
        <v>0.91268748311093684</v>
      </c>
      <c r="DI14" s="72">
        <f t="shared" si="34"/>
        <v>0.92806100780214906</v>
      </c>
      <c r="DJ14" s="73">
        <f>SUM(AV4:AV14,BB4:BB14,BI4:BI14)</f>
        <v>67202.649526390276</v>
      </c>
      <c r="DK14" s="73">
        <f>SUM(AV10:AV14,BB10:BB14,BI10:BI14)</f>
        <v>16713.456972370313</v>
      </c>
      <c r="DL14" s="190"/>
    </row>
    <row r="15" spans="1:116" s="127" customFormat="1" x14ac:dyDescent="0.25">
      <c r="A15" s="190"/>
      <c r="B15" s="63"/>
      <c r="C15" s="62"/>
      <c r="D15" s="173"/>
      <c r="E15" s="173"/>
      <c r="F15" s="173"/>
      <c r="G15" s="173"/>
      <c r="H15" s="173"/>
      <c r="I15" s="173"/>
      <c r="J15" s="173"/>
      <c r="K15" s="173"/>
      <c r="L15" s="173"/>
      <c r="M15" s="173"/>
      <c r="N15" s="173"/>
      <c r="O15" s="173"/>
      <c r="P15" s="173"/>
      <c r="Q15" s="173"/>
      <c r="R15" s="173"/>
      <c r="S15" s="173"/>
      <c r="T15" s="173"/>
      <c r="U15" s="62"/>
      <c r="V15" s="190"/>
      <c r="W15" s="66">
        <v>11</v>
      </c>
      <c r="X15" s="66">
        <v>2015</v>
      </c>
      <c r="Y15" s="70">
        <f t="shared" si="224"/>
        <v>2.5065725279875151E-3</v>
      </c>
      <c r="Z15" s="70">
        <f t="shared" si="172"/>
        <v>9.3588456184635742E-4</v>
      </c>
      <c r="AA15" s="70">
        <f t="shared" si="173"/>
        <v>5.1568645159379917E-3</v>
      </c>
      <c r="AB15" s="70">
        <f t="shared" si="174"/>
        <v>2.2853933634969098E-4</v>
      </c>
      <c r="AC15" s="70">
        <f t="shared" si="175"/>
        <v>3.0925878220547857E-3</v>
      </c>
      <c r="AD15" s="70">
        <f t="shared" si="176"/>
        <v>1.8625696060901404E-3</v>
      </c>
      <c r="AE15" s="70">
        <f t="shared" si="177"/>
        <v>0.10832240777218127</v>
      </c>
      <c r="AF15" s="70">
        <f t="shared" si="178"/>
        <v>4.13308455401337E-2</v>
      </c>
      <c r="AG15" s="70">
        <f t="shared" si="179"/>
        <v>8.0632350196406591E-3</v>
      </c>
      <c r="AH15" s="70">
        <f t="shared" si="180"/>
        <v>1.2361091724221206E-3</v>
      </c>
      <c r="AI15" s="70">
        <f t="shared" si="181"/>
        <v>1.6306066046375409E-3</v>
      </c>
      <c r="AJ15" s="70">
        <f t="shared" si="182"/>
        <v>3.1521783743115759E-3</v>
      </c>
      <c r="AK15" s="70">
        <f t="shared" si="183"/>
        <v>4.1517881123453552E-3</v>
      </c>
      <c r="AL15" s="70">
        <f t="shared" si="184"/>
        <v>0.14779742793379472</v>
      </c>
      <c r="AM15" s="70">
        <f t="shared" si="185"/>
        <v>3.8595950456868644E-2</v>
      </c>
      <c r="AN15" s="70">
        <f t="shared" si="186"/>
        <v>6.6400038601873747E-3</v>
      </c>
      <c r="AO15" s="70">
        <f t="shared" si="187"/>
        <v>1.4363251270571885E-2</v>
      </c>
      <c r="AP15" s="190"/>
      <c r="AQ15" s="66">
        <v>11</v>
      </c>
      <c r="AR15" s="66">
        <v>2015</v>
      </c>
      <c r="AS15" s="215">
        <f>Params!$C$18*Y15</f>
        <v>275.72297807862668</v>
      </c>
      <c r="AT15" s="215">
        <f>Params!$C$18*Z15</f>
        <v>102.94730180309932</v>
      </c>
      <c r="AU15" s="215">
        <f>Params!$C$18*AA15</f>
        <v>567.25509675317903</v>
      </c>
      <c r="AV15" s="215">
        <f>Params!$C$18*AB15</f>
        <v>25.139326998466007</v>
      </c>
      <c r="AW15" s="215">
        <f>Params!$C$18*AC15</f>
        <v>340.18466042602643</v>
      </c>
      <c r="AX15" s="215">
        <f>Params!$C$18*AD15</f>
        <v>204.88265666991543</v>
      </c>
      <c r="AY15" s="215">
        <f>Params!$C$18*AE15</f>
        <v>11915.464854939941</v>
      </c>
      <c r="AZ15" s="215">
        <f>Params!$C$18*AF15</f>
        <v>4546.3930094147072</v>
      </c>
      <c r="BA15" s="215">
        <f>Params!$C$18*AG15</f>
        <v>886.95585216047255</v>
      </c>
      <c r="BB15" s="215">
        <f>Params!$C$18*AH15</f>
        <v>135.97200896643326</v>
      </c>
      <c r="BC15" s="215">
        <f>Params!$C$18*AI15</f>
        <v>179.3667265101295</v>
      </c>
      <c r="BD15" s="215">
        <f>Params!$C$18*AJ15</f>
        <v>346.73962117427334</v>
      </c>
      <c r="BE15" s="215">
        <f>Params!$C$18*AK15</f>
        <v>456.69669235798909</v>
      </c>
      <c r="BF15" s="215">
        <f>Params!$C$18*AL15</f>
        <v>16257.71707271742</v>
      </c>
      <c r="BG15" s="215">
        <f t="shared" si="0"/>
        <v>4245.5545502555506</v>
      </c>
      <c r="BH15" s="215">
        <f>Params!$C$18*AN15</f>
        <v>730.40042462061126</v>
      </c>
      <c r="BI15" s="215">
        <f>Params!$C$18*AO15</f>
        <v>1579.9576397629073</v>
      </c>
      <c r="BJ15" s="194"/>
      <c r="BK15" s="66">
        <v>11</v>
      </c>
      <c r="BL15" s="66">
        <v>2015</v>
      </c>
      <c r="BM15" s="215">
        <f t="shared" si="188"/>
        <v>154.22953591337324</v>
      </c>
      <c r="BN15" s="219">
        <f t="shared" si="189"/>
        <v>351.16704394805407</v>
      </c>
      <c r="BO15" s="219">
        <f t="shared" si="190"/>
        <v>282.36965760215782</v>
      </c>
      <c r="BP15" s="219">
        <f t="shared" si="191"/>
        <v>99.189614696887176</v>
      </c>
      <c r="BQ15" s="219">
        <f t="shared" si="192"/>
        <v>41.024282127403531</v>
      </c>
      <c r="BR15" s="220">
        <f t="shared" si="193"/>
        <v>144.24914543668172</v>
      </c>
      <c r="BS15" s="219">
        <f t="shared" si="194"/>
        <v>74.678378360269363</v>
      </c>
      <c r="BT15" s="219">
        <f t="shared" si="195"/>
        <v>25.914343371219502</v>
      </c>
      <c r="BU15" s="219">
        <f t="shared" si="196"/>
        <v>213.70923086706881</v>
      </c>
      <c r="BV15" s="219">
        <f t="shared" si="197"/>
        <v>77.935272609029425</v>
      </c>
      <c r="BW15" s="219">
        <f t="shared" si="198"/>
        <v>127.32979480712183</v>
      </c>
      <c r="BX15" s="220">
        <f t="shared" si="199"/>
        <v>25.559977041817035</v>
      </c>
      <c r="BY15" s="195"/>
      <c r="BZ15" s="192">
        <v>11</v>
      </c>
      <c r="CA15" s="66">
        <v>2015</v>
      </c>
      <c r="CB15" s="218">
        <f t="shared" si="200"/>
        <v>7.9115657718604186</v>
      </c>
      <c r="CC15" s="218">
        <f t="shared" si="201"/>
        <v>2.7549550127627809</v>
      </c>
      <c r="CD15" s="73">
        <f t="shared" si="202"/>
        <v>14.472806213842807</v>
      </c>
      <c r="CE15" s="73">
        <f t="shared" si="203"/>
        <v>14.873704046704816</v>
      </c>
      <c r="CF15" s="73">
        <f t="shared" si="204"/>
        <v>8.383484850093696</v>
      </c>
      <c r="CG15" s="73">
        <f t="shared" si="205"/>
        <v>60.292400049031663</v>
      </c>
      <c r="CH15" s="73">
        <f t="shared" si="206"/>
        <v>21.947484349345153</v>
      </c>
      <c r="CI15" s="73">
        <f t="shared" si="207"/>
        <v>6.7030710200060302</v>
      </c>
      <c r="CJ15" s="73">
        <f t="shared" si="208"/>
        <v>13.438910853797861</v>
      </c>
      <c r="CK15" s="73">
        <f t="shared" si="209"/>
        <v>7.7600115717651619</v>
      </c>
      <c r="CL15" s="73">
        <f t="shared" si="210"/>
        <v>2.5729422256888745</v>
      </c>
      <c r="CM15" s="73">
        <f t="shared" si="211"/>
        <v>115.13788698304458</v>
      </c>
      <c r="CN15" s="73">
        <f t="shared" si="212"/>
        <v>208.0516820900782</v>
      </c>
      <c r="CO15" s="73">
        <f t="shared" si="213"/>
        <v>95.441101399215711</v>
      </c>
      <c r="CP15" s="73">
        <f t="shared" si="214"/>
        <v>434.23267193205174</v>
      </c>
      <c r="CQ15" s="73">
        <f t="shared" si="215"/>
        <v>378.92470921843812</v>
      </c>
      <c r="CR15" s="73">
        <f t="shared" si="216"/>
        <v>26.2055075409083</v>
      </c>
      <c r="CS15" s="73">
        <f t="shared" si="217"/>
        <v>80.395210101482817</v>
      </c>
      <c r="CT15" s="73">
        <f t="shared" si="218"/>
        <v>47.823117281646802</v>
      </c>
      <c r="CU15" s="73">
        <f t="shared" si="219"/>
        <v>15.396535827359431</v>
      </c>
      <c r="CV15" s="73">
        <f t="shared" si="220"/>
        <v>89.583232514035288</v>
      </c>
      <c r="CW15" s="73">
        <f t="shared" si="221"/>
        <v>31.261302752525676</v>
      </c>
      <c r="CX15" s="73">
        <f t="shared" si="222"/>
        <v>47.933421089009272</v>
      </c>
      <c r="CY15" s="73">
        <f t="shared" si="223"/>
        <v>9.5712610331113197</v>
      </c>
      <c r="CZ15" s="190"/>
      <c r="DA15" s="66">
        <v>2015</v>
      </c>
      <c r="DB15" s="218">
        <f t="shared" si="1"/>
        <v>654.56957964728804</v>
      </c>
      <c r="DC15" s="218">
        <f t="shared" si="2"/>
        <v>41056.281497881944</v>
      </c>
      <c r="DD15" s="73">
        <f t="shared" si="3"/>
        <v>37421.82617968561</v>
      </c>
      <c r="DE15" s="73">
        <f t="shared" si="4"/>
        <v>20959.96831533096</v>
      </c>
      <c r="DF15" s="73">
        <f t="shared" si="5"/>
        <v>1256.5067723050142</v>
      </c>
      <c r="DG15" s="73">
        <f t="shared" si="6"/>
        <v>2688.5299415614286</v>
      </c>
      <c r="DH15" s="72">
        <f t="shared" si="33"/>
        <v>0.93297167610692755</v>
      </c>
      <c r="DI15" s="72">
        <f t="shared" si="34"/>
        <v>0.94344256830354278</v>
      </c>
      <c r="DJ15" s="73">
        <f>SUM(AV4:AV15,BB4:BB15,BI4:BI15)</f>
        <v>68943.718502118078</v>
      </c>
      <c r="DK15" s="73">
        <f>SUM(AV10:AV15,BB10:BB15,BI10:BI15)</f>
        <v>18454.525948098119</v>
      </c>
      <c r="DL15" s="190"/>
    </row>
    <row r="16" spans="1:116" s="127" customFormat="1" x14ac:dyDescent="0.25">
      <c r="A16" s="190"/>
      <c r="B16" s="63"/>
      <c r="C16" s="62"/>
      <c r="D16" s="173"/>
      <c r="E16" s="173"/>
      <c r="F16" s="173"/>
      <c r="G16" s="173"/>
      <c r="H16" s="173"/>
      <c r="I16" s="173"/>
      <c r="J16" s="173"/>
      <c r="K16" s="173"/>
      <c r="L16" s="173"/>
      <c r="M16" s="173"/>
      <c r="N16" s="173"/>
      <c r="O16" s="173"/>
      <c r="P16" s="173"/>
      <c r="Q16" s="173"/>
      <c r="R16" s="173"/>
      <c r="S16" s="173"/>
      <c r="T16" s="173"/>
      <c r="U16" s="62"/>
      <c r="V16" s="190"/>
      <c r="W16" s="66">
        <v>12</v>
      </c>
      <c r="X16" s="66">
        <v>2016</v>
      </c>
      <c r="Y16" s="70">
        <f t="shared" si="224"/>
        <v>1.5885656202976612E-3</v>
      </c>
      <c r="Z16" s="70">
        <f t="shared" si="172"/>
        <v>5.9560509612926506E-4</v>
      </c>
      <c r="AA16" s="70">
        <f t="shared" si="173"/>
        <v>3.6417424803816306E-3</v>
      </c>
      <c r="AB16" s="70">
        <f t="shared" si="174"/>
        <v>1.553290288429371E-4</v>
      </c>
      <c r="AC16" s="70">
        <f t="shared" si="175"/>
        <v>1.9693813134480254E-3</v>
      </c>
      <c r="AD16" s="70">
        <f t="shared" si="176"/>
        <v>1.188102366207778E-3</v>
      </c>
      <c r="AE16" s="70">
        <f t="shared" si="177"/>
        <v>0.10753294865378042</v>
      </c>
      <c r="AF16" s="70">
        <f t="shared" si="178"/>
        <v>4.2850037341965568E-2</v>
      </c>
      <c r="AG16" s="70">
        <f t="shared" si="179"/>
        <v>6.7367448539650439E-3</v>
      </c>
      <c r="AH16" s="70">
        <f t="shared" si="180"/>
        <v>1.1166809776849062E-3</v>
      </c>
      <c r="AI16" s="70">
        <f t="shared" si="181"/>
        <v>1.0403819360031905E-3</v>
      </c>
      <c r="AJ16" s="70">
        <f t="shared" si="182"/>
        <v>2.0165468474535775E-3</v>
      </c>
      <c r="AK16" s="70">
        <f t="shared" si="183"/>
        <v>3.0228323626262212E-3</v>
      </c>
      <c r="AL16" s="70">
        <f t="shared" si="184"/>
        <v>0.14127980742944984</v>
      </c>
      <c r="AM16" s="70">
        <f t="shared" si="185"/>
        <v>3.9964609608620236E-2</v>
      </c>
      <c r="AN16" s="70">
        <f t="shared" si="186"/>
        <v>5.8738036554033543E-3</v>
      </c>
      <c r="AO16" s="70">
        <f t="shared" si="187"/>
        <v>1.2665803135757974E-2</v>
      </c>
      <c r="AP16" s="190"/>
      <c r="AQ16" s="66">
        <v>12</v>
      </c>
      <c r="AR16" s="66">
        <v>2016</v>
      </c>
      <c r="AS16" s="215">
        <f>Params!$C$18*Y16</f>
        <v>174.74221823274274</v>
      </c>
      <c r="AT16" s="215">
        <f>Params!$C$18*Z16</f>
        <v>65.516560574219156</v>
      </c>
      <c r="AU16" s="215">
        <f>Params!$C$18*AA16</f>
        <v>400.59167284197935</v>
      </c>
      <c r="AV16" s="215">
        <f>Params!$C$18*AB16</f>
        <v>17.086193172723082</v>
      </c>
      <c r="AW16" s="215">
        <f>Params!$C$18*AC16</f>
        <v>216.63194447928279</v>
      </c>
      <c r="AX16" s="215">
        <f>Params!$C$18*AD16</f>
        <v>130.69126028285558</v>
      </c>
      <c r="AY16" s="215">
        <f>Params!$C$18*AE16</f>
        <v>11828.624351915847</v>
      </c>
      <c r="AZ16" s="215">
        <f>Params!$C$18*AF16</f>
        <v>4713.5041076162124</v>
      </c>
      <c r="BA16" s="215">
        <f>Params!$C$18*AG16</f>
        <v>741.04193393615481</v>
      </c>
      <c r="BB16" s="215">
        <f>Params!$C$18*AH16</f>
        <v>122.83490754533969</v>
      </c>
      <c r="BC16" s="215">
        <f>Params!$C$18*AI16</f>
        <v>114.44201296035095</v>
      </c>
      <c r="BD16" s="215">
        <f>Params!$C$18*AJ16</f>
        <v>221.82015321989351</v>
      </c>
      <c r="BE16" s="215">
        <f>Params!$C$18*AK16</f>
        <v>332.51155988888434</v>
      </c>
      <c r="BF16" s="215">
        <f>Params!$C$18*AL16</f>
        <v>15540.778817239483</v>
      </c>
      <c r="BG16" s="215">
        <f t="shared" si="0"/>
        <v>4396.1070569482263</v>
      </c>
      <c r="BH16" s="215">
        <f>Params!$C$18*AN16</f>
        <v>646.118402094369</v>
      </c>
      <c r="BI16" s="215">
        <f>Params!$C$18*AO16</f>
        <v>1393.2383449333772</v>
      </c>
      <c r="BJ16" s="194"/>
      <c r="BK16" s="66">
        <v>12</v>
      </c>
      <c r="BL16" s="66">
        <v>2016</v>
      </c>
      <c r="BM16" s="215">
        <f t="shared" si="188"/>
        <v>98.839481227573401</v>
      </c>
      <c r="BN16" s="219">
        <f t="shared" si="189"/>
        <v>253.36593745968298</v>
      </c>
      <c r="BO16" s="219">
        <f t="shared" si="190"/>
        <v>283.91430619860375</v>
      </c>
      <c r="BP16" s="219">
        <f t="shared" si="191"/>
        <v>104.92220905029473</v>
      </c>
      <c r="BQ16" s="219">
        <f t="shared" si="192"/>
        <v>26.342207493706731</v>
      </c>
      <c r="BR16" s="220">
        <f t="shared" si="193"/>
        <v>105.3430398811675</v>
      </c>
      <c r="BS16" s="219">
        <f t="shared" si="194"/>
        <v>47.908902606708267</v>
      </c>
      <c r="BT16" s="219">
        <f t="shared" si="195"/>
        <v>18.239495300966006</v>
      </c>
      <c r="BU16" s="219">
        <f t="shared" si="196"/>
        <v>206.551267496544</v>
      </c>
      <c r="BV16" s="219">
        <f t="shared" si="197"/>
        <v>79.184146809527505</v>
      </c>
      <c r="BW16" s="219">
        <f t="shared" si="198"/>
        <v>134.99746167545561</v>
      </c>
      <c r="BX16" s="220">
        <f t="shared" si="199"/>
        <v>27.551880830293381</v>
      </c>
      <c r="BY16" s="195"/>
      <c r="BZ16" s="192">
        <v>12</v>
      </c>
      <c r="CA16" s="66">
        <v>2016</v>
      </c>
      <c r="CB16" s="218">
        <f t="shared" si="200"/>
        <v>5.0140346020595139</v>
      </c>
      <c r="CC16" s="218">
        <f t="shared" si="201"/>
        <v>1.7565994426754052</v>
      </c>
      <c r="CD16" s="73">
        <f t="shared" si="202"/>
        <v>10.315559127988161</v>
      </c>
      <c r="CE16" s="73">
        <f t="shared" si="203"/>
        <v>9.4872526120531973</v>
      </c>
      <c r="CF16" s="73">
        <f t="shared" si="204"/>
        <v>5.3613522359160273</v>
      </c>
      <c r="CG16" s="73">
        <f t="shared" si="205"/>
        <v>60.258522382087897</v>
      </c>
      <c r="CH16" s="73">
        <f t="shared" si="206"/>
        <v>22.991878894427316</v>
      </c>
      <c r="CI16" s="73">
        <f t="shared" si="207"/>
        <v>4.3012361745455028</v>
      </c>
      <c r="CJ16" s="73">
        <f t="shared" si="208"/>
        <v>9.7935352252240637</v>
      </c>
      <c r="CK16" s="73">
        <f t="shared" si="209"/>
        <v>7.8748767457525366</v>
      </c>
      <c r="CL16" s="73">
        <f t="shared" si="210"/>
        <v>2.7662532753331561</v>
      </c>
      <c r="CM16" s="73">
        <f t="shared" si="211"/>
        <v>73.632684793544854</v>
      </c>
      <c r="CN16" s="73">
        <f t="shared" si="212"/>
        <v>133.55976008215507</v>
      </c>
      <c r="CO16" s="73">
        <f t="shared" si="213"/>
        <v>67.502015090530293</v>
      </c>
      <c r="CP16" s="73">
        <f t="shared" si="214"/>
        <v>418.72069761652222</v>
      </c>
      <c r="CQ16" s="73">
        <f t="shared" si="215"/>
        <v>399.98304818120323</v>
      </c>
      <c r="CR16" s="73">
        <f t="shared" si="216"/>
        <v>16.84107244159339</v>
      </c>
      <c r="CS16" s="73">
        <f t="shared" si="217"/>
        <v>59.216400189349287</v>
      </c>
      <c r="CT16" s="73">
        <f t="shared" si="218"/>
        <v>30.656574949447268</v>
      </c>
      <c r="CU16" s="73">
        <f t="shared" si="219"/>
        <v>10.638219887326395</v>
      </c>
      <c r="CV16" s="73">
        <f t="shared" si="220"/>
        <v>87.730788982298321</v>
      </c>
      <c r="CW16" s="73">
        <f t="shared" si="221"/>
        <v>31.993578039657066</v>
      </c>
      <c r="CX16" s="73">
        <f t="shared" si="222"/>
        <v>52.270757393401333</v>
      </c>
      <c r="CY16" s="73">
        <f t="shared" si="223"/>
        <v>10.492747286348401</v>
      </c>
      <c r="CZ16" s="190"/>
      <c r="DA16" s="66">
        <v>2016</v>
      </c>
      <c r="DB16" s="218">
        <f t="shared" si="1"/>
        <v>418.02797407696823</v>
      </c>
      <c r="DC16" s="218">
        <f t="shared" si="2"/>
        <v>39523.122052230501</v>
      </c>
      <c r="DD16" s="73">
        <f t="shared" si="3"/>
        <v>36811.525893608654</v>
      </c>
      <c r="DE16" s="73">
        <f t="shared" si="4"/>
        <v>20269.397434076593</v>
      </c>
      <c r="DF16" s="73">
        <f t="shared" si="5"/>
        <v>982.38056827461344</v>
      </c>
      <c r="DG16" s="73">
        <f t="shared" si="6"/>
        <v>2070.7457069729066</v>
      </c>
      <c r="DH16" s="72">
        <f t="shared" si="33"/>
        <v>0.94674319113233252</v>
      </c>
      <c r="DI16" s="72">
        <f t="shared" si="34"/>
        <v>0.95377419394434071</v>
      </c>
      <c r="DJ16" s="73">
        <f>SUM(AV4:AV16,BB4:BB16,BI4:BI16)</f>
        <v>70476.877947769521</v>
      </c>
      <c r="DK16" s="73">
        <f>SUM(AV10:AV16,BB10:BB16,BI10:BI16)</f>
        <v>19987.685393749554</v>
      </c>
      <c r="DL16" s="190"/>
    </row>
    <row r="17" spans="1:116" s="127" customFormat="1" x14ac:dyDescent="0.25">
      <c r="A17" s="190"/>
      <c r="B17" s="63"/>
      <c r="C17" s="62"/>
      <c r="D17" s="173"/>
      <c r="E17" s="173"/>
      <c r="F17" s="173"/>
      <c r="G17" s="173"/>
      <c r="H17" s="173"/>
      <c r="I17" s="173"/>
      <c r="J17" s="173"/>
      <c r="K17" s="173"/>
      <c r="L17" s="173"/>
      <c r="M17" s="173"/>
      <c r="N17" s="173"/>
      <c r="O17" s="173"/>
      <c r="P17" s="173"/>
      <c r="Q17" s="173"/>
      <c r="R17" s="173"/>
      <c r="S17" s="173"/>
      <c r="T17" s="173"/>
      <c r="U17" s="62"/>
      <c r="V17" s="190"/>
      <c r="W17" s="66">
        <v>13</v>
      </c>
      <c r="X17" s="66">
        <v>2017</v>
      </c>
      <c r="Y17" s="70">
        <f t="shared" si="224"/>
        <v>1.0067694837530999E-3</v>
      </c>
      <c r="Z17" s="70">
        <f t="shared" si="172"/>
        <v>3.7855680919466456E-4</v>
      </c>
      <c r="AA17" s="70">
        <f t="shared" si="173"/>
        <v>2.5517367945222481E-3</v>
      </c>
      <c r="AB17" s="70">
        <f t="shared" si="174"/>
        <v>1.0527625058638049E-4</v>
      </c>
      <c r="AC17" s="70">
        <f t="shared" si="175"/>
        <v>1.2525882204612066E-3</v>
      </c>
      <c r="AD17" s="70">
        <f t="shared" si="176"/>
        <v>7.5650109012278524E-4</v>
      </c>
      <c r="AE17" s="70">
        <f t="shared" si="177"/>
        <v>0.10625281065942344</v>
      </c>
      <c r="AF17" s="70">
        <f t="shared" si="178"/>
        <v>4.4105095096684539E-2</v>
      </c>
      <c r="AG17" s="70">
        <f t="shared" si="179"/>
        <v>5.792619815092848E-3</v>
      </c>
      <c r="AH17" s="70">
        <f t="shared" si="180"/>
        <v>1.0344034997803806E-3</v>
      </c>
      <c r="AI17" s="70">
        <f t="shared" si="181"/>
        <v>6.6266055285516966E-4</v>
      </c>
      <c r="AJ17" s="70">
        <f t="shared" si="182"/>
        <v>1.2868251009545651E-3</v>
      </c>
      <c r="AK17" s="70">
        <f t="shared" si="183"/>
        <v>2.2782227177850626E-3</v>
      </c>
      <c r="AL17" s="70">
        <f t="shared" si="184"/>
        <v>0.1342735274439969</v>
      </c>
      <c r="AM17" s="70">
        <f t="shared" si="185"/>
        <v>4.0789372173833091E-2</v>
      </c>
      <c r="AN17" s="70">
        <f t="shared" si="186"/>
        <v>5.308387575653069E-3</v>
      </c>
      <c r="AO17" s="70">
        <f t="shared" si="187"/>
        <v>1.1465756281032349E-2</v>
      </c>
      <c r="AP17" s="190"/>
      <c r="AQ17" s="66">
        <v>13</v>
      </c>
      <c r="AR17" s="66">
        <v>2017</v>
      </c>
      <c r="AS17" s="215">
        <f>Params!$C$18*Y17</f>
        <v>110.74464321284098</v>
      </c>
      <c r="AT17" s="215">
        <f>Params!$C$18*Z17</f>
        <v>41.641249011413102</v>
      </c>
      <c r="AU17" s="215">
        <f>Params!$C$18*AA17</f>
        <v>280.69104739744728</v>
      </c>
      <c r="AV17" s="215">
        <f>Params!$C$18*AB17</f>
        <v>11.580387564501853</v>
      </c>
      <c r="AW17" s="215">
        <f>Params!$C$18*AC17</f>
        <v>137.78470425073272</v>
      </c>
      <c r="AX17" s="215">
        <f>Params!$C$18*AD17</f>
        <v>83.215119913506371</v>
      </c>
      <c r="AY17" s="215">
        <f>Params!$C$18*AE17</f>
        <v>11687.809172536578</v>
      </c>
      <c r="AZ17" s="215">
        <f>Params!$C$18*AF17</f>
        <v>4851.560460635299</v>
      </c>
      <c r="BA17" s="215">
        <f>Params!$C$18*AG17</f>
        <v>637.18817966021322</v>
      </c>
      <c r="BB17" s="215">
        <f>Params!$C$18*AH17</f>
        <v>113.78438497584187</v>
      </c>
      <c r="BC17" s="215">
        <f>Params!$C$18*AI17</f>
        <v>72.892660814068662</v>
      </c>
      <c r="BD17" s="215">
        <f>Params!$C$18*AJ17</f>
        <v>141.55076110500215</v>
      </c>
      <c r="BE17" s="215">
        <f>Params!$C$18*AK17</f>
        <v>250.60449895635688</v>
      </c>
      <c r="BF17" s="215">
        <f>Params!$C$18*AL17</f>
        <v>14770.088018839659</v>
      </c>
      <c r="BG17" s="215">
        <f t="shared" si="0"/>
        <v>4486.8309391216399</v>
      </c>
      <c r="BH17" s="215">
        <f>Params!$C$18*AN17</f>
        <v>583.92263332183757</v>
      </c>
      <c r="BI17" s="215">
        <f>Params!$C$18*AO17</f>
        <v>1261.2331909135585</v>
      </c>
      <c r="BJ17" s="194"/>
      <c r="BK17" s="66">
        <v>13</v>
      </c>
      <c r="BL17" s="66">
        <v>2017</v>
      </c>
      <c r="BM17" s="215">
        <f t="shared" si="188"/>
        <v>63.230953800281299</v>
      </c>
      <c r="BN17" s="219">
        <f t="shared" si="189"/>
        <v>181.06651578934597</v>
      </c>
      <c r="BO17" s="219">
        <f t="shared" si="190"/>
        <v>283.2804918017269</v>
      </c>
      <c r="BP17" s="219">
        <f t="shared" si="191"/>
        <v>109.61021826885919</v>
      </c>
      <c r="BQ17" s="219">
        <f t="shared" si="192"/>
        <v>16.866105965334594</v>
      </c>
      <c r="BR17" s="220">
        <f t="shared" si="193"/>
        <v>76.188606379612267</v>
      </c>
      <c r="BS17" s="219">
        <f t="shared" si="194"/>
        <v>30.710214383511612</v>
      </c>
      <c r="BT17" s="219">
        <f t="shared" si="195"/>
        <v>13.18866097884543</v>
      </c>
      <c r="BU17" s="219">
        <f t="shared" si="196"/>
        <v>197.7715011080702</v>
      </c>
      <c r="BV17" s="219">
        <f t="shared" si="197"/>
        <v>79.736647433553529</v>
      </c>
      <c r="BW17" s="219">
        <f t="shared" si="198"/>
        <v>140.2420016854168</v>
      </c>
      <c r="BX17" s="220">
        <f t="shared" si="199"/>
        <v>29.218895387493188</v>
      </c>
      <c r="BY17" s="195"/>
      <c r="BZ17" s="192">
        <v>13</v>
      </c>
      <c r="CA17" s="66">
        <v>2017</v>
      </c>
      <c r="CB17" s="218">
        <f t="shared" si="200"/>
        <v>3.1776949993981112</v>
      </c>
      <c r="CC17" s="218">
        <f t="shared" si="201"/>
        <v>1.1179152029724981</v>
      </c>
      <c r="CD17" s="73">
        <f t="shared" si="202"/>
        <v>7.2847773621312442</v>
      </c>
      <c r="CE17" s="73">
        <f t="shared" si="203"/>
        <v>6.0415480772747951</v>
      </c>
      <c r="CF17" s="73">
        <f t="shared" si="204"/>
        <v>3.4199179760785388</v>
      </c>
      <c r="CG17" s="73">
        <f t="shared" si="205"/>
        <v>59.819355261135861</v>
      </c>
      <c r="CH17" s="73">
        <f t="shared" si="206"/>
        <v>23.836988000438897</v>
      </c>
      <c r="CI17" s="73">
        <f t="shared" si="207"/>
        <v>2.7564885649927358</v>
      </c>
      <c r="CJ17" s="73">
        <f t="shared" si="208"/>
        <v>7.0660054129406644</v>
      </c>
      <c r="CK17" s="73">
        <f t="shared" si="209"/>
        <v>7.9179547358446936</v>
      </c>
      <c r="CL17" s="73">
        <f t="shared" si="210"/>
        <v>2.9261269471356908</v>
      </c>
      <c r="CM17" s="73">
        <f t="shared" si="211"/>
        <v>46.980133001269955</v>
      </c>
      <c r="CN17" s="73">
        <f t="shared" si="212"/>
        <v>85.442345311168026</v>
      </c>
      <c r="CO17" s="73">
        <f t="shared" si="213"/>
        <v>49.146842333163221</v>
      </c>
      <c r="CP17" s="73">
        <f t="shared" si="214"/>
        <v>400.25581197858327</v>
      </c>
      <c r="CQ17" s="73">
        <f t="shared" si="215"/>
        <v>414.16693154094781</v>
      </c>
      <c r="CR17" s="73">
        <f t="shared" si="216"/>
        <v>10.81386441559842</v>
      </c>
      <c r="CS17" s="73">
        <f t="shared" si="217"/>
        <v>43.244870448844274</v>
      </c>
      <c r="CT17" s="73">
        <f t="shared" si="218"/>
        <v>19.667310615969622</v>
      </c>
      <c r="CU17" s="73">
        <f t="shared" si="219"/>
        <v>7.4875816402521407</v>
      </c>
      <c r="CV17" s="73">
        <f t="shared" si="220"/>
        <v>84.792339522465937</v>
      </c>
      <c r="CW17" s="73">
        <f t="shared" si="221"/>
        <v>32.506259305247717</v>
      </c>
      <c r="CX17" s="73">
        <f t="shared" si="222"/>
        <v>55.418447651248819</v>
      </c>
      <c r="CY17" s="73">
        <f t="shared" si="223"/>
        <v>11.310453148799224</v>
      </c>
      <c r="CZ17" s="190"/>
      <c r="DA17" s="66">
        <v>2017</v>
      </c>
      <c r="DB17" s="218">
        <f t="shared" si="1"/>
        <v>266.40713002992163</v>
      </c>
      <c r="DC17" s="218">
        <f t="shared" si="2"/>
        <v>38136.52408877659</v>
      </c>
      <c r="DD17" s="73">
        <f t="shared" si="3"/>
        <v>36046.893090089528</v>
      </c>
      <c r="DE17" s="73">
        <f t="shared" si="4"/>
        <v>19507.523456917654</v>
      </c>
      <c r="DF17" s="73">
        <f t="shared" si="5"/>
        <v>798.36605524090839</v>
      </c>
      <c r="DG17" s="73">
        <f t="shared" si="6"/>
        <v>1656.5540590653607</v>
      </c>
      <c r="DH17" s="72">
        <f t="shared" si="33"/>
        <v>0.95606359141348451</v>
      </c>
      <c r="DI17" s="72">
        <f t="shared" si="34"/>
        <v>0.9606830296814689</v>
      </c>
      <c r="DJ17" s="73">
        <f>SUM(AV4:AV17,BB4:BB17,BI4:BI17)</f>
        <v>71863.475911223417</v>
      </c>
      <c r="DK17" s="73">
        <f>SUM(AV10:AV17,BB10:BB17,BI10:BI17)</f>
        <v>21374.283357203458</v>
      </c>
      <c r="DL17" s="190"/>
    </row>
    <row r="18" spans="1:116" s="127" customFormat="1" x14ac:dyDescent="0.25">
      <c r="A18" s="190"/>
      <c r="B18" s="63"/>
      <c r="C18" s="62"/>
      <c r="D18" s="173"/>
      <c r="E18" s="173"/>
      <c r="F18" s="173"/>
      <c r="G18" s="173"/>
      <c r="H18" s="173"/>
      <c r="I18" s="173"/>
      <c r="J18" s="173"/>
      <c r="K18" s="173"/>
      <c r="L18" s="173"/>
      <c r="M18" s="173"/>
      <c r="N18" s="173"/>
      <c r="O18" s="173"/>
      <c r="P18" s="173"/>
      <c r="Q18" s="173"/>
      <c r="R18" s="173"/>
      <c r="S18" s="173"/>
      <c r="T18" s="173"/>
      <c r="U18" s="62"/>
      <c r="V18" s="190"/>
      <c r="W18" s="66">
        <v>14</v>
      </c>
      <c r="X18" s="66">
        <v>2018</v>
      </c>
      <c r="Y18" s="70">
        <f t="shared" si="224"/>
        <v>6.3805031436256336E-4</v>
      </c>
      <c r="Z18" s="70">
        <f t="shared" si="172"/>
        <v>2.4039004935838559E-4</v>
      </c>
      <c r="AA18" s="70">
        <f t="shared" si="173"/>
        <v>1.7760823989842244E-3</v>
      </c>
      <c r="AB18" s="70">
        <f t="shared" si="174"/>
        <v>7.117094496858904E-5</v>
      </c>
      <c r="AC18" s="70">
        <f t="shared" si="175"/>
        <v>7.9596374978362268E-4</v>
      </c>
      <c r="AD18" s="70">
        <f t="shared" si="176"/>
        <v>4.8106549364271571E-4</v>
      </c>
      <c r="AE18" s="70">
        <f t="shared" si="177"/>
        <v>0.10464927275387254</v>
      </c>
      <c r="AF18" s="70">
        <f t="shared" si="178"/>
        <v>4.5162555983911376E-2</v>
      </c>
      <c r="AG18" s="70">
        <f t="shared" si="179"/>
        <v>5.1193266049498814E-3</v>
      </c>
      <c r="AH18" s="70">
        <f t="shared" si="180"/>
        <v>9.7666198126943396E-4</v>
      </c>
      <c r="AI18" s="70">
        <f t="shared" si="181"/>
        <v>4.2153813661448269E-4</v>
      </c>
      <c r="AJ18" s="70">
        <f t="shared" si="182"/>
        <v>8.1967509899573399E-4</v>
      </c>
      <c r="AK18" s="70">
        <f t="shared" si="183"/>
        <v>1.7844981351331024E-3</v>
      </c>
      <c r="AL18" s="70">
        <f t="shared" si="184"/>
        <v>0.12712675193759351</v>
      </c>
      <c r="AM18" s="70">
        <f t="shared" si="185"/>
        <v>4.1168099814152675E-2</v>
      </c>
      <c r="AN18" s="70">
        <f t="shared" si="186"/>
        <v>4.8798677467458175E-3</v>
      </c>
      <c r="AO18" s="70">
        <f t="shared" si="187"/>
        <v>1.0584702389994035E-2</v>
      </c>
      <c r="AP18" s="190"/>
      <c r="AQ18" s="66">
        <v>14</v>
      </c>
      <c r="AR18" s="66">
        <v>2018</v>
      </c>
      <c r="AS18" s="215">
        <f>Params!$C$18*Y18</f>
        <v>70.185534579881974</v>
      </c>
      <c r="AT18" s="215">
        <f>Params!$C$18*Z18</f>
        <v>26.442905429422414</v>
      </c>
      <c r="AU18" s="215">
        <f>Params!$C$18*AA18</f>
        <v>195.36906388826469</v>
      </c>
      <c r="AV18" s="215">
        <f>Params!$C$18*AB18</f>
        <v>7.8288039465447943</v>
      </c>
      <c r="AW18" s="215">
        <f>Params!$C$18*AC18</f>
        <v>87.556012476198489</v>
      </c>
      <c r="AX18" s="215">
        <f>Params!$C$18*AD18</f>
        <v>52.917204300698728</v>
      </c>
      <c r="AY18" s="215">
        <f>Params!$C$18*AE18</f>
        <v>11511.420002925979</v>
      </c>
      <c r="AZ18" s="215">
        <f>Params!$C$18*AF18</f>
        <v>4967.8811582302515</v>
      </c>
      <c r="BA18" s="215">
        <f>Params!$C$18*AG18</f>
        <v>563.1259265444869</v>
      </c>
      <c r="BB18" s="215">
        <f>Params!$C$18*AH18</f>
        <v>107.43281793963773</v>
      </c>
      <c r="BC18" s="215">
        <f>Params!$C$18*AI18</f>
        <v>46.369195027593094</v>
      </c>
      <c r="BD18" s="215">
        <f>Params!$C$18*AJ18</f>
        <v>90.164260889530738</v>
      </c>
      <c r="BE18" s="215">
        <f>Params!$C$18*AK18</f>
        <v>196.29479486464126</v>
      </c>
      <c r="BF18" s="215">
        <f>Params!$C$18*AL18</f>
        <v>13983.942713135286</v>
      </c>
      <c r="BG18" s="215">
        <f t="shared" si="0"/>
        <v>4528.4909795567946</v>
      </c>
      <c r="BH18" s="215">
        <f>Params!$C$18*AN18</f>
        <v>536.78545214203996</v>
      </c>
      <c r="BI18" s="215">
        <f>Params!$C$18*AO18</f>
        <v>1164.3172628993439</v>
      </c>
      <c r="BJ18" s="194"/>
      <c r="BK18" s="66">
        <v>14</v>
      </c>
      <c r="BL18" s="66">
        <v>2018</v>
      </c>
      <c r="BM18" s="215">
        <f t="shared" si="188"/>
        <v>40.379348441929878</v>
      </c>
      <c r="BN18" s="219">
        <f t="shared" si="189"/>
        <v>128.28024890362266</v>
      </c>
      <c r="BO18" s="219">
        <f t="shared" si="190"/>
        <v>281.00226184774613</v>
      </c>
      <c r="BP18" s="219">
        <f t="shared" si="191"/>
        <v>113.46406735118828</v>
      </c>
      <c r="BQ18" s="219">
        <f t="shared" si="192"/>
        <v>10.7709834109613</v>
      </c>
      <c r="BR18" s="220">
        <f t="shared" si="193"/>
        <v>54.579170257068206</v>
      </c>
      <c r="BS18" s="219">
        <f t="shared" si="194"/>
        <v>19.655250780902087</v>
      </c>
      <c r="BT18" s="219">
        <f t="shared" si="195"/>
        <v>9.8589713539054245</v>
      </c>
      <c r="BU18" s="219">
        <f t="shared" si="196"/>
        <v>188.17603363090763</v>
      </c>
      <c r="BV18" s="219">
        <f t="shared" si="197"/>
        <v>79.664448875667347</v>
      </c>
      <c r="BW18" s="219">
        <f t="shared" si="198"/>
        <v>143.49292111687362</v>
      </c>
      <c r="BX18" s="220">
        <f t="shared" si="199"/>
        <v>30.587672715754238</v>
      </c>
      <c r="BY18" s="195"/>
      <c r="BZ18" s="192">
        <v>14</v>
      </c>
      <c r="CA18" s="66">
        <v>2018</v>
      </c>
      <c r="CB18" s="218">
        <f t="shared" si="200"/>
        <v>2.0138962553334023</v>
      </c>
      <c r="CC18" s="218">
        <f t="shared" si="201"/>
        <v>0.71052852794199084</v>
      </c>
      <c r="CD18" s="73">
        <f t="shared" si="202"/>
        <v>5.1043791632694004</v>
      </c>
      <c r="CE18" s="73">
        <f t="shared" si="203"/>
        <v>3.8426138723206575</v>
      </c>
      <c r="CF18" s="73">
        <f t="shared" si="204"/>
        <v>2.1775663028866261</v>
      </c>
      <c r="CG18" s="73">
        <f t="shared" si="205"/>
        <v>59.107229067012128</v>
      </c>
      <c r="CH18" s="73">
        <f t="shared" si="206"/>
        <v>24.535162342746752</v>
      </c>
      <c r="CI18" s="73">
        <f t="shared" si="207"/>
        <v>1.7634188174536465</v>
      </c>
      <c r="CJ18" s="73">
        <f t="shared" si="208"/>
        <v>5.0496802904826659</v>
      </c>
      <c r="CK18" s="73">
        <f t="shared" si="209"/>
        <v>7.9002785793572246</v>
      </c>
      <c r="CL18" s="73">
        <f t="shared" si="210"/>
        <v>3.0568686673780312</v>
      </c>
      <c r="CM18" s="73">
        <f t="shared" si="211"/>
        <v>29.923511578285879</v>
      </c>
      <c r="CN18" s="73">
        <f t="shared" si="212"/>
        <v>54.523580629767508</v>
      </c>
      <c r="CO18" s="73">
        <f t="shared" si="213"/>
        <v>37.040576280431353</v>
      </c>
      <c r="CP18" s="73">
        <f t="shared" si="214"/>
        <v>380.40651903608591</v>
      </c>
      <c r="CQ18" s="73">
        <f t="shared" si="215"/>
        <v>422.71422836754726</v>
      </c>
      <c r="CR18" s="73">
        <f t="shared" si="216"/>
        <v>6.9237850765474853</v>
      </c>
      <c r="CS18" s="73">
        <f t="shared" si="217"/>
        <v>31.276545809585453</v>
      </c>
      <c r="CT18" s="73">
        <f t="shared" si="218"/>
        <v>12.60699562087172</v>
      </c>
      <c r="CU18" s="73">
        <f t="shared" si="219"/>
        <v>5.4141397102957542</v>
      </c>
      <c r="CV18" s="73">
        <f t="shared" si="220"/>
        <v>81.18811602114144</v>
      </c>
      <c r="CW18" s="73">
        <f t="shared" si="221"/>
        <v>32.733068954331927</v>
      </c>
      <c r="CX18" s="73">
        <f t="shared" si="222"/>
        <v>57.571408620956866</v>
      </c>
      <c r="CY18" s="73">
        <f t="shared" si="223"/>
        <v>11.994787193495146</v>
      </c>
      <c r="CZ18" s="190"/>
      <c r="DA18" s="66">
        <v>2018</v>
      </c>
      <c r="DB18" s="218">
        <f t="shared" si="1"/>
        <v>169.52437061965188</v>
      </c>
      <c r="DC18" s="218">
        <f t="shared" si="2"/>
        <v>36856.945203991068</v>
      </c>
      <c r="DD18" s="73">
        <f t="shared" si="3"/>
        <v>35188.029648712953</v>
      </c>
      <c r="DE18" s="73">
        <f t="shared" si="4"/>
        <v>18708.72848755672</v>
      </c>
      <c r="DF18" s="73">
        <f t="shared" si="5"/>
        <v>673.31890805916373</v>
      </c>
      <c r="DG18" s="73">
        <f t="shared" si="6"/>
        <v>1376.9180513805477</v>
      </c>
      <c r="DH18" s="72">
        <f t="shared" si="33"/>
        <v>0.96234322382534065</v>
      </c>
      <c r="DI18" s="72">
        <f t="shared" si="34"/>
        <v>0.96526069231409151</v>
      </c>
      <c r="DJ18" s="73">
        <f>SUM(AV4:AV18,BB4:BB18,BI4:BI18)</f>
        <v>73143.054796008946</v>
      </c>
      <c r="DK18" s="73">
        <f>SUM(AV10:AV18,BB10:BB18,BI10:BI18)</f>
        <v>22653.862241988983</v>
      </c>
      <c r="DL18" s="190"/>
    </row>
    <row r="19" spans="1:116" s="127" customFormat="1" x14ac:dyDescent="0.25">
      <c r="A19" s="190"/>
      <c r="B19" s="63"/>
      <c r="C19" s="62"/>
      <c r="D19" s="173"/>
      <c r="E19" s="173"/>
      <c r="F19" s="173"/>
      <c r="G19" s="173"/>
      <c r="H19" s="173"/>
      <c r="I19" s="173"/>
      <c r="J19" s="173"/>
      <c r="K19" s="173"/>
      <c r="L19" s="173"/>
      <c r="M19" s="173"/>
      <c r="N19" s="173"/>
      <c r="O19" s="173"/>
      <c r="P19" s="173"/>
      <c r="Q19" s="173"/>
      <c r="R19" s="173"/>
      <c r="S19" s="173"/>
      <c r="T19" s="173"/>
      <c r="U19" s="62"/>
      <c r="V19" s="190"/>
      <c r="W19" s="66">
        <v>15</v>
      </c>
      <c r="X19" s="66">
        <v>2019</v>
      </c>
      <c r="Y19" s="70">
        <f t="shared" si="224"/>
        <v>4.0437082194875616E-4</v>
      </c>
      <c r="Z19" s="70">
        <f t="shared" si="172"/>
        <v>1.5255810951123755E-4</v>
      </c>
      <c r="AA19" s="70">
        <f t="shared" si="173"/>
        <v>1.229118701208553E-3</v>
      </c>
      <c r="AB19" s="70">
        <f t="shared" si="174"/>
        <v>4.8002908514920669E-5</v>
      </c>
      <c r="AC19" s="70">
        <f t="shared" si="175"/>
        <v>5.0545801046391801E-4</v>
      </c>
      <c r="AD19" s="70">
        <f t="shared" si="176"/>
        <v>3.056299966628953E-4</v>
      </c>
      <c r="AE19" s="70">
        <f t="shared" si="177"/>
        <v>0.10283952280642862</v>
      </c>
      <c r="AF19" s="70">
        <f t="shared" si="178"/>
        <v>4.6069962268576958E-2</v>
      </c>
      <c r="AG19" s="70">
        <f t="shared" si="179"/>
        <v>4.6378153812538436E-3</v>
      </c>
      <c r="AH19" s="70">
        <f t="shared" si="180"/>
        <v>9.3518105024300842E-4</v>
      </c>
      <c r="AI19" s="70">
        <f t="shared" si="181"/>
        <v>2.678994880278571E-4</v>
      </c>
      <c r="AJ19" s="70">
        <f t="shared" si="182"/>
        <v>5.2141999270017354E-4</v>
      </c>
      <c r="AK19" s="70">
        <f t="shared" si="183"/>
        <v>1.4544239253529159E-3</v>
      </c>
      <c r="AL19" s="70">
        <f t="shared" si="184"/>
        <v>0.12005476336191535</v>
      </c>
      <c r="AM19" s="70">
        <f t="shared" si="185"/>
        <v>4.1182559058226764E-2</v>
      </c>
      <c r="AN19" s="70">
        <f t="shared" si="186"/>
        <v>4.545949050226687E-3</v>
      </c>
      <c r="AO19" s="70">
        <f t="shared" si="187"/>
        <v>9.9085032868381582E-3</v>
      </c>
      <c r="AP19" s="190"/>
      <c r="AQ19" s="66">
        <v>15</v>
      </c>
      <c r="AR19" s="66">
        <v>2019</v>
      </c>
      <c r="AS19" s="215">
        <f>Params!$C$18*Y19</f>
        <v>44.480790414363177</v>
      </c>
      <c r="AT19" s="215">
        <f>Params!$C$18*Z19</f>
        <v>16.781392046236132</v>
      </c>
      <c r="AU19" s="215">
        <f>Params!$C$18*AA19</f>
        <v>135.20305713294084</v>
      </c>
      <c r="AV19" s="215">
        <f>Params!$C$18*AB19</f>
        <v>5.2803199366412734</v>
      </c>
      <c r="AW19" s="215">
        <f>Params!$C$18*AC19</f>
        <v>55.60038115103098</v>
      </c>
      <c r="AX19" s="215">
        <f>Params!$C$18*AD19</f>
        <v>33.619299632918484</v>
      </c>
      <c r="AY19" s="215">
        <f>Params!$C$18*AE19</f>
        <v>11312.347508707147</v>
      </c>
      <c r="AZ19" s="215">
        <f>Params!$C$18*AF19</f>
        <v>5067.6958495434656</v>
      </c>
      <c r="BA19" s="215">
        <f>Params!$C$18*AG19</f>
        <v>510.15969193792279</v>
      </c>
      <c r="BB19" s="215">
        <f>Params!$C$18*AH19</f>
        <v>102.86991552673092</v>
      </c>
      <c r="BC19" s="215">
        <f>Params!$C$18*AI19</f>
        <v>29.468943683064282</v>
      </c>
      <c r="BD19" s="215">
        <f>Params!$C$18*AJ19</f>
        <v>57.356199197019087</v>
      </c>
      <c r="BE19" s="215">
        <f>Params!$C$18*AK19</f>
        <v>159.98663178882074</v>
      </c>
      <c r="BF19" s="215">
        <f>Params!$C$18*AL19</f>
        <v>13206.023969810689</v>
      </c>
      <c r="BG19" s="215">
        <f t="shared" si="0"/>
        <v>4530.0814964049441</v>
      </c>
      <c r="BH19" s="215">
        <f>Params!$C$18*AN19</f>
        <v>500.05439552493556</v>
      </c>
      <c r="BI19" s="215">
        <f>Params!$C$18*AO19</f>
        <v>1089.9353615521975</v>
      </c>
      <c r="BJ19" s="194"/>
      <c r="BK19" s="66">
        <v>15</v>
      </c>
      <c r="BL19" s="66">
        <v>2019</v>
      </c>
      <c r="BM19" s="215">
        <f t="shared" si="188"/>
        <v>25.745402723069269</v>
      </c>
      <c r="BN19" s="219">
        <f t="shared" si="189"/>
        <v>90.184305147812637</v>
      </c>
      <c r="BO19" s="219">
        <f t="shared" si="190"/>
        <v>277.55709952749072</v>
      </c>
      <c r="BP19" s="219">
        <f t="shared" si="191"/>
        <v>116.67288453955015</v>
      </c>
      <c r="BQ19" s="219">
        <f t="shared" si="192"/>
        <v>6.864863308389336</v>
      </c>
      <c r="BR19" s="220">
        <f t="shared" si="193"/>
        <v>38.755034259572135</v>
      </c>
      <c r="BS19" s="219">
        <f t="shared" si="194"/>
        <v>12.5581992635693</v>
      </c>
      <c r="BT19" s="219">
        <f t="shared" si="195"/>
        <v>7.6539769580398866</v>
      </c>
      <c r="BU19" s="219">
        <f t="shared" si="196"/>
        <v>178.29534752138204</v>
      </c>
      <c r="BV19" s="219">
        <f t="shared" si="197"/>
        <v>79.106326000600191</v>
      </c>
      <c r="BW19" s="219">
        <f t="shared" si="198"/>
        <v>145.10798597674903</v>
      </c>
      <c r="BX19" s="220">
        <f t="shared" si="199"/>
        <v>31.712662236633673</v>
      </c>
      <c r="BY19" s="195"/>
      <c r="BZ19" s="192">
        <v>15</v>
      </c>
      <c r="CA19" s="66">
        <v>2019</v>
      </c>
      <c r="CB19" s="218">
        <f t="shared" si="200"/>
        <v>1.2763270634891353</v>
      </c>
      <c r="CC19" s="218">
        <f t="shared" si="201"/>
        <v>0.45119776940713807</v>
      </c>
      <c r="CD19" s="73">
        <f t="shared" si="202"/>
        <v>3.5527951037450007</v>
      </c>
      <c r="CE19" s="73">
        <f t="shared" si="203"/>
        <v>2.4418091251542657</v>
      </c>
      <c r="CF19" s="73">
        <f t="shared" si="204"/>
        <v>1.384732979390517</v>
      </c>
      <c r="CG19" s="73">
        <f t="shared" si="205"/>
        <v>58.215199183634851</v>
      </c>
      <c r="CH19" s="73">
        <f t="shared" si="206"/>
        <v>25.123415796964242</v>
      </c>
      <c r="CI19" s="73">
        <f t="shared" si="207"/>
        <v>1.126120967650182</v>
      </c>
      <c r="CJ19" s="73">
        <f t="shared" si="208"/>
        <v>3.5775485142733898</v>
      </c>
      <c r="CK19" s="73">
        <f t="shared" si="209"/>
        <v>7.8367420781678598</v>
      </c>
      <c r="CL19" s="73">
        <f t="shared" si="210"/>
        <v>3.1643468814956135</v>
      </c>
      <c r="CM19" s="73">
        <f t="shared" si="211"/>
        <v>19.03523796206624</v>
      </c>
      <c r="CN19" s="73">
        <f t="shared" si="212"/>
        <v>34.73014422640216</v>
      </c>
      <c r="CO19" s="73">
        <f t="shared" si="213"/>
        <v>29.013335167225396</v>
      </c>
      <c r="CP19" s="73">
        <f t="shared" si="214"/>
        <v>360.15919222137046</v>
      </c>
      <c r="CQ19" s="73">
        <f t="shared" si="215"/>
        <v>426.63911256426604</v>
      </c>
      <c r="CR19" s="73">
        <f t="shared" si="216"/>
        <v>4.4216474362151272</v>
      </c>
      <c r="CS19" s="73">
        <f t="shared" si="217"/>
        <v>22.405553794867103</v>
      </c>
      <c r="CT19" s="73">
        <f t="shared" si="218"/>
        <v>8.0687701305989279</v>
      </c>
      <c r="CU19" s="73">
        <f t="shared" si="219"/>
        <v>4.0472530452837905</v>
      </c>
      <c r="CV19" s="73">
        <f t="shared" si="220"/>
        <v>77.249035200860533</v>
      </c>
      <c r="CW19" s="73">
        <f t="shared" si="221"/>
        <v>32.703430382235432</v>
      </c>
      <c r="CX19" s="73">
        <f t="shared" si="222"/>
        <v>58.90595896060502</v>
      </c>
      <c r="CY19" s="73">
        <f t="shared" si="223"/>
        <v>12.556690460201107</v>
      </c>
      <c r="CZ19" s="190"/>
      <c r="DA19" s="66">
        <v>2019</v>
      </c>
      <c r="DB19" s="218">
        <f t="shared" si="1"/>
        <v>107.75689087617371</v>
      </c>
      <c r="DC19" s="218">
        <f t="shared" si="2"/>
        <v>35658.8596069755</v>
      </c>
      <c r="DD19" s="73">
        <f t="shared" si="3"/>
        <v>34276.135456255062</v>
      </c>
      <c r="DE19" s="73">
        <f t="shared" si="4"/>
        <v>17896.092098004454</v>
      </c>
      <c r="DF19" s="73">
        <f t="shared" si="5"/>
        <v>586.87953840501893</v>
      </c>
      <c r="DG19" s="73">
        <f t="shared" si="6"/>
        <v>1186.2589111268912</v>
      </c>
      <c r="DH19" s="72">
        <f t="shared" si="33"/>
        <v>0.96654882073563531</v>
      </c>
      <c r="DI19" s="72">
        <f t="shared" si="34"/>
        <v>0.96824755510369731</v>
      </c>
      <c r="DJ19" s="73">
        <f>SUM(AV4:AV19,BB4:BB19,BI4:BI19)</f>
        <v>74341.140393024514</v>
      </c>
      <c r="DK19" s="73">
        <f>SUM(AV10:AV19,BB10:BB19,BI10:BI19)</f>
        <v>23851.947839004555</v>
      </c>
      <c r="DL19" s="190"/>
    </row>
    <row r="20" spans="1:116" s="127" customFormat="1" x14ac:dyDescent="0.25">
      <c r="A20" s="190"/>
      <c r="B20" s="63"/>
      <c r="C20" s="62"/>
      <c r="D20" s="173"/>
      <c r="E20" s="173"/>
      <c r="F20" s="173"/>
      <c r="G20" s="173"/>
      <c r="H20" s="173"/>
      <c r="I20" s="173"/>
      <c r="J20" s="173"/>
      <c r="K20" s="173"/>
      <c r="L20" s="173"/>
      <c r="M20" s="173"/>
      <c r="N20" s="173"/>
      <c r="O20" s="173"/>
      <c r="P20" s="173"/>
      <c r="Q20" s="173"/>
      <c r="R20" s="173"/>
      <c r="S20" s="173"/>
      <c r="T20" s="173"/>
      <c r="U20" s="62"/>
      <c r="V20" s="190"/>
      <c r="W20" s="66">
        <v>16</v>
      </c>
      <c r="X20" s="66">
        <v>2020</v>
      </c>
      <c r="Y20" s="70">
        <f t="shared" si="224"/>
        <v>2.562740867965423E-4</v>
      </c>
      <c r="Z20" s="70">
        <f t="shared" si="172"/>
        <v>9.6776589241727876E-5</v>
      </c>
      <c r="AA20" s="70">
        <f t="shared" si="173"/>
        <v>8.4636420894027985E-4</v>
      </c>
      <c r="AB20" s="70">
        <f t="shared" si="174"/>
        <v>3.2308192823186722E-5</v>
      </c>
      <c r="AC20" s="70">
        <f t="shared" si="175"/>
        <v>3.2081759384787017E-4</v>
      </c>
      <c r="AD20" s="70">
        <f t="shared" si="176"/>
        <v>1.9404265957230293E-4</v>
      </c>
      <c r="AE20" s="70">
        <f t="shared" si="177"/>
        <v>0.10090513383233249</v>
      </c>
      <c r="AF20" s="70">
        <f t="shared" si="178"/>
        <v>4.686137412028496E-2</v>
      </c>
      <c r="AG20" s="70">
        <f t="shared" si="179"/>
        <v>4.2915781175852687E-3</v>
      </c>
      <c r="AH20" s="70">
        <f t="shared" si="180"/>
        <v>9.0449654028589628E-4</v>
      </c>
      <c r="AI20" s="70">
        <f t="shared" si="181"/>
        <v>1.7013786772701042E-4</v>
      </c>
      <c r="AJ20" s="70">
        <f t="shared" si="182"/>
        <v>3.3136826581326112E-4</v>
      </c>
      <c r="AK20" s="70">
        <f t="shared" si="183"/>
        <v>1.2309434678667238E-3</v>
      </c>
      <c r="AL20" s="70">
        <f t="shared" si="184"/>
        <v>0.1131868134753246</v>
      </c>
      <c r="AM20" s="70">
        <f t="shared" si="185"/>
        <v>4.0901330038491383E-2</v>
      </c>
      <c r="AN20" s="70">
        <f t="shared" si="186"/>
        <v>4.2777870448383482E-3</v>
      </c>
      <c r="AO20" s="70">
        <f t="shared" si="187"/>
        <v>9.3639048707326953E-3</v>
      </c>
      <c r="AP20" s="190"/>
      <c r="AQ20" s="66">
        <v>16</v>
      </c>
      <c r="AR20" s="66">
        <v>2020</v>
      </c>
      <c r="AS20" s="215">
        <f>Params!$C$18*Y20</f>
        <v>28.190149547619654</v>
      </c>
      <c r="AT20" s="215">
        <f>Params!$C$18*Z20</f>
        <v>10.645424816590067</v>
      </c>
      <c r="AU20" s="215">
        <f>Params!$C$18*AA20</f>
        <v>93.100062983430789</v>
      </c>
      <c r="AV20" s="215">
        <f>Params!$C$18*AB20</f>
        <v>3.5539012105505394</v>
      </c>
      <c r="AW20" s="215">
        <f>Params!$C$18*AC20</f>
        <v>35.289935323265716</v>
      </c>
      <c r="AX20" s="215">
        <f>Params!$C$18*AD20</f>
        <v>21.344692552953322</v>
      </c>
      <c r="AY20" s="215">
        <f>Params!$C$18*AE20</f>
        <v>11099.564721556573</v>
      </c>
      <c r="AZ20" s="215">
        <f>Params!$C$18*AF20</f>
        <v>5154.7511532313456</v>
      </c>
      <c r="BA20" s="215">
        <f>Params!$C$18*AG20</f>
        <v>472.07359293437958</v>
      </c>
      <c r="BB20" s="215">
        <f>Params!$C$18*AH20</f>
        <v>99.494619431448598</v>
      </c>
      <c r="BC20" s="215">
        <f>Params!$C$18*AI20</f>
        <v>18.715165449971146</v>
      </c>
      <c r="BD20" s="215">
        <f>Params!$C$18*AJ20</f>
        <v>36.450509239458725</v>
      </c>
      <c r="BE20" s="215">
        <f>Params!$C$18*AK20</f>
        <v>135.40378146533962</v>
      </c>
      <c r="BF20" s="215">
        <f>Params!$C$18*AL20</f>
        <v>12450.549482285705</v>
      </c>
      <c r="BG20" s="215">
        <f t="shared" si="0"/>
        <v>4499.146304234052</v>
      </c>
      <c r="BH20" s="215">
        <f>Params!$C$18*AN20</f>
        <v>470.55657493221833</v>
      </c>
      <c r="BI20" s="215">
        <f>Params!$C$18*AO20</f>
        <v>1030.0295357805965</v>
      </c>
      <c r="BJ20" s="194"/>
      <c r="BK20" s="66">
        <v>16</v>
      </c>
      <c r="BL20" s="66">
        <v>2020</v>
      </c>
      <c r="BM20" s="215">
        <f t="shared" si="188"/>
        <v>16.393052639363397</v>
      </c>
      <c r="BN20" s="219">
        <f t="shared" si="189"/>
        <v>62.972598459357812</v>
      </c>
      <c r="BO20" s="219">
        <f t="shared" si="190"/>
        <v>273.32068669225038</v>
      </c>
      <c r="BP20" s="219">
        <f t="shared" si="191"/>
        <v>119.38725514340791</v>
      </c>
      <c r="BQ20" s="219">
        <f t="shared" si="192"/>
        <v>4.368849136901753</v>
      </c>
      <c r="BR20" s="220">
        <f t="shared" si="193"/>
        <v>27.301565133385875</v>
      </c>
      <c r="BS20" s="219">
        <f t="shared" si="194"/>
        <v>8.0107687738186595</v>
      </c>
      <c r="BT20" s="219">
        <f t="shared" si="195"/>
        <v>6.1829035368100511</v>
      </c>
      <c r="BU20" s="219">
        <f t="shared" si="196"/>
        <v>168.46210796816359</v>
      </c>
      <c r="BV20" s="219">
        <f t="shared" si="197"/>
        <v>78.197191874954697</v>
      </c>
      <c r="BW20" s="219">
        <f t="shared" si="198"/>
        <v>145.38596152049033</v>
      </c>
      <c r="BX20" s="220">
        <f t="shared" si="199"/>
        <v>32.647226987693323</v>
      </c>
      <c r="BY20" s="195"/>
      <c r="BZ20" s="192">
        <v>16</v>
      </c>
      <c r="CA20" s="66">
        <v>2020</v>
      </c>
      <c r="CB20" s="218">
        <f t="shared" si="200"/>
        <v>0.80888514921296906</v>
      </c>
      <c r="CC20" s="218">
        <f t="shared" si="201"/>
        <v>0.28634246259427848</v>
      </c>
      <c r="CD20" s="73">
        <f t="shared" si="202"/>
        <v>2.4586735987432919</v>
      </c>
      <c r="CE20" s="73">
        <f t="shared" si="203"/>
        <v>1.5506133070364483</v>
      </c>
      <c r="CF20" s="73">
        <f t="shared" si="204"/>
        <v>0.87974702293747253</v>
      </c>
      <c r="CG20" s="73">
        <f t="shared" si="205"/>
        <v>57.208455888716713</v>
      </c>
      <c r="CH20" s="73">
        <f t="shared" si="206"/>
        <v>25.62819558388669</v>
      </c>
      <c r="CI20" s="73">
        <f t="shared" si="207"/>
        <v>0.71800162572560666</v>
      </c>
      <c r="CJ20" s="73">
        <f t="shared" si="208"/>
        <v>2.5151083635231686</v>
      </c>
      <c r="CK20" s="73">
        <f t="shared" si="209"/>
        <v>7.7406615400834635</v>
      </c>
      <c r="CL20" s="73">
        <f t="shared" si="210"/>
        <v>3.2538360995390216</v>
      </c>
      <c r="CM20" s="73">
        <f t="shared" si="211"/>
        <v>12.097435704114588</v>
      </c>
      <c r="CN20" s="73">
        <f t="shared" si="212"/>
        <v>22.092889696409866</v>
      </c>
      <c r="CO20" s="73">
        <f t="shared" si="213"/>
        <v>23.646810265984566</v>
      </c>
      <c r="CP20" s="73">
        <f t="shared" si="214"/>
        <v>340.12374213714781</v>
      </c>
      <c r="CQ20" s="73">
        <f t="shared" si="215"/>
        <v>426.7889586608303</v>
      </c>
      <c r="CR20" s="73">
        <f t="shared" si="216"/>
        <v>2.8181275645282922</v>
      </c>
      <c r="CS20" s="73">
        <f t="shared" si="217"/>
        <v>15.90951274698628</v>
      </c>
      <c r="CT20" s="73">
        <f t="shared" si="218"/>
        <v>5.1553258842392076</v>
      </c>
      <c r="CU20" s="73">
        <f t="shared" si="219"/>
        <v>3.1420703479057956</v>
      </c>
      <c r="CV20" s="73">
        <f t="shared" si="220"/>
        <v>73.192867928356023</v>
      </c>
      <c r="CW20" s="73">
        <f t="shared" si="221"/>
        <v>32.474312716236405</v>
      </c>
      <c r="CX20" s="73">
        <f t="shared" si="222"/>
        <v>59.568966888898906</v>
      </c>
      <c r="CY20" s="73">
        <f t="shared" si="223"/>
        <v>13.018515238958377</v>
      </c>
      <c r="CZ20" s="190"/>
      <c r="DA20" s="66">
        <v>2020</v>
      </c>
      <c r="DB20" s="218">
        <f t="shared" si="1"/>
        <v>68.440626609002123</v>
      </c>
      <c r="DC20" s="218">
        <f t="shared" si="2"/>
        <v>34525.781550552907</v>
      </c>
      <c r="DD20" s="73">
        <f t="shared" si="3"/>
        <v>33339.415442773017</v>
      </c>
      <c r="DE20" s="73">
        <f t="shared" si="4"/>
        <v>17085.099567985097</v>
      </c>
      <c r="DF20" s="73">
        <f t="shared" si="5"/>
        <v>525.72224962164819</v>
      </c>
      <c r="DG20" s="73">
        <f t="shared" si="6"/>
        <v>1054.4304704322467</v>
      </c>
      <c r="DH20" s="72">
        <f t="shared" si="33"/>
        <v>0.96934246687348768</v>
      </c>
      <c r="DI20" s="72">
        <f t="shared" si="34"/>
        <v>0.97014777305304123</v>
      </c>
      <c r="DJ20" s="73">
        <f>SUM(AV4:AV20,BB4:BB20,BI4:BI20)</f>
        <v>75474.218449447115</v>
      </c>
      <c r="DK20" s="73">
        <f>SUM(AV10:AV20,BB10:BB20,BI10:BI20)</f>
        <v>24985.025895427148</v>
      </c>
      <c r="DL20" s="190"/>
    </row>
    <row r="21" spans="1:116" s="127" customFormat="1" x14ac:dyDescent="0.25">
      <c r="A21" s="190"/>
      <c r="B21" s="178"/>
      <c r="C21" s="182"/>
      <c r="D21" s="183"/>
      <c r="E21" s="183"/>
      <c r="F21" s="183"/>
      <c r="G21" s="183"/>
      <c r="H21" s="183"/>
      <c r="I21" s="183"/>
      <c r="J21" s="183"/>
      <c r="K21" s="183"/>
      <c r="L21" s="183"/>
      <c r="M21" s="183"/>
      <c r="N21" s="183"/>
      <c r="O21" s="183"/>
      <c r="P21" s="183"/>
      <c r="Q21" s="183"/>
      <c r="R21" s="183"/>
      <c r="S21" s="183"/>
      <c r="T21" s="183"/>
      <c r="U21" s="178"/>
      <c r="V21" s="190"/>
      <c r="W21" s="66">
        <v>17</v>
      </c>
      <c r="X21" s="66">
        <v>2021</v>
      </c>
      <c r="Y21" s="70">
        <f t="shared" si="224"/>
        <v>1.6241628722589815E-4</v>
      </c>
      <c r="Z21" s="70">
        <f t="shared" si="172"/>
        <v>6.1373163151968237E-5</v>
      </c>
      <c r="AA21" s="70">
        <f t="shared" si="173"/>
        <v>5.8026317892301412E-4</v>
      </c>
      <c r="AB21" s="70">
        <f t="shared" si="174"/>
        <v>2.1702834376402273E-5</v>
      </c>
      <c r="AC21" s="70">
        <f t="shared" si="175"/>
        <v>2.0354852347291441E-4</v>
      </c>
      <c r="AD21" s="70">
        <f t="shared" si="176"/>
        <v>1.2313690793510496E-4</v>
      </c>
      <c r="AE21" s="70">
        <f t="shared" si="177"/>
        <v>9.8902449368093212E-2</v>
      </c>
      <c r="AF21" s="70">
        <f t="shared" si="178"/>
        <v>4.7561193666068542E-2</v>
      </c>
      <c r="AG21" s="70">
        <f t="shared" si="179"/>
        <v>4.0402700103917373E-3</v>
      </c>
      <c r="AH21" s="70">
        <f t="shared" si="180"/>
        <v>8.8099090140535065E-4</v>
      </c>
      <c r="AI21" s="70">
        <f t="shared" si="181"/>
        <v>1.079945712198484E-4</v>
      </c>
      <c r="AJ21" s="70">
        <f t="shared" si="182"/>
        <v>2.1043748555624447E-4</v>
      </c>
      <c r="AK21" s="70">
        <f t="shared" si="183"/>
        <v>1.0768170421356941E-3</v>
      </c>
      <c r="AL21" s="70">
        <f t="shared" si="184"/>
        <v>0.1065966608234003</v>
      </c>
      <c r="AM21" s="70">
        <f t="shared" si="185"/>
        <v>4.0381903301384844E-2</v>
      </c>
      <c r="AN21" s="70">
        <f t="shared" si="186"/>
        <v>4.055513133957917E-3</v>
      </c>
      <c r="AO21" s="70">
        <f t="shared" si="187"/>
        <v>8.9040701699637688E-3</v>
      </c>
      <c r="AP21" s="190"/>
      <c r="AQ21" s="66">
        <v>17</v>
      </c>
      <c r="AR21" s="66">
        <v>2021</v>
      </c>
      <c r="AS21" s="215">
        <f>Params!$C$18*Y21</f>
        <v>17.865791594848798</v>
      </c>
      <c r="AT21" s="215">
        <f>Params!$C$18*Z21</f>
        <v>6.7510479467165059</v>
      </c>
      <c r="AU21" s="215">
        <f>Params!$C$18*AA21</f>
        <v>63.828949681531554</v>
      </c>
      <c r="AV21" s="215">
        <f>Params!$C$18*AB21</f>
        <v>2.3873117814042502</v>
      </c>
      <c r="AW21" s="215">
        <f>Params!$C$18*AC21</f>
        <v>22.390337582020585</v>
      </c>
      <c r="AX21" s="215">
        <f>Params!$C$18*AD21</f>
        <v>13.545059872861545</v>
      </c>
      <c r="AY21" s="215">
        <f>Params!$C$18*AE21</f>
        <v>10879.269430490252</v>
      </c>
      <c r="AZ21" s="215">
        <f>Params!$C$18*AF21</f>
        <v>5231.7313032675393</v>
      </c>
      <c r="BA21" s="215">
        <f>Params!$C$18*AG21</f>
        <v>444.42970114309111</v>
      </c>
      <c r="BB21" s="215">
        <f>Params!$C$18*AH21</f>
        <v>96.908999154588571</v>
      </c>
      <c r="BC21" s="215">
        <f>Params!$C$18*AI21</f>
        <v>11.879402834183324</v>
      </c>
      <c r="BD21" s="215">
        <f>Params!$C$18*AJ21</f>
        <v>23.148123411186891</v>
      </c>
      <c r="BE21" s="215">
        <f>Params!$C$18*AK21</f>
        <v>118.44987463492636</v>
      </c>
      <c r="BF21" s="215">
        <f>Params!$C$18*AL21</f>
        <v>11725.632690574033</v>
      </c>
      <c r="BG21" s="215">
        <f t="shared" si="0"/>
        <v>4442.0093631523332</v>
      </c>
      <c r="BH21" s="215">
        <f>Params!$C$18*AN21</f>
        <v>446.10644473537087</v>
      </c>
      <c r="BI21" s="215">
        <f>Params!$C$18*AO21</f>
        <v>979.44771869601459</v>
      </c>
      <c r="BJ21" s="194"/>
      <c r="BK21" s="66">
        <v>17</v>
      </c>
      <c r="BL21" s="66">
        <v>2021</v>
      </c>
      <c r="BM21" s="215">
        <f t="shared" si="188"/>
        <v>10.426756727035546</v>
      </c>
      <c r="BN21" s="219">
        <f t="shared" si="189"/>
        <v>43.710083286401236</v>
      </c>
      <c r="BO21" s="219">
        <f t="shared" si="190"/>
        <v>268.57178742827921</v>
      </c>
      <c r="BP21" s="219">
        <f t="shared" si="191"/>
        <v>121.72107370137505</v>
      </c>
      <c r="BQ21" s="219">
        <f t="shared" si="192"/>
        <v>2.7773451996310374</v>
      </c>
      <c r="BR21" s="220">
        <f t="shared" si="193"/>
        <v>19.098601760382028</v>
      </c>
      <c r="BS21" s="219">
        <f t="shared" si="194"/>
        <v>5.1028569328536939</v>
      </c>
      <c r="BT21" s="219">
        <f t="shared" si="195"/>
        <v>5.1900658001827731</v>
      </c>
      <c r="BU21" s="219">
        <f t="shared" si="196"/>
        <v>158.8780975249561</v>
      </c>
      <c r="BV21" s="219">
        <f t="shared" si="197"/>
        <v>77.046927956013036</v>
      </c>
      <c r="BW21" s="219">
        <f t="shared" si="198"/>
        <v>144.57724224198074</v>
      </c>
      <c r="BX21" s="220">
        <f t="shared" si="199"/>
        <v>33.435307319371461</v>
      </c>
      <c r="BY21" s="195"/>
      <c r="BZ21" s="192">
        <v>17</v>
      </c>
      <c r="CA21" s="66">
        <v>2021</v>
      </c>
      <c r="CB21" s="218">
        <f t="shared" si="200"/>
        <v>0.51263912153411528</v>
      </c>
      <c r="CC21" s="218">
        <f t="shared" si="201"/>
        <v>0.18164387965826284</v>
      </c>
      <c r="CD21" s="73">
        <f t="shared" si="202"/>
        <v>1.6930287802118722</v>
      </c>
      <c r="CE21" s="73">
        <f t="shared" si="203"/>
        <v>0.9841846797429149</v>
      </c>
      <c r="CF21" s="73">
        <f t="shared" si="204"/>
        <v>0.55854613076442061</v>
      </c>
      <c r="CG21" s="73">
        <f t="shared" si="205"/>
        <v>56.132377322069757</v>
      </c>
      <c r="CH21" s="73">
        <f t="shared" si="206"/>
        <v>26.068448988149029</v>
      </c>
      <c r="CI21" s="73">
        <f t="shared" si="207"/>
        <v>0.45717826099964631</v>
      </c>
      <c r="CJ21" s="73">
        <f t="shared" si="208"/>
        <v>1.7562136648757947</v>
      </c>
      <c r="CK21" s="73">
        <f t="shared" si="209"/>
        <v>7.6225141824497129</v>
      </c>
      <c r="CL21" s="73">
        <f t="shared" si="210"/>
        <v>3.3295359255372889</v>
      </c>
      <c r="CM21" s="73">
        <f t="shared" si="211"/>
        <v>7.6828512469894639</v>
      </c>
      <c r="CN21" s="73">
        <f t="shared" si="212"/>
        <v>14.040279713080833</v>
      </c>
      <c r="CO21" s="73">
        <f t="shared" si="213"/>
        <v>20.013344201371318</v>
      </c>
      <c r="CP21" s="73">
        <f t="shared" si="214"/>
        <v>320.66634827101927</v>
      </c>
      <c r="CQ21" s="73">
        <f t="shared" si="215"/>
        <v>423.87448604856814</v>
      </c>
      <c r="CR21" s="73">
        <f t="shared" si="216"/>
        <v>1.7934769601198597</v>
      </c>
      <c r="CS21" s="73">
        <f t="shared" si="217"/>
        <v>11.207694865990144</v>
      </c>
      <c r="CT21" s="73">
        <f t="shared" si="218"/>
        <v>3.2885386467888176</v>
      </c>
      <c r="CU21" s="73">
        <f t="shared" si="219"/>
        <v>2.53817302736535</v>
      </c>
      <c r="CV21" s="73">
        <f t="shared" si="220"/>
        <v>69.156178166497313</v>
      </c>
      <c r="CW21" s="73">
        <f t="shared" si="221"/>
        <v>32.101099758564857</v>
      </c>
      <c r="CX21" s="73">
        <f t="shared" si="222"/>
        <v>59.683079946492455</v>
      </c>
      <c r="CY21" s="73">
        <f t="shared" si="223"/>
        <v>13.4021678431667</v>
      </c>
      <c r="CZ21" s="190"/>
      <c r="DA21" s="66">
        <v>2021</v>
      </c>
      <c r="DB21" s="218">
        <f t="shared" si="1"/>
        <v>43.444231230764942</v>
      </c>
      <c r="DC21" s="218">
        <f t="shared" si="2"/>
        <v>33447.037520920894</v>
      </c>
      <c r="DD21" s="73">
        <f t="shared" si="3"/>
        <v>32397.092662119088</v>
      </c>
      <c r="DE21" s="73">
        <f t="shared" si="4"/>
        <v>16286.091928361293</v>
      </c>
      <c r="DF21" s="73">
        <f t="shared" si="5"/>
        <v>481.13397098074108</v>
      </c>
      <c r="DG21" s="73">
        <f t="shared" si="6"/>
        <v>961.4990695787144</v>
      </c>
      <c r="DH21" s="72">
        <f t="shared" si="33"/>
        <v>0.97117686869661579</v>
      </c>
      <c r="DI21" s="72">
        <f t="shared" si="34"/>
        <v>0.97130509400486931</v>
      </c>
      <c r="DJ21" s="73">
        <f>SUM(AV4:AV21,BB4:BB21,BI4:BI21)</f>
        <v>76552.962479079128</v>
      </c>
      <c r="DK21" s="73">
        <f>SUM(AV10:AV21,BB10:BB21,BI10:BI21)</f>
        <v>26063.769925059154</v>
      </c>
      <c r="DL21" s="190"/>
    </row>
    <row r="22" spans="1:116" s="127" customFormat="1" x14ac:dyDescent="0.25">
      <c r="A22" s="190"/>
      <c r="B22" s="178"/>
      <c r="C22" s="182"/>
      <c r="D22" s="183"/>
      <c r="E22" s="183"/>
      <c r="F22" s="183"/>
      <c r="G22" s="183"/>
      <c r="H22" s="183"/>
      <c r="I22" s="183"/>
      <c r="J22" s="183"/>
      <c r="K22" s="183"/>
      <c r="L22" s="183"/>
      <c r="M22" s="183"/>
      <c r="N22" s="183"/>
      <c r="O22" s="183"/>
      <c r="P22" s="183"/>
      <c r="Q22" s="183"/>
      <c r="R22" s="183"/>
      <c r="S22" s="183"/>
      <c r="T22" s="183"/>
      <c r="U22" s="178"/>
      <c r="V22" s="190"/>
      <c r="W22" s="66">
        <v>18</v>
      </c>
      <c r="X22" s="66">
        <v>2022</v>
      </c>
      <c r="Y22" s="70">
        <f t="shared" si="224"/>
        <v>1.0293296012088787E-4</v>
      </c>
      <c r="Z22" s="70">
        <f t="shared" si="172"/>
        <v>3.8913397170670123E-5</v>
      </c>
      <c r="AA22" s="70">
        <f t="shared" si="173"/>
        <v>3.9629887432349615E-4</v>
      </c>
      <c r="AB22" s="70">
        <f t="shared" si="174"/>
        <v>1.4552875101671593E-5</v>
      </c>
      <c r="AC22" s="70">
        <f t="shared" si="175"/>
        <v>1.2910875307913189E-4</v>
      </c>
      <c r="AD22" s="70">
        <f t="shared" si="176"/>
        <v>7.811361596221094E-5</v>
      </c>
      <c r="AE22" s="70">
        <f t="shared" si="177"/>
        <v>9.6870046184815789E-2</v>
      </c>
      <c r="AF22" s="70">
        <f t="shared" si="178"/>
        <v>4.8186909449708763E-2</v>
      </c>
      <c r="AG22" s="70">
        <f t="shared" si="179"/>
        <v>3.8552391813434384E-3</v>
      </c>
      <c r="AH22" s="70">
        <f t="shared" si="180"/>
        <v>8.6226755884197704E-4</v>
      </c>
      <c r="AI22" s="70">
        <f t="shared" si="181"/>
        <v>6.8522390407809968E-5</v>
      </c>
      <c r="AJ22" s="70">
        <f t="shared" si="182"/>
        <v>1.3356905135633709E-4</v>
      </c>
      <c r="AK22" s="70">
        <f t="shared" si="183"/>
        <v>9.6780454094642443E-4</v>
      </c>
      <c r="AL22" s="70">
        <f t="shared" si="184"/>
        <v>0.10032255649312929</v>
      </c>
      <c r="AM22" s="70">
        <f t="shared" si="185"/>
        <v>3.9672416280933286E-2</v>
      </c>
      <c r="AN22" s="70">
        <f t="shared" si="186"/>
        <v>3.8654418201550275E-3</v>
      </c>
      <c r="AO22" s="70">
        <f t="shared" si="187"/>
        <v>8.4992840355210316E-3</v>
      </c>
      <c r="AP22" s="190"/>
      <c r="AQ22" s="66">
        <v>18</v>
      </c>
      <c r="AR22" s="66">
        <v>2022</v>
      </c>
      <c r="AS22" s="215">
        <f>Params!$C$18*Y22</f>
        <v>11.322625613297665</v>
      </c>
      <c r="AT22" s="215">
        <f>Params!$C$18*Z22</f>
        <v>4.2804736887737134</v>
      </c>
      <c r="AU22" s="215">
        <f>Params!$C$18*AA22</f>
        <v>43.592876175584578</v>
      </c>
      <c r="AV22" s="215">
        <f>Params!$C$18*AB22</f>
        <v>1.6008162611838752</v>
      </c>
      <c r="AW22" s="215">
        <f>Params!$C$18*AC22</f>
        <v>14.201962838704508</v>
      </c>
      <c r="AX22" s="215">
        <f>Params!$C$18*AD22</f>
        <v>8.592497755843203</v>
      </c>
      <c r="AY22" s="215">
        <f>Params!$C$18*AE22</f>
        <v>10655.705080329737</v>
      </c>
      <c r="AZ22" s="215">
        <f>Params!$C$18*AF22</f>
        <v>5300.5600394679641</v>
      </c>
      <c r="BA22" s="215">
        <f>Params!$C$18*AG22</f>
        <v>424.07630994777821</v>
      </c>
      <c r="BB22" s="215">
        <f>Params!$C$18*AH22</f>
        <v>94.849431472617468</v>
      </c>
      <c r="BC22" s="215">
        <f>Params!$C$18*AI22</f>
        <v>7.5374629448590964</v>
      </c>
      <c r="BD22" s="215">
        <f>Params!$C$18*AJ22</f>
        <v>14.692595649197081</v>
      </c>
      <c r="BE22" s="215">
        <f>Params!$C$18*AK22</f>
        <v>106.45849950410668</v>
      </c>
      <c r="BF22" s="215">
        <f>Params!$C$18*AL22</f>
        <v>11035.481214244222</v>
      </c>
      <c r="BG22" s="215">
        <f t="shared" si="0"/>
        <v>4363.9657909026619</v>
      </c>
      <c r="BH22" s="215">
        <f>Params!$C$18*AN22</f>
        <v>425.19860021705301</v>
      </c>
      <c r="BI22" s="215">
        <f>Params!$C$18*AO22</f>
        <v>934.92124390731351</v>
      </c>
      <c r="BJ22" s="194"/>
      <c r="BK22" s="66">
        <v>18</v>
      </c>
      <c r="BL22" s="66">
        <v>2022</v>
      </c>
      <c r="BM22" s="215">
        <f t="shared" si="188"/>
        <v>6.6262212729623453</v>
      </c>
      <c r="BN22" s="219">
        <f t="shared" si="189"/>
        <v>30.181127818813064</v>
      </c>
      <c r="BO22" s="219">
        <f t="shared" si="190"/>
        <v>263.51062771009998</v>
      </c>
      <c r="BP22" s="219">
        <f t="shared" si="191"/>
        <v>123.75833314590272</v>
      </c>
      <c r="BQ22" s="219">
        <f t="shared" si="192"/>
        <v>1.7641882917826275</v>
      </c>
      <c r="BR22" s="220">
        <f t="shared" si="193"/>
        <v>13.278089988190597</v>
      </c>
      <c r="BS22" s="219">
        <f t="shared" si="194"/>
        <v>3.2467652076088238</v>
      </c>
      <c r="BT22" s="219">
        <f t="shared" si="195"/>
        <v>4.5084909613375697</v>
      </c>
      <c r="BU22" s="219">
        <f t="shared" si="196"/>
        <v>149.66019798639741</v>
      </c>
      <c r="BV22" s="219">
        <f t="shared" si="197"/>
        <v>75.738486592810176</v>
      </c>
      <c r="BW22" s="219">
        <f t="shared" si="198"/>
        <v>142.89172454027243</v>
      </c>
      <c r="BX22" s="220">
        <f t="shared" si="199"/>
        <v>34.110656648653411</v>
      </c>
      <c r="BY22" s="195"/>
      <c r="BZ22" s="192">
        <v>18</v>
      </c>
      <c r="CA22" s="66">
        <v>2022</v>
      </c>
      <c r="CB22" s="218">
        <f t="shared" si="200"/>
        <v>0.32489021362670351</v>
      </c>
      <c r="CC22" s="218">
        <f t="shared" si="201"/>
        <v>0.11519376275989129</v>
      </c>
      <c r="CD22" s="73">
        <f t="shared" si="202"/>
        <v>1.1607322847972805</v>
      </c>
      <c r="CE22" s="73">
        <f t="shared" si="203"/>
        <v>0.62443376618967006</v>
      </c>
      <c r="CF22" s="73">
        <f t="shared" si="204"/>
        <v>0.35444599467479504</v>
      </c>
      <c r="CG22" s="73">
        <f t="shared" si="205"/>
        <v>55.018306751681145</v>
      </c>
      <c r="CH22" s="73">
        <f t="shared" si="206"/>
        <v>26.457750635244178</v>
      </c>
      <c r="CI22" s="73">
        <f t="shared" si="207"/>
        <v>0.29078699453975465</v>
      </c>
      <c r="CJ22" s="73">
        <f t="shared" si="208"/>
        <v>1.219010290801009</v>
      </c>
      <c r="CK22" s="73">
        <f t="shared" si="209"/>
        <v>7.4900743279011124</v>
      </c>
      <c r="CL22" s="73">
        <f t="shared" si="210"/>
        <v>3.3946227115857934</v>
      </c>
      <c r="CM22" s="73">
        <f t="shared" si="211"/>
        <v>4.8766699456689135</v>
      </c>
      <c r="CN22" s="73">
        <f t="shared" si="212"/>
        <v>8.9163672691340707</v>
      </c>
      <c r="CO22" s="73">
        <f t="shared" si="213"/>
        <v>17.507473469526985</v>
      </c>
      <c r="CP22" s="73">
        <f t="shared" si="214"/>
        <v>301.99597386471231</v>
      </c>
      <c r="CQ22" s="73">
        <f t="shared" si="215"/>
        <v>418.49148894251516</v>
      </c>
      <c r="CR22" s="73">
        <f t="shared" si="216"/>
        <v>1.1401411378032149</v>
      </c>
      <c r="CS22" s="73">
        <f t="shared" si="217"/>
        <v>7.8402575036135982</v>
      </c>
      <c r="CT22" s="73">
        <f t="shared" si="218"/>
        <v>2.094797978387323</v>
      </c>
      <c r="CU22" s="73">
        <f t="shared" si="219"/>
        <v>2.130598503736608</v>
      </c>
      <c r="CV22" s="73">
        <f t="shared" si="220"/>
        <v>65.221800627512195</v>
      </c>
      <c r="CW22" s="73">
        <f t="shared" si="221"/>
        <v>31.628899466901306</v>
      </c>
      <c r="CX22" s="73">
        <f t="shared" si="222"/>
        <v>59.351088763514618</v>
      </c>
      <c r="CY22" s="73">
        <f t="shared" si="223"/>
        <v>13.725686434287175</v>
      </c>
      <c r="CZ22" s="190"/>
      <c r="DA22" s="66">
        <v>2022</v>
      </c>
      <c r="DB22" s="218">
        <f t="shared" si="1"/>
        <v>27.565567093813996</v>
      </c>
      <c r="DC22" s="218">
        <f t="shared" si="2"/>
        <v>32415.666029279786</v>
      </c>
      <c r="DD22" s="73">
        <f t="shared" si="3"/>
        <v>31462.170624448689</v>
      </c>
      <c r="DE22" s="73">
        <f t="shared" si="4"/>
        <v>15505.905504650989</v>
      </c>
      <c r="DF22" s="73">
        <f t="shared" si="5"/>
        <v>447.42865881110919</v>
      </c>
      <c r="DG22" s="73">
        <f t="shared" si="6"/>
        <v>894.29942935343513</v>
      </c>
      <c r="DH22" s="72">
        <f t="shared" si="33"/>
        <v>0.9723610323417109</v>
      </c>
      <c r="DI22" s="72">
        <f t="shared" si="34"/>
        <v>0.97195390918120084</v>
      </c>
      <c r="DJ22" s="73">
        <f>SUM(AV4:AV22,BB4:BB22,BI4:BI22)</f>
        <v>77584.333970720239</v>
      </c>
      <c r="DK22" s="73">
        <f>SUM(AV10:AV22,BB10:BB22,BI10:BI22)</f>
        <v>27095.141416700269</v>
      </c>
      <c r="DL22" s="190"/>
    </row>
    <row r="23" spans="1:116" s="127" customFormat="1" x14ac:dyDescent="0.25">
      <c r="A23" s="190"/>
      <c r="B23" s="178"/>
      <c r="C23" s="182"/>
      <c r="D23" s="183"/>
      <c r="E23" s="183"/>
      <c r="F23" s="183"/>
      <c r="G23" s="183"/>
      <c r="H23" s="183"/>
      <c r="I23" s="183"/>
      <c r="J23" s="183"/>
      <c r="K23" s="183"/>
      <c r="L23" s="183"/>
      <c r="M23" s="183"/>
      <c r="N23" s="183"/>
      <c r="O23" s="183"/>
      <c r="P23" s="183"/>
      <c r="Q23" s="183"/>
      <c r="R23" s="183"/>
      <c r="S23" s="183"/>
      <c r="T23" s="183"/>
      <c r="U23" s="178"/>
      <c r="V23" s="190"/>
      <c r="W23" s="66">
        <v>19</v>
      </c>
      <c r="X23" s="66">
        <v>2023</v>
      </c>
      <c r="Y23" s="70">
        <f t="shared" si="224"/>
        <v>6.5234801633606317E-5</v>
      </c>
      <c r="Z23" s="70">
        <f t="shared" si="172"/>
        <v>2.4669441191536796E-5</v>
      </c>
      <c r="AA23" s="70">
        <f t="shared" si="173"/>
        <v>2.697367921513299E-4</v>
      </c>
      <c r="AB23" s="70">
        <f t="shared" si="174"/>
        <v>9.7425360185405573E-6</v>
      </c>
      <c r="AC23" s="70">
        <f t="shared" si="175"/>
        <v>8.1875158721212427E-5</v>
      </c>
      <c r="AD23" s="70">
        <f t="shared" si="176"/>
        <v>4.9539807068261906E-5</v>
      </c>
      <c r="AE23" s="70">
        <f t="shared" si="177"/>
        <v>9.4834071112932225E-2</v>
      </c>
      <c r="AF23" s="70">
        <f t="shared" si="178"/>
        <v>4.8751084625260246E-2</v>
      </c>
      <c r="AG23" s="70">
        <f t="shared" si="179"/>
        <v>3.7162723243022756E-3</v>
      </c>
      <c r="AH23" s="70">
        <f t="shared" si="180"/>
        <v>8.4673928134174807E-4</v>
      </c>
      <c r="AI23" s="70">
        <f t="shared" si="181"/>
        <v>4.3464609797787409E-5</v>
      </c>
      <c r="AJ23" s="70">
        <f t="shared" si="182"/>
        <v>8.4745957111174376E-5</v>
      </c>
      <c r="AK23" s="70">
        <f t="shared" si="183"/>
        <v>8.8817019161497148E-4</v>
      </c>
      <c r="AL23" s="70">
        <f t="shared" si="184"/>
        <v>9.4380294374095938E-2</v>
      </c>
      <c r="AM23" s="70">
        <f t="shared" si="185"/>
        <v>3.881314120378964E-2</v>
      </c>
      <c r="AN23" s="70">
        <f t="shared" si="186"/>
        <v>3.6981921952757521E-3</v>
      </c>
      <c r="AO23" s="70">
        <f t="shared" si="187"/>
        <v>8.1308985811463213E-3</v>
      </c>
      <c r="AP23" s="190"/>
      <c r="AQ23" s="66">
        <v>19</v>
      </c>
      <c r="AR23" s="66">
        <v>2023</v>
      </c>
      <c r="AS23" s="215">
        <f>Params!$C$18*Y23</f>
        <v>7.175828179696695</v>
      </c>
      <c r="AT23" s="215">
        <f>Params!$C$18*Z23</f>
        <v>2.7136385310690474</v>
      </c>
      <c r="AU23" s="215">
        <f>Params!$C$18*AA23</f>
        <v>29.67104713664629</v>
      </c>
      <c r="AV23" s="215">
        <f>Params!$C$18*AB23</f>
        <v>1.0716789620394613</v>
      </c>
      <c r="AW23" s="215">
        <f>Params!$C$18*AC23</f>
        <v>9.0062674593333671</v>
      </c>
      <c r="AX23" s="215">
        <f>Params!$C$18*AD23</f>
        <v>5.4493787775088096</v>
      </c>
      <c r="AY23" s="215">
        <f>Params!$C$18*AE23</f>
        <v>10431.747822422545</v>
      </c>
      <c r="AZ23" s="215">
        <f>Params!$C$18*AF23</f>
        <v>5362.6193087786269</v>
      </c>
      <c r="BA23" s="215">
        <f>Params!$C$18*AG23</f>
        <v>408.78995567325035</v>
      </c>
      <c r="BB23" s="215">
        <f>Params!$C$18*AH23</f>
        <v>93.141320947592291</v>
      </c>
      <c r="BC23" s="215">
        <f>Params!$C$18*AI23</f>
        <v>4.7811070777566149</v>
      </c>
      <c r="BD23" s="215">
        <f>Params!$C$18*AJ23</f>
        <v>9.3220552822291811</v>
      </c>
      <c r="BE23" s="215">
        <f>Params!$C$18*AK23</f>
        <v>97.698721077646866</v>
      </c>
      <c r="BF23" s="215">
        <f>Params!$C$18*AL23</f>
        <v>10381.832381150552</v>
      </c>
      <c r="BG23" s="215">
        <f t="shared" si="0"/>
        <v>4269.4455324168603</v>
      </c>
      <c r="BH23" s="215">
        <f>Params!$C$18*AN23</f>
        <v>406.80114148033272</v>
      </c>
      <c r="BI23" s="215">
        <f>Params!$C$18*AO23</f>
        <v>894.39884392609531</v>
      </c>
      <c r="BJ23" s="194"/>
      <c r="BK23" s="66">
        <v>19</v>
      </c>
      <c r="BL23" s="66">
        <v>2023</v>
      </c>
      <c r="BM23" s="215">
        <f t="shared" si="188"/>
        <v>4.2081623457937338</v>
      </c>
      <c r="BN23" s="219">
        <f t="shared" si="189"/>
        <v>20.743593242878958</v>
      </c>
      <c r="BO23" s="219">
        <f t="shared" si="190"/>
        <v>258.27802743163045</v>
      </c>
      <c r="BP23" s="219">
        <f t="shared" si="191"/>
        <v>125.56017265294713</v>
      </c>
      <c r="BQ23" s="219">
        <f t="shared" si="192"/>
        <v>1.1199628141325109</v>
      </c>
      <c r="BR23" s="220">
        <f t="shared" si="193"/>
        <v>9.1814875590325684</v>
      </c>
      <c r="BS23" s="219">
        <f t="shared" si="194"/>
        <v>2.0638892439660355</v>
      </c>
      <c r="BT23" s="219">
        <f t="shared" si="195"/>
        <v>4.0294143418004271</v>
      </c>
      <c r="BU23" s="219">
        <f t="shared" si="196"/>
        <v>140.87079959955756</v>
      </c>
      <c r="BV23" s="219">
        <f t="shared" si="197"/>
        <v>74.332033884636772</v>
      </c>
      <c r="BW23" s="219">
        <f t="shared" si="198"/>
        <v>140.50519145871039</v>
      </c>
      <c r="BX23" s="220">
        <f t="shared" si="199"/>
        <v>34.698362578496457</v>
      </c>
      <c r="BY23" s="195"/>
      <c r="BZ23" s="192">
        <v>19</v>
      </c>
      <c r="CA23" s="66">
        <v>2023</v>
      </c>
      <c r="CB23" s="218">
        <f t="shared" si="200"/>
        <v>0.20590244965020796</v>
      </c>
      <c r="CC23" s="218">
        <f t="shared" si="201"/>
        <v>7.3038123043456707E-2</v>
      </c>
      <c r="CD23" s="73">
        <f t="shared" si="202"/>
        <v>0.79273838934579666</v>
      </c>
      <c r="CE23" s="73">
        <f t="shared" si="203"/>
        <v>0.39607197123187349</v>
      </c>
      <c r="CF23" s="73">
        <f t="shared" si="204"/>
        <v>0.22484776312527119</v>
      </c>
      <c r="CG23" s="73">
        <f t="shared" si="205"/>
        <v>53.887703996187362</v>
      </c>
      <c r="CH23" s="73">
        <f t="shared" si="206"/>
        <v>26.805829203000989</v>
      </c>
      <c r="CI23" s="73">
        <f t="shared" si="207"/>
        <v>0.18479561953565649</v>
      </c>
      <c r="CJ23" s="73">
        <f t="shared" si="208"/>
        <v>0.84170751078298478</v>
      </c>
      <c r="CK23" s="73">
        <f t="shared" si="209"/>
        <v>7.3489259860088554</v>
      </c>
      <c r="CL23" s="73">
        <f t="shared" si="210"/>
        <v>3.4514388977192896</v>
      </c>
      <c r="CM23" s="73">
        <f t="shared" si="211"/>
        <v>3.0942396282762687</v>
      </c>
      <c r="CN23" s="73">
        <f t="shared" si="212"/>
        <v>5.6594038582761046</v>
      </c>
      <c r="CO23" s="73">
        <f t="shared" si="213"/>
        <v>15.735089306073693</v>
      </c>
      <c r="CP23" s="73">
        <f t="shared" si="214"/>
        <v>284.22098698695208</v>
      </c>
      <c r="CQ23" s="73">
        <f t="shared" si="215"/>
        <v>411.13883205167519</v>
      </c>
      <c r="CR23" s="73">
        <f t="shared" si="216"/>
        <v>0.72422529491809906</v>
      </c>
      <c r="CS23" s="73">
        <f t="shared" si="217"/>
        <v>5.4508516366637689</v>
      </c>
      <c r="CT23" s="73">
        <f t="shared" si="218"/>
        <v>1.3328449695323381</v>
      </c>
      <c r="CU23" s="73">
        <f t="shared" si="219"/>
        <v>1.8508019871342616</v>
      </c>
      <c r="CV23" s="73">
        <f t="shared" si="220"/>
        <v>61.437717010738801</v>
      </c>
      <c r="CW23" s="73">
        <f t="shared" si="221"/>
        <v>31.091765003101461</v>
      </c>
      <c r="CX23" s="73">
        <f t="shared" si="222"/>
        <v>58.659158905293012</v>
      </c>
      <c r="CY23" s="73">
        <f t="shared" si="223"/>
        <v>14.002927287460359</v>
      </c>
      <c r="CZ23" s="190"/>
      <c r="DA23" s="66">
        <v>2023</v>
      </c>
      <c r="DB23" s="218">
        <f t="shared" si="1"/>
        <v>17.485072590807036</v>
      </c>
      <c r="DC23" s="218">
        <f t="shared" si="2"/>
        <v>31427.054185444053</v>
      </c>
      <c r="DD23" s="73">
        <f t="shared" si="3"/>
        <v>30543.343765846228</v>
      </c>
      <c r="DE23" s="73">
        <f t="shared" si="4"/>
        <v>14748.97663464506</v>
      </c>
      <c r="DF23" s="73">
        <f t="shared" si="5"/>
        <v>420.90430384031851</v>
      </c>
      <c r="DG23" s="73">
        <f t="shared" si="6"/>
        <v>844.14990575041099</v>
      </c>
      <c r="DH23" s="72">
        <f t="shared" si="33"/>
        <v>0.97310553322343463</v>
      </c>
      <c r="DI23" s="72">
        <f t="shared" si="34"/>
        <v>0.97225394809971777</v>
      </c>
      <c r="DJ23" s="73">
        <f>SUM(AV4:AV23,BB4:BB23,BI4:BI23)</f>
        <v>78572.945814555977</v>
      </c>
      <c r="DK23" s="73">
        <f>SUM(AV10:AV23,BB10:BB23,BI10:BI23)</f>
        <v>28083.753260535996</v>
      </c>
      <c r="DL23" s="190"/>
    </row>
    <row r="24" spans="1:116" x14ac:dyDescent="0.25">
      <c r="A24" s="190"/>
      <c r="B24" s="190" t="s">
        <v>576</v>
      </c>
      <c r="C24" s="190"/>
      <c r="D24" s="190"/>
      <c r="E24" s="190"/>
      <c r="F24" s="190"/>
      <c r="G24" s="190"/>
      <c r="H24" s="190"/>
      <c r="I24" s="190"/>
      <c r="J24" s="190"/>
      <c r="K24" s="190"/>
      <c r="L24" s="190"/>
      <c r="M24" s="190"/>
      <c r="N24" s="190"/>
      <c r="O24" s="190"/>
      <c r="P24" s="190"/>
      <c r="Q24" s="190"/>
      <c r="R24" s="190"/>
      <c r="S24" s="190"/>
      <c r="T24" s="190"/>
      <c r="U24" s="190"/>
      <c r="V24" s="190"/>
      <c r="W24" s="197" t="s">
        <v>575</v>
      </c>
      <c r="X24" s="190"/>
      <c r="Y24" s="190"/>
      <c r="Z24" s="190"/>
      <c r="AA24" s="190"/>
      <c r="AB24" s="190"/>
      <c r="AC24" s="190"/>
      <c r="AD24" s="190"/>
      <c r="AE24" s="190"/>
      <c r="AF24" s="190"/>
      <c r="AG24" s="190"/>
      <c r="AH24" s="190"/>
      <c r="AI24" s="190"/>
      <c r="AJ24" s="190"/>
      <c r="AK24" s="190"/>
      <c r="AL24" s="190"/>
      <c r="AM24" s="190"/>
      <c r="AN24" s="190"/>
      <c r="AO24" s="190"/>
      <c r="AP24" s="190"/>
      <c r="AQ24" s="193" t="s">
        <v>90</v>
      </c>
      <c r="AR24" s="25"/>
      <c r="AS24" s="213"/>
      <c r="AT24" s="213"/>
      <c r="AU24" s="213"/>
      <c r="AV24" s="213"/>
      <c r="AW24" s="213"/>
      <c r="AX24" s="213"/>
      <c r="AY24" s="213"/>
      <c r="AZ24" s="213"/>
      <c r="BA24" s="213"/>
      <c r="BB24" s="213"/>
      <c r="BC24" s="213"/>
      <c r="BD24" s="213"/>
      <c r="BE24" s="213"/>
      <c r="BF24" s="213"/>
      <c r="BG24" s="213"/>
      <c r="BH24" s="213"/>
      <c r="BI24" s="213"/>
      <c r="BJ24" s="25"/>
      <c r="BK24" s="25"/>
      <c r="BL24" s="25"/>
      <c r="BM24" s="348" t="s">
        <v>570</v>
      </c>
      <c r="BN24" s="349"/>
      <c r="BO24" s="349"/>
      <c r="BP24" s="349"/>
      <c r="BQ24" s="350" t="s">
        <v>570</v>
      </c>
      <c r="BR24" s="350"/>
      <c r="BS24" s="350"/>
      <c r="BT24" s="350"/>
      <c r="BU24" s="350"/>
      <c r="BV24" s="350"/>
      <c r="BW24" s="350"/>
      <c r="BX24" s="351"/>
      <c r="BY24" s="199"/>
      <c r="BZ24" s="25"/>
      <c r="CA24" s="25"/>
      <c r="CB24" s="350" t="s">
        <v>302</v>
      </c>
      <c r="CC24" s="350"/>
      <c r="CD24" s="350"/>
      <c r="CE24" s="350" t="s">
        <v>302</v>
      </c>
      <c r="CF24" s="350"/>
      <c r="CG24" s="350"/>
      <c r="CH24" s="350"/>
      <c r="CI24" s="350"/>
      <c r="CJ24" s="350"/>
      <c r="CK24" s="350"/>
      <c r="CL24" s="350"/>
      <c r="CM24" s="350" t="s">
        <v>302</v>
      </c>
      <c r="CN24" s="350"/>
      <c r="CO24" s="350"/>
      <c r="CP24" s="350"/>
      <c r="CQ24" s="350"/>
      <c r="CR24" s="350"/>
      <c r="CS24" s="350"/>
      <c r="CT24" s="350"/>
      <c r="CU24" s="350"/>
      <c r="CV24" s="350"/>
      <c r="CW24" s="350"/>
      <c r="CX24" s="350"/>
      <c r="CY24" s="350"/>
      <c r="CZ24" s="190"/>
      <c r="DA24" s="190" t="s">
        <v>100</v>
      </c>
      <c r="DB24" s="217"/>
      <c r="DC24" s="217"/>
      <c r="DD24" s="217"/>
      <c r="DE24" s="217"/>
      <c r="DF24" s="217"/>
      <c r="DG24" s="217"/>
      <c r="DH24" s="222"/>
      <c r="DI24" s="222"/>
      <c r="DJ24" s="217"/>
      <c r="DK24" s="217"/>
      <c r="DL24" s="190"/>
    </row>
    <row r="25" spans="1:116" x14ac:dyDescent="0.25">
      <c r="A25" s="190"/>
      <c r="B25" s="68">
        <v>2005</v>
      </c>
      <c r="C25" s="184"/>
      <c r="D25" s="61" t="s">
        <v>320</v>
      </c>
      <c r="E25" s="61" t="s">
        <v>319</v>
      </c>
      <c r="F25" s="61" t="s">
        <v>318</v>
      </c>
      <c r="G25" s="61" t="s">
        <v>317</v>
      </c>
      <c r="H25" s="61" t="s">
        <v>321</v>
      </c>
      <c r="I25" s="61" t="s">
        <v>322</v>
      </c>
      <c r="J25" s="61" t="s">
        <v>323</v>
      </c>
      <c r="K25" s="61" t="s">
        <v>324</v>
      </c>
      <c r="L25" s="61" t="s">
        <v>325</v>
      </c>
      <c r="M25" s="61" t="s">
        <v>326</v>
      </c>
      <c r="N25" s="61" t="s">
        <v>327</v>
      </c>
      <c r="O25" s="61" t="s">
        <v>328</v>
      </c>
      <c r="P25" s="61" t="s">
        <v>329</v>
      </c>
      <c r="Q25" s="61" t="s">
        <v>330</v>
      </c>
      <c r="R25" s="61" t="s">
        <v>331</v>
      </c>
      <c r="S25" s="61" t="s">
        <v>332</v>
      </c>
      <c r="T25" s="61" t="s">
        <v>333</v>
      </c>
      <c r="U25" s="61" t="s">
        <v>87</v>
      </c>
      <c r="V25" s="190"/>
      <c r="W25" s="66" t="s">
        <v>88</v>
      </c>
      <c r="X25" s="66" t="s">
        <v>89</v>
      </c>
      <c r="Y25" s="61" t="s">
        <v>320</v>
      </c>
      <c r="Z25" s="61" t="s">
        <v>319</v>
      </c>
      <c r="AA25" s="61" t="s">
        <v>318</v>
      </c>
      <c r="AB25" s="61" t="s">
        <v>317</v>
      </c>
      <c r="AC25" s="61" t="s">
        <v>321</v>
      </c>
      <c r="AD25" s="61" t="s">
        <v>322</v>
      </c>
      <c r="AE25" s="61" t="s">
        <v>323</v>
      </c>
      <c r="AF25" s="61" t="s">
        <v>324</v>
      </c>
      <c r="AG25" s="61" t="s">
        <v>325</v>
      </c>
      <c r="AH25" s="61" t="s">
        <v>326</v>
      </c>
      <c r="AI25" s="61" t="s">
        <v>327</v>
      </c>
      <c r="AJ25" s="61" t="s">
        <v>328</v>
      </c>
      <c r="AK25" s="61" t="s">
        <v>329</v>
      </c>
      <c r="AL25" s="61" t="s">
        <v>330</v>
      </c>
      <c r="AM25" s="61" t="s">
        <v>331</v>
      </c>
      <c r="AN25" s="61" t="s">
        <v>332</v>
      </c>
      <c r="AO25" s="61" t="s">
        <v>333</v>
      </c>
      <c r="AP25" s="190"/>
      <c r="AQ25" s="66" t="s">
        <v>88</v>
      </c>
      <c r="AR25" s="66" t="s">
        <v>89</v>
      </c>
      <c r="AS25" s="214" t="s">
        <v>320</v>
      </c>
      <c r="AT25" s="214" t="s">
        <v>319</v>
      </c>
      <c r="AU25" s="214" t="s">
        <v>318</v>
      </c>
      <c r="AV25" s="214" t="s">
        <v>317</v>
      </c>
      <c r="AW25" s="214" t="s">
        <v>321</v>
      </c>
      <c r="AX25" s="214" t="s">
        <v>322</v>
      </c>
      <c r="AY25" s="214" t="s">
        <v>323</v>
      </c>
      <c r="AZ25" s="214" t="s">
        <v>324</v>
      </c>
      <c r="BA25" s="214" t="s">
        <v>325</v>
      </c>
      <c r="BB25" s="214" t="s">
        <v>326</v>
      </c>
      <c r="BC25" s="214" t="s">
        <v>327</v>
      </c>
      <c r="BD25" s="214" t="s">
        <v>328</v>
      </c>
      <c r="BE25" s="214" t="s">
        <v>329</v>
      </c>
      <c r="BF25" s="214" t="s">
        <v>330</v>
      </c>
      <c r="BG25" s="214" t="s">
        <v>331</v>
      </c>
      <c r="BH25" s="214" t="s">
        <v>332</v>
      </c>
      <c r="BI25" s="214" t="s">
        <v>333</v>
      </c>
      <c r="BJ25" s="189"/>
      <c r="BK25" s="66" t="s">
        <v>88</v>
      </c>
      <c r="BL25" s="66" t="s">
        <v>89</v>
      </c>
      <c r="BM25" s="122" t="s">
        <v>627</v>
      </c>
      <c r="BN25" s="122" t="s">
        <v>715</v>
      </c>
      <c r="BO25" s="122" t="s">
        <v>628</v>
      </c>
      <c r="BP25" s="122" t="s">
        <v>629</v>
      </c>
      <c r="BQ25" s="122" t="s">
        <v>627</v>
      </c>
      <c r="BR25" s="122" t="s">
        <v>716</v>
      </c>
      <c r="BS25" s="122" t="s">
        <v>717</v>
      </c>
      <c r="BT25" s="122" t="s">
        <v>721</v>
      </c>
      <c r="BU25" s="122" t="s">
        <v>720</v>
      </c>
      <c r="BV25" s="122" t="s">
        <v>719</v>
      </c>
      <c r="BW25" s="122" t="s">
        <v>629</v>
      </c>
      <c r="BX25" s="122" t="s">
        <v>722</v>
      </c>
      <c r="BY25" s="182"/>
      <c r="BZ25" s="192" t="s">
        <v>88</v>
      </c>
      <c r="CA25" s="66" t="s">
        <v>89</v>
      </c>
      <c r="CB25" s="218" t="s">
        <v>124</v>
      </c>
      <c r="CC25" s="218" t="s">
        <v>630</v>
      </c>
      <c r="CD25" s="218" t="s">
        <v>570</v>
      </c>
      <c r="CE25" s="218" t="s">
        <v>124</v>
      </c>
      <c r="CF25" s="218" t="s">
        <v>630</v>
      </c>
      <c r="CG25" s="218" t="s">
        <v>631</v>
      </c>
      <c r="CH25" s="218" t="s">
        <v>632</v>
      </c>
      <c r="CI25" s="227" t="s">
        <v>624</v>
      </c>
      <c r="CJ25" s="227" t="s">
        <v>725</v>
      </c>
      <c r="CK25" s="227" t="s">
        <v>625</v>
      </c>
      <c r="CL25" s="227" t="s">
        <v>626</v>
      </c>
      <c r="CM25" s="218" t="s">
        <v>124</v>
      </c>
      <c r="CN25" s="218" t="s">
        <v>633</v>
      </c>
      <c r="CO25" s="218" t="s">
        <v>634</v>
      </c>
      <c r="CP25" s="218" t="s">
        <v>635</v>
      </c>
      <c r="CQ25" s="218" t="s">
        <v>632</v>
      </c>
      <c r="CR25" s="122" t="s">
        <v>624</v>
      </c>
      <c r="CS25" s="122" t="s">
        <v>726</v>
      </c>
      <c r="CT25" s="122" t="s">
        <v>727</v>
      </c>
      <c r="CU25" s="122" t="s">
        <v>637</v>
      </c>
      <c r="CV25" s="122" t="s">
        <v>638</v>
      </c>
      <c r="CW25" s="122" t="s">
        <v>728</v>
      </c>
      <c r="CX25" s="122" t="s">
        <v>626</v>
      </c>
      <c r="CY25" s="122" t="s">
        <v>729</v>
      </c>
      <c r="CZ25" s="190"/>
      <c r="DA25" s="67" t="s">
        <v>89</v>
      </c>
      <c r="DB25" s="219" t="s">
        <v>91</v>
      </c>
      <c r="DC25" s="219" t="s">
        <v>99</v>
      </c>
      <c r="DD25" s="215" t="s">
        <v>92</v>
      </c>
      <c r="DE25" s="215" t="s">
        <v>97</v>
      </c>
      <c r="DF25" s="215" t="s">
        <v>93</v>
      </c>
      <c r="DG25" s="215" t="s">
        <v>94</v>
      </c>
      <c r="DH25" s="223" t="s">
        <v>96</v>
      </c>
      <c r="DI25" s="223" t="s">
        <v>98</v>
      </c>
      <c r="DJ25" s="219" t="s">
        <v>95</v>
      </c>
      <c r="DK25" s="219" t="s">
        <v>102</v>
      </c>
      <c r="DL25" s="190"/>
    </row>
    <row r="26" spans="1:116" x14ac:dyDescent="0.25">
      <c r="A26" s="190"/>
      <c r="B26" s="68">
        <v>2005</v>
      </c>
      <c r="C26" s="185" t="s">
        <v>320</v>
      </c>
      <c r="D26" s="172">
        <f>pAsympt_NoCare_2004_2006</f>
        <v>0.66919415315145225</v>
      </c>
      <c r="E26" s="172">
        <f>pAsympt_NoCare_Asympt_InCare_2004_2006</f>
        <v>5.6310401217746525E-2</v>
      </c>
      <c r="F26" s="169">
        <v>0</v>
      </c>
      <c r="G26" s="170">
        <f>pAsympt_NoCare_Asympt_Dead_2004_2006</f>
        <v>1.818504441305463E-2</v>
      </c>
      <c r="H26" s="170">
        <f>pAsympt_NoCare_Int_NoCare_2004_2006</f>
        <v>0.2</v>
      </c>
      <c r="I26" s="172">
        <f>pAsympt_NoCare_Int_InCare_2004_2006</f>
        <v>5.6310401217746525E-2</v>
      </c>
      <c r="J26" s="171">
        <f>pAsympt_NoCare_Int_ART1_2004_2006</f>
        <v>0</v>
      </c>
      <c r="K26" s="169">
        <v>0</v>
      </c>
      <c r="L26" s="169">
        <v>0</v>
      </c>
      <c r="M26" s="169">
        <v>0</v>
      </c>
      <c r="N26" s="169">
        <v>0</v>
      </c>
      <c r="O26" s="169">
        <v>0</v>
      </c>
      <c r="P26" s="169">
        <v>0</v>
      </c>
      <c r="Q26" s="169">
        <v>0</v>
      </c>
      <c r="R26" s="169">
        <v>0</v>
      </c>
      <c r="S26" s="169">
        <v>0</v>
      </c>
      <c r="T26" s="169">
        <v>0</v>
      </c>
      <c r="U26" s="61">
        <f>SUM(D26:T26)</f>
        <v>0.99999999999999989</v>
      </c>
      <c r="V26" s="190"/>
      <c r="W26" s="66">
        <v>0</v>
      </c>
      <c r="X26" s="66">
        <v>2004</v>
      </c>
      <c r="Y26" s="69">
        <v>0</v>
      </c>
      <c r="Z26" s="69">
        <v>0</v>
      </c>
      <c r="AA26" s="69">
        <v>0</v>
      </c>
      <c r="AB26" s="69">
        <v>0</v>
      </c>
      <c r="AC26" s="69">
        <v>0</v>
      </c>
      <c r="AD26" s="69">
        <v>0</v>
      </c>
      <c r="AE26" s="69">
        <v>0</v>
      </c>
      <c r="AF26" s="69">
        <v>0</v>
      </c>
      <c r="AG26" s="69">
        <v>0</v>
      </c>
      <c r="AH26" s="69">
        <v>0</v>
      </c>
      <c r="AI26" s="69">
        <v>0</v>
      </c>
      <c r="AJ26" s="69">
        <v>0</v>
      </c>
      <c r="AK26" s="69">
        <v>0</v>
      </c>
      <c r="AL26" s="69">
        <v>0</v>
      </c>
      <c r="AM26" s="69">
        <v>0</v>
      </c>
      <c r="AN26" s="69">
        <v>0</v>
      </c>
      <c r="AO26" s="69">
        <v>0</v>
      </c>
      <c r="AP26" s="190"/>
      <c r="AQ26" s="66">
        <v>0</v>
      </c>
      <c r="AR26" s="66">
        <v>2004</v>
      </c>
      <c r="AS26" s="215">
        <f t="shared" ref="AS26:AS45" si="225">Inc_2005*Y26</f>
        <v>0</v>
      </c>
      <c r="AT26" s="215">
        <f t="shared" ref="AT26:AT45" si="226">Inc_2005*Z26</f>
        <v>0</v>
      </c>
      <c r="AU26" s="215">
        <f t="shared" ref="AU26:AU45" si="227">Inc_2005*AA26</f>
        <v>0</v>
      </c>
      <c r="AV26" s="215">
        <f t="shared" ref="AV26:AV45" si="228">Inc_2005*AB26</f>
        <v>0</v>
      </c>
      <c r="AW26" s="215">
        <f t="shared" ref="AW26:AW45" si="229">Inc_2005*AC26</f>
        <v>0</v>
      </c>
      <c r="AX26" s="215">
        <f t="shared" ref="AX26:AX45" si="230">Inc_2005*AD26</f>
        <v>0</v>
      </c>
      <c r="AY26" s="215">
        <f t="shared" ref="AY26:AY45" si="231">Inc_2005*AE26</f>
        <v>0</v>
      </c>
      <c r="AZ26" s="215">
        <f t="shared" ref="AZ26:AZ45" si="232">Inc_2005*AF26</f>
        <v>0</v>
      </c>
      <c r="BA26" s="215">
        <f t="shared" ref="BA26:BA45" si="233">Inc_2005*AG26</f>
        <v>0</v>
      </c>
      <c r="BB26" s="215">
        <f t="shared" ref="BB26:BB45" si="234">Inc_2005*AH26</f>
        <v>0</v>
      </c>
      <c r="BC26" s="215">
        <f t="shared" ref="BC26:BC45" si="235">Inc_2005*AI26</f>
        <v>0</v>
      </c>
      <c r="BD26" s="215">
        <f t="shared" ref="BD26:BD45" si="236">Inc_2005*AJ26</f>
        <v>0</v>
      </c>
      <c r="BE26" s="215">
        <f t="shared" ref="BE26:BE45" si="237">Inc_2005*AK26</f>
        <v>0</v>
      </c>
      <c r="BF26" s="215">
        <f t="shared" ref="BF26:BF45" si="238">Inc_2005*AL26</f>
        <v>0</v>
      </c>
      <c r="BG26" s="215">
        <f t="shared" ref="BG26:BG45" si="239">Inc_2005*AM26</f>
        <v>0</v>
      </c>
      <c r="BH26" s="215">
        <f t="shared" ref="BH26:BH45" si="240">Inc_2005*AN26</f>
        <v>0</v>
      </c>
      <c r="BI26" s="215">
        <f t="shared" ref="BI26:BI45" si="241">Inc_2005*AO26</f>
        <v>0</v>
      </c>
      <c r="BJ26" s="194"/>
      <c r="BK26" s="66">
        <v>0</v>
      </c>
      <c r="BL26" s="66">
        <v>2004</v>
      </c>
      <c r="BM26" s="215">
        <f>BA26</f>
        <v>0</v>
      </c>
      <c r="BN26" s="219">
        <v>0</v>
      </c>
      <c r="BO26" s="219">
        <v>0</v>
      </c>
      <c r="BP26" s="219">
        <v>0</v>
      </c>
      <c r="BQ26" s="219">
        <f>BH26</f>
        <v>0</v>
      </c>
      <c r="BR26" s="219">
        <v>0</v>
      </c>
      <c r="BS26" s="219">
        <v>0</v>
      </c>
      <c r="BT26" s="219">
        <v>0</v>
      </c>
      <c r="BU26" s="219">
        <v>0</v>
      </c>
      <c r="BV26" s="219">
        <v>0</v>
      </c>
      <c r="BW26" s="219">
        <v>0</v>
      </c>
      <c r="BX26" s="219">
        <v>0</v>
      </c>
      <c r="BY26" s="195"/>
      <c r="BZ26" s="192">
        <v>0</v>
      </c>
      <c r="CA26" s="66">
        <v>2004</v>
      </c>
      <c r="CB26" s="218">
        <v>0</v>
      </c>
      <c r="CC26" s="218">
        <v>0</v>
      </c>
      <c r="CD26" s="218">
        <v>0</v>
      </c>
      <c r="CE26" s="218">
        <v>0</v>
      </c>
      <c r="CF26" s="218">
        <v>0</v>
      </c>
      <c r="CG26" s="218">
        <v>0</v>
      </c>
      <c r="CH26" s="218">
        <v>0</v>
      </c>
      <c r="CI26" s="218">
        <v>0</v>
      </c>
      <c r="CJ26" s="218">
        <v>0</v>
      </c>
      <c r="CK26" s="218">
        <v>0</v>
      </c>
      <c r="CL26" s="218">
        <v>0</v>
      </c>
      <c r="CM26" s="218">
        <v>0</v>
      </c>
      <c r="CN26" s="218">
        <v>0</v>
      </c>
      <c r="CO26" s="218">
        <v>0</v>
      </c>
      <c r="CP26" s="218">
        <v>0</v>
      </c>
      <c r="CQ26" s="218">
        <v>0</v>
      </c>
      <c r="CR26" s="218">
        <v>0</v>
      </c>
      <c r="CS26" s="218">
        <v>0</v>
      </c>
      <c r="CT26" s="218">
        <v>0</v>
      </c>
      <c r="CU26" s="218">
        <v>0</v>
      </c>
      <c r="CV26" s="218">
        <v>0</v>
      </c>
      <c r="CW26" s="218">
        <v>0</v>
      </c>
      <c r="CX26" s="218">
        <v>0</v>
      </c>
      <c r="CY26" s="218">
        <v>0</v>
      </c>
      <c r="CZ26" s="190"/>
      <c r="DA26" s="67">
        <v>2004</v>
      </c>
      <c r="DB26" s="218">
        <f t="shared" ref="DB26:DB45" si="242">SUM(AT26,AX26,BD26)</f>
        <v>0</v>
      </c>
      <c r="DC26" s="218">
        <f t="shared" ref="DC26:DC45" si="243">SUM(AS26:AU26,AW26:BA26,BC26:BH26)</f>
        <v>0</v>
      </c>
      <c r="DD26" s="73">
        <f t="shared" ref="DD26:DD45" si="244">SUM(AY26:AZ26,BE26:BG26)</f>
        <v>0</v>
      </c>
      <c r="DE26" s="73">
        <f t="shared" ref="DE26:DE45" si="245">SUM(BE26:BG26)</f>
        <v>0</v>
      </c>
      <c r="DF26" s="73">
        <f t="shared" ref="DF26:DF45" si="246">SUM(BC26,BD26,BH26)</f>
        <v>0</v>
      </c>
      <c r="DG26" s="73">
        <f t="shared" ref="DG26:DG45" si="247">SUM(BC26,BD26,BH26,AW26,AX26,BA26)</f>
        <v>0</v>
      </c>
      <c r="DH26" s="72" t="e">
        <f>DD26/(DD26+DG26)</f>
        <v>#DIV/0!</v>
      </c>
      <c r="DI26" s="72" t="e">
        <f>DE26/(DE26+DF26)</f>
        <v>#DIV/0!</v>
      </c>
      <c r="DJ26" s="73">
        <f>SUM(AV26,BB26,BI26)</f>
        <v>0</v>
      </c>
      <c r="DK26" s="73">
        <v>0</v>
      </c>
      <c r="DL26" s="190"/>
    </row>
    <row r="27" spans="1:116" x14ac:dyDescent="0.25">
      <c r="A27" s="190"/>
      <c r="B27" s="68">
        <v>2005</v>
      </c>
      <c r="C27" s="185" t="s">
        <v>319</v>
      </c>
      <c r="D27" s="169">
        <v>0</v>
      </c>
      <c r="E27" s="172">
        <f>pAsympt_InCare_2004_2012</f>
        <v>0.43814160225821164</v>
      </c>
      <c r="F27" s="170">
        <f>pAsympt_InCare_Asympt_LTFU_2004_2012</f>
        <v>0.30679530417926698</v>
      </c>
      <c r="G27" s="170">
        <f>pAsympt_InCare_Asympt_Dead_2004_2012</f>
        <v>1.7063093562521336E-2</v>
      </c>
      <c r="H27" s="169">
        <v>0</v>
      </c>
      <c r="I27" s="170">
        <f>pAsympt_InCare_Int_InCare_2004_2012</f>
        <v>0.2</v>
      </c>
      <c r="J27" s="170">
        <f>pAsympt_InCare_Int_ART1_2004_2012</f>
        <v>3.7999999999999999E-2</v>
      </c>
      <c r="K27" s="169">
        <v>0</v>
      </c>
      <c r="L27" s="169">
        <v>0</v>
      </c>
      <c r="M27" s="169">
        <v>0</v>
      </c>
      <c r="N27" s="169">
        <v>0</v>
      </c>
      <c r="O27" s="169">
        <v>0</v>
      </c>
      <c r="P27" s="169">
        <v>0</v>
      </c>
      <c r="Q27" s="169">
        <v>0</v>
      </c>
      <c r="R27" s="169">
        <v>0</v>
      </c>
      <c r="S27" s="169">
        <v>0</v>
      </c>
      <c r="T27" s="169">
        <v>0</v>
      </c>
      <c r="U27" s="61">
        <f t="shared" ref="U27:U42" si="248">SUM(D27:T27)</f>
        <v>1</v>
      </c>
      <c r="V27" s="190"/>
      <c r="W27" s="66">
        <v>1</v>
      </c>
      <c r="X27" s="66">
        <v>2005</v>
      </c>
      <c r="Y27" s="69">
        <v>1</v>
      </c>
      <c r="Z27" s="69">
        <v>0</v>
      </c>
      <c r="AA27" s="69">
        <v>0</v>
      </c>
      <c r="AB27" s="69">
        <v>0</v>
      </c>
      <c r="AC27" s="69">
        <v>0</v>
      </c>
      <c r="AD27" s="69">
        <v>0</v>
      </c>
      <c r="AE27" s="69">
        <v>0</v>
      </c>
      <c r="AF27" s="69">
        <v>0</v>
      </c>
      <c r="AG27" s="69">
        <v>0</v>
      </c>
      <c r="AH27" s="69">
        <v>0</v>
      </c>
      <c r="AI27" s="69">
        <v>0</v>
      </c>
      <c r="AJ27" s="69">
        <v>0</v>
      </c>
      <c r="AK27" s="69">
        <v>0</v>
      </c>
      <c r="AL27" s="69">
        <v>0</v>
      </c>
      <c r="AM27" s="69">
        <v>0</v>
      </c>
      <c r="AN27" s="69">
        <v>0</v>
      </c>
      <c r="AO27" s="69">
        <v>0</v>
      </c>
      <c r="AP27" s="190"/>
      <c r="AQ27" s="66">
        <v>1</v>
      </c>
      <c r="AR27" s="66">
        <v>2005</v>
      </c>
      <c r="AS27" s="215">
        <f t="shared" si="225"/>
        <v>10964.36</v>
      </c>
      <c r="AT27" s="215">
        <f t="shared" si="226"/>
        <v>0</v>
      </c>
      <c r="AU27" s="215">
        <f t="shared" si="227"/>
        <v>0</v>
      </c>
      <c r="AV27" s="215">
        <f t="shared" si="228"/>
        <v>0</v>
      </c>
      <c r="AW27" s="215">
        <f t="shared" si="229"/>
        <v>0</v>
      </c>
      <c r="AX27" s="215">
        <f t="shared" si="230"/>
        <v>0</v>
      </c>
      <c r="AY27" s="215">
        <f t="shared" si="231"/>
        <v>0</v>
      </c>
      <c r="AZ27" s="215">
        <f t="shared" si="232"/>
        <v>0</v>
      </c>
      <c r="BA27" s="215">
        <f t="shared" si="233"/>
        <v>0</v>
      </c>
      <c r="BB27" s="215">
        <f t="shared" si="234"/>
        <v>0</v>
      </c>
      <c r="BC27" s="215">
        <f t="shared" si="235"/>
        <v>0</v>
      </c>
      <c r="BD27" s="215">
        <f t="shared" si="236"/>
        <v>0</v>
      </c>
      <c r="BE27" s="215">
        <f t="shared" si="237"/>
        <v>0</v>
      </c>
      <c r="BF27" s="215">
        <f t="shared" si="238"/>
        <v>0</v>
      </c>
      <c r="BG27" s="215">
        <f t="shared" si="239"/>
        <v>0</v>
      </c>
      <c r="BH27" s="215">
        <f t="shared" si="240"/>
        <v>0</v>
      </c>
      <c r="BI27" s="215">
        <f t="shared" si="241"/>
        <v>0</v>
      </c>
      <c r="BJ27" s="194"/>
      <c r="BK27" s="66">
        <v>1</v>
      </c>
      <c r="BL27" s="66">
        <v>2005</v>
      </c>
      <c r="BM27" s="215">
        <f t="shared" ref="BM27:BM34" si="249">(AX26*pInt_InCare_Int_LTFU_2004_2012)+(BM26*pInt_LTFU_2004_2012)</f>
        <v>0</v>
      </c>
      <c r="BN27" s="219">
        <f t="shared" ref="BN27:BN34" si="250">(AU26*pAsympt_LTFU_Int_LTFU_2004_2012)+(BN26*pInt_LTFU_2004_2012)</f>
        <v>0</v>
      </c>
      <c r="BO27" s="219">
        <f t="shared" ref="BO27:BO34" si="251">(AY26*pInt_ART1_Int_LTFU_2004_2012)+(BO26*pInt_LTFU_2004_2012)</f>
        <v>0</v>
      </c>
      <c r="BP27" s="219">
        <v>0</v>
      </c>
      <c r="BQ27" s="219">
        <f t="shared" ref="BQ27:BQ34" si="252">(BD26*pAIDS_InCare_AIDS_LTFU_2004_2012)+(BQ26*pAIDS_LTFU_2004_2012)</f>
        <v>0</v>
      </c>
      <c r="BR27" s="220">
        <f>(BN26*pInt_LTFU_AIDS_LTFU_2004_2012)</f>
        <v>0</v>
      </c>
      <c r="BS27" s="219">
        <f>(BM26*pInt_LTFU_AIDS_LTFU_2004_2012)</f>
        <v>0</v>
      </c>
      <c r="BT27" s="219">
        <f>(BE26*pAIDS_ART1ear_AIDS_LTFU_2004_2012)</f>
        <v>0</v>
      </c>
      <c r="BU27" s="219">
        <f>(BF26*pAIDS_ART1late_AIDS_LTFU_2004_2012)</f>
        <v>0</v>
      </c>
      <c r="BV27" s="219">
        <f>(BO26*pInt_LTFU_AIDS_LTFU_2004_2012)</f>
        <v>0</v>
      </c>
      <c r="BW27" s="219">
        <f>(BG26*pAIDS_ART2_AIDS_LTFU_2004_2012)</f>
        <v>0</v>
      </c>
      <c r="BX27" s="220">
        <f>(BP26*pInt_LTFU_AIDS_LTFU_2004_2012)</f>
        <v>0</v>
      </c>
      <c r="BY27" s="195"/>
      <c r="BZ27" s="192">
        <v>1</v>
      </c>
      <c r="CA27" s="66">
        <v>2005</v>
      </c>
      <c r="CB27" s="218">
        <f>pAsympt_NoCare_Asympt_Dead_2004_2006*AS26</f>
        <v>0</v>
      </c>
      <c r="CC27" s="218">
        <f t="shared" ref="CC27:CC34" si="253">pAsympt_InCare_Asympt_Dead_2004_2012*AT26</f>
        <v>0</v>
      </c>
      <c r="CD27" s="73">
        <f t="shared" ref="CD27:CD34" si="254">pAsympt_LTFU_Asympt_Dead_2004_2012*AU26</f>
        <v>0</v>
      </c>
      <c r="CE27" s="73">
        <f>pInt_NoCare_Int_Dead_2004_2006*AW26</f>
        <v>0</v>
      </c>
      <c r="CF27" s="73">
        <f t="shared" ref="CF27:CF34" si="255">pInt_InCare_Int_Dead_2004_2012*AX26</f>
        <v>0</v>
      </c>
      <c r="CG27" s="73">
        <f t="shared" ref="CG27:CG34" si="256">pInt_ART1_Int_Dead_2004_2012*AY26</f>
        <v>0</v>
      </c>
      <c r="CH27" s="73">
        <f t="shared" ref="CH27:CH34" si="257">pInt_ART2_Int_Dead_2004_2012*AZ26</f>
        <v>0</v>
      </c>
      <c r="CI27" s="73">
        <f t="shared" ref="CI27:CI34" si="258">(BM26*pInt_LTFU_Int_Dead_2004_2012)</f>
        <v>0</v>
      </c>
      <c r="CJ27" s="73">
        <f t="shared" ref="CJ27:CJ34" si="259">(BN26*pInt_LTFU_Int_Dead_2004_2012)</f>
        <v>0</v>
      </c>
      <c r="CK27" s="73">
        <f t="shared" ref="CK27:CK34" si="260">(BO26*pInt_LTFU_Int_Dead_2004_2012)</f>
        <v>0</v>
      </c>
      <c r="CL27" s="73">
        <f t="shared" ref="CL27:CL34" si="261">(BP26*pInt_LTFU_Int_Dead_2004_2012)</f>
        <v>0</v>
      </c>
      <c r="CM27" s="73">
        <f t="shared" ref="CM27:CM28" si="262">pAIDS_NoCare_AIDS_Dead_2004_2006*BC26</f>
        <v>0</v>
      </c>
      <c r="CN27" s="73">
        <f t="shared" ref="CN27:CN34" si="263">pAIDS_InCare_AIDS_Dead_2004_2012*BD26</f>
        <v>0</v>
      </c>
      <c r="CO27" s="73">
        <f t="shared" ref="CO27:CO34" si="264">pAIDS_ART1ear_AIDS_Dead_2004_2012*BE26</f>
        <v>0</v>
      </c>
      <c r="CP27" s="73">
        <f t="shared" ref="CP27:CP34" si="265">pAIDS_ART1late_AIDS_Dead_2004_2012*BF26</f>
        <v>0</v>
      </c>
      <c r="CQ27" s="73">
        <f t="shared" ref="CQ27:CQ34" si="266">pAIDS_ART2_AIDS_Dead_2004_2012*BG26</f>
        <v>0</v>
      </c>
      <c r="CR27" s="73">
        <f t="shared" ref="CR27:CR34" si="267">(BQ26*pAIDS_LTFU_AIDS_Dead_2004_2012)</f>
        <v>0</v>
      </c>
      <c r="CS27" s="73">
        <f t="shared" ref="CS27:CS34" si="268">(BR26*pAIDS_LTFU_AIDS_Dead_2004_2012)</f>
        <v>0</v>
      </c>
      <c r="CT27" s="73">
        <f t="shared" ref="CT27:CT34" si="269">(BS26*pAIDS_LTFU_AIDS_Dead_2004_2012)</f>
        <v>0</v>
      </c>
      <c r="CU27" s="73">
        <f t="shared" ref="CU27:CU34" si="270">(BT26*pAIDS_LTFU_AIDS_Dead_2004_2012)</f>
        <v>0</v>
      </c>
      <c r="CV27" s="73">
        <f t="shared" ref="CV27:CV34" si="271">(BU26*pAIDS_LTFU_AIDS_Dead_2004_2012)</f>
        <v>0</v>
      </c>
      <c r="CW27" s="73">
        <f t="shared" ref="CW27:CW34" si="272">(BV26*pAIDS_LTFU_AIDS_Dead_2004_2012)</f>
        <v>0</v>
      </c>
      <c r="CX27" s="73">
        <f t="shared" ref="CX27:CX34" si="273">(BW26*pAIDS_LTFU_AIDS_Dead_2004_2012)</f>
        <v>0</v>
      </c>
      <c r="CY27" s="73">
        <f t="shared" ref="CY27:CY34" si="274">(BX26*pAIDS_LTFU_AIDS_Dead_2004_2012)</f>
        <v>0</v>
      </c>
      <c r="CZ27" s="190"/>
      <c r="DA27" s="67">
        <v>2005</v>
      </c>
      <c r="DB27" s="218">
        <f t="shared" si="242"/>
        <v>0</v>
      </c>
      <c r="DC27" s="218">
        <f t="shared" si="243"/>
        <v>10964.36</v>
      </c>
      <c r="DD27" s="73">
        <f t="shared" si="244"/>
        <v>0</v>
      </c>
      <c r="DE27" s="73">
        <f t="shared" si="245"/>
        <v>0</v>
      </c>
      <c r="DF27" s="73">
        <f t="shared" si="246"/>
        <v>0</v>
      </c>
      <c r="DG27" s="73">
        <f t="shared" si="247"/>
        <v>0</v>
      </c>
      <c r="DH27" s="72" t="e">
        <f t="shared" ref="DH27:DH45" si="275">DD27/(DD27+DG27)</f>
        <v>#DIV/0!</v>
      </c>
      <c r="DI27" s="72" t="e">
        <f t="shared" ref="DI27:DI45" si="276">DE27/(DE27+DF27)</f>
        <v>#DIV/0!</v>
      </c>
      <c r="DJ27" s="73">
        <f>SUM(AV26:AV27,BB26:BB27,BI26:BI27)</f>
        <v>0</v>
      </c>
      <c r="DK27" s="73">
        <v>0</v>
      </c>
      <c r="DL27" s="190"/>
    </row>
    <row r="28" spans="1:116" x14ac:dyDescent="0.25">
      <c r="A28" s="190"/>
      <c r="B28" s="68">
        <v>2005</v>
      </c>
      <c r="C28" s="185" t="s">
        <v>318</v>
      </c>
      <c r="D28" s="169">
        <v>0</v>
      </c>
      <c r="E28" s="169">
        <v>0</v>
      </c>
      <c r="F28" s="172">
        <f>pAsympt_LTFU_2004_2012</f>
        <v>0.66061495558694538</v>
      </c>
      <c r="G28" s="170">
        <f>pAsympt_LTFU_Asympt_Dead_2004_2012</f>
        <v>1.818504441305463E-2</v>
      </c>
      <c r="H28" s="169">
        <v>0</v>
      </c>
      <c r="I28" s="169">
        <v>0</v>
      </c>
      <c r="J28" s="171">
        <f>pAsympt_LTFU_Int_ART1_2004_2012</f>
        <v>0.1212</v>
      </c>
      <c r="K28" s="169">
        <v>0</v>
      </c>
      <c r="L28" s="170">
        <f>pAsympt_LTFU_Int_LTFU_2004_2012</f>
        <v>0.2</v>
      </c>
      <c r="M28" s="169">
        <v>0</v>
      </c>
      <c r="N28" s="169">
        <v>0</v>
      </c>
      <c r="O28" s="169">
        <v>0</v>
      </c>
      <c r="P28" s="169">
        <v>0</v>
      </c>
      <c r="Q28" s="169">
        <v>0</v>
      </c>
      <c r="R28" s="169">
        <v>0</v>
      </c>
      <c r="S28" s="169">
        <v>0</v>
      </c>
      <c r="T28" s="169">
        <v>0</v>
      </c>
      <c r="U28" s="61">
        <f t="shared" si="248"/>
        <v>1</v>
      </c>
      <c r="V28" s="190"/>
      <c r="W28" s="66">
        <v>2</v>
      </c>
      <c r="X28" s="66">
        <v>2006</v>
      </c>
      <c r="Y28" s="70">
        <f>MMULT($Y27:$AO27,D$48:D$64)</f>
        <v>0.66919415315145225</v>
      </c>
      <c r="Z28" s="70">
        <f t="shared" ref="Z28" si="277">MMULT($Y27:$AO27,E$48:E$64)</f>
        <v>5.6310401217746525E-2</v>
      </c>
      <c r="AA28" s="70">
        <f t="shared" ref="AA28" si="278">MMULT($Y27:$AO27,F$48:F$64)</f>
        <v>0</v>
      </c>
      <c r="AB28" s="70">
        <f t="shared" ref="AB28" si="279">MMULT($Y27:$AO27,G$48:G$64)</f>
        <v>1.818504441305463E-2</v>
      </c>
      <c r="AC28" s="70">
        <f t="shared" ref="AC28" si="280">MMULT($Y27:$AO27,H$48:H$64)</f>
        <v>0.2</v>
      </c>
      <c r="AD28" s="70">
        <f t="shared" ref="AD28" si="281">MMULT($Y27:$AO27,I$48:I$64)</f>
        <v>5.6310401217746525E-2</v>
      </c>
      <c r="AE28" s="70">
        <f t="shared" ref="AE28" si="282">MMULT($Y27:$AO27,J$48:J$64)</f>
        <v>0</v>
      </c>
      <c r="AF28" s="70">
        <f t="shared" ref="AF28" si="283">MMULT($Y27:$AO27,K$48:K$64)</f>
        <v>0</v>
      </c>
      <c r="AG28" s="70">
        <f t="shared" ref="AG28" si="284">MMULT($Y27:$AO27,L$48:L$64)</f>
        <v>0</v>
      </c>
      <c r="AH28" s="70">
        <f t="shared" ref="AH28" si="285">MMULT($Y27:$AO27,M$48:M$64)</f>
        <v>0</v>
      </c>
      <c r="AI28" s="70">
        <f t="shared" ref="AI28" si="286">MMULT($Y27:$AO27,N$48:N$64)</f>
        <v>0</v>
      </c>
      <c r="AJ28" s="70">
        <f t="shared" ref="AJ28" si="287">MMULT($Y27:$AO27,O$48:O$64)</f>
        <v>0</v>
      </c>
      <c r="AK28" s="70">
        <f t="shared" ref="AK28" si="288">MMULT($Y27:$AO27,P$48:P$64)</f>
        <v>0</v>
      </c>
      <c r="AL28" s="70">
        <f t="shared" ref="AL28" si="289">MMULT($Y27:$AO27,Q$48:Q$64)</f>
        <v>0</v>
      </c>
      <c r="AM28" s="70">
        <f t="shared" ref="AM28" si="290">MMULT($Y27:$AO27,R$48:R$64)</f>
        <v>0</v>
      </c>
      <c r="AN28" s="70">
        <f t="shared" ref="AN28" si="291">MMULT($Y27:$AO27,S$48:S$64)</f>
        <v>0</v>
      </c>
      <c r="AO28" s="70">
        <f t="shared" ref="AO28" si="292">MMULT($Y27:$AO27,T$48:T$64)</f>
        <v>0</v>
      </c>
      <c r="AP28" s="190"/>
      <c r="AQ28" s="66">
        <v>2</v>
      </c>
      <c r="AR28" s="66">
        <v>2006</v>
      </c>
      <c r="AS28" s="215">
        <f t="shared" si="225"/>
        <v>7337.2856050476576</v>
      </c>
      <c r="AT28" s="215">
        <f t="shared" si="226"/>
        <v>617.40751069581131</v>
      </c>
      <c r="AU28" s="215">
        <f t="shared" si="227"/>
        <v>0</v>
      </c>
      <c r="AV28" s="215">
        <f t="shared" si="228"/>
        <v>199.38737356071968</v>
      </c>
      <c r="AW28" s="215">
        <f t="shared" si="229"/>
        <v>2192.8720000000003</v>
      </c>
      <c r="AX28" s="215">
        <f t="shared" si="230"/>
        <v>617.40751069581131</v>
      </c>
      <c r="AY28" s="215">
        <f t="shared" si="231"/>
        <v>0</v>
      </c>
      <c r="AZ28" s="215">
        <f t="shared" si="232"/>
        <v>0</v>
      </c>
      <c r="BA28" s="215">
        <f t="shared" si="233"/>
        <v>0</v>
      </c>
      <c r="BB28" s="215">
        <f t="shared" si="234"/>
        <v>0</v>
      </c>
      <c r="BC28" s="215">
        <f t="shared" si="235"/>
        <v>0</v>
      </c>
      <c r="BD28" s="215">
        <f t="shared" si="236"/>
        <v>0</v>
      </c>
      <c r="BE28" s="215">
        <f t="shared" si="237"/>
        <v>0</v>
      </c>
      <c r="BF28" s="215">
        <f t="shared" si="238"/>
        <v>0</v>
      </c>
      <c r="BG28" s="215">
        <f t="shared" si="239"/>
        <v>0</v>
      </c>
      <c r="BH28" s="215">
        <f t="shared" si="240"/>
        <v>0</v>
      </c>
      <c r="BI28" s="215">
        <f t="shared" si="241"/>
        <v>0</v>
      </c>
      <c r="BJ28" s="194"/>
      <c r="BK28" s="66">
        <v>2</v>
      </c>
      <c r="BL28" s="66">
        <v>2006</v>
      </c>
      <c r="BM28" s="215">
        <f t="shared" si="249"/>
        <v>0</v>
      </c>
      <c r="BN28" s="219">
        <f t="shared" si="250"/>
        <v>0</v>
      </c>
      <c r="BO28" s="219">
        <f t="shared" si="251"/>
        <v>0</v>
      </c>
      <c r="BP28" s="219">
        <f t="shared" ref="BP28:BP34" si="293">(AZ27*pInt_ART2_Int_LTFU_2004_2012)+(BP27*pInt_LTFU_2004_2012)</f>
        <v>0</v>
      </c>
      <c r="BQ28" s="219">
        <f t="shared" si="252"/>
        <v>0</v>
      </c>
      <c r="BR28" s="220">
        <f t="shared" ref="BR28:BR34" si="294">(BN27*pInt_LTFU_AIDS_LTFU_2004_2012)+(BR27*pAIDS_LTFU_2004_2012)</f>
        <v>0</v>
      </c>
      <c r="BS28" s="219">
        <f t="shared" ref="BS28:BS34" si="295">(BM27*pInt_LTFU_AIDS_LTFU_2004_2012)+(BS27*pAIDS_LTFU_2004_2012)</f>
        <v>0</v>
      </c>
      <c r="BT28" s="219">
        <f t="shared" ref="BT28:BT34" si="296">(BE27*pAIDS_ART1ear_AIDS_LTFU_2004_2012)+(BT27*pAIDS_LTFU_2004_2012)</f>
        <v>0</v>
      </c>
      <c r="BU28" s="219">
        <f t="shared" ref="BU28:BU34" si="297">(BF27*pAIDS_ART1late_AIDS_LTFU_2004_2012)+(BU27*pAIDS_LTFU_2004_2012)</f>
        <v>0</v>
      </c>
      <c r="BV28" s="219">
        <f t="shared" ref="BV28:BV34" si="298">(BO27*pInt_LTFU_AIDS_LTFU_2004_2012)+(BV27*pAIDS_LTFU_2004_2012)</f>
        <v>0</v>
      </c>
      <c r="BW28" s="219">
        <f t="shared" ref="BW28:BW34" si="299">(BG27*pAIDS_ART2_AIDS_LTFU_2004_2012)+(BW27*pAIDS_LTFU_2004_2012)</f>
        <v>0</v>
      </c>
      <c r="BX28" s="220">
        <f t="shared" ref="BX28:BX34" si="300">(BP27*pInt_LTFU_AIDS_LTFU_2004_2012)+(BX27*pAIDS_LTFU_2004_2012)</f>
        <v>0</v>
      </c>
      <c r="BY28" s="195"/>
      <c r="BZ28" s="192">
        <v>2</v>
      </c>
      <c r="CA28" s="66">
        <v>2006</v>
      </c>
      <c r="CB28" s="218">
        <f>pAsympt_NoCare_Asympt_Dead_2004_2006*AS27</f>
        <v>199.38737356071968</v>
      </c>
      <c r="CC28" s="218">
        <f t="shared" si="253"/>
        <v>0</v>
      </c>
      <c r="CD28" s="73">
        <f t="shared" si="254"/>
        <v>0</v>
      </c>
      <c r="CE28" s="73">
        <f>pInt_NoCare_Int_Dead_2004_2006*AW27</f>
        <v>0</v>
      </c>
      <c r="CF28" s="73">
        <f t="shared" si="255"/>
        <v>0</v>
      </c>
      <c r="CG28" s="73">
        <f t="shared" si="256"/>
        <v>0</v>
      </c>
      <c r="CH28" s="73">
        <f t="shared" si="257"/>
        <v>0</v>
      </c>
      <c r="CI28" s="73">
        <f t="shared" si="258"/>
        <v>0</v>
      </c>
      <c r="CJ28" s="73">
        <f t="shared" si="259"/>
        <v>0</v>
      </c>
      <c r="CK28" s="73">
        <f t="shared" si="260"/>
        <v>0</v>
      </c>
      <c r="CL28" s="73">
        <f t="shared" si="261"/>
        <v>0</v>
      </c>
      <c r="CM28" s="73">
        <f t="shared" si="262"/>
        <v>0</v>
      </c>
      <c r="CN28" s="73">
        <f t="shared" si="263"/>
        <v>0</v>
      </c>
      <c r="CO28" s="73">
        <f t="shared" si="264"/>
        <v>0</v>
      </c>
      <c r="CP28" s="73">
        <f t="shared" si="265"/>
        <v>0</v>
      </c>
      <c r="CQ28" s="73">
        <f t="shared" si="266"/>
        <v>0</v>
      </c>
      <c r="CR28" s="73">
        <f t="shared" si="267"/>
        <v>0</v>
      </c>
      <c r="CS28" s="73">
        <f t="shared" si="268"/>
        <v>0</v>
      </c>
      <c r="CT28" s="73">
        <f t="shared" si="269"/>
        <v>0</v>
      </c>
      <c r="CU28" s="73">
        <f t="shared" si="270"/>
        <v>0</v>
      </c>
      <c r="CV28" s="73">
        <f t="shared" si="271"/>
        <v>0</v>
      </c>
      <c r="CW28" s="73">
        <f t="shared" si="272"/>
        <v>0</v>
      </c>
      <c r="CX28" s="73">
        <f t="shared" si="273"/>
        <v>0</v>
      </c>
      <c r="CY28" s="73">
        <f t="shared" si="274"/>
        <v>0</v>
      </c>
      <c r="CZ28" s="190"/>
      <c r="DA28" s="66">
        <v>2006</v>
      </c>
      <c r="DB28" s="218">
        <f t="shared" si="242"/>
        <v>1234.8150213916226</v>
      </c>
      <c r="DC28" s="218">
        <f t="shared" si="243"/>
        <v>10764.972626439281</v>
      </c>
      <c r="DD28" s="73">
        <f t="shared" si="244"/>
        <v>0</v>
      </c>
      <c r="DE28" s="73">
        <f t="shared" si="245"/>
        <v>0</v>
      </c>
      <c r="DF28" s="73">
        <f t="shared" si="246"/>
        <v>0</v>
      </c>
      <c r="DG28" s="73">
        <f t="shared" si="247"/>
        <v>2810.2795106958115</v>
      </c>
      <c r="DH28" s="72">
        <f t="shared" si="275"/>
        <v>0</v>
      </c>
      <c r="DI28" s="72" t="e">
        <f t="shared" si="276"/>
        <v>#DIV/0!</v>
      </c>
      <c r="DJ28" s="73">
        <f>SUM(AV26:AV28,BB26:BB28,BI26:BI28)</f>
        <v>199.38737356071968</v>
      </c>
      <c r="DK28" s="73">
        <v>0</v>
      </c>
      <c r="DL28" s="190"/>
    </row>
    <row r="29" spans="1:116" x14ac:dyDescent="0.25">
      <c r="A29" s="190"/>
      <c r="B29" s="68">
        <v>2005</v>
      </c>
      <c r="C29" s="185" t="s">
        <v>317</v>
      </c>
      <c r="D29" s="169">
        <v>0</v>
      </c>
      <c r="E29" s="169">
        <v>0</v>
      </c>
      <c r="F29" s="169">
        <v>0</v>
      </c>
      <c r="G29" s="169">
        <v>0</v>
      </c>
      <c r="H29" s="169">
        <v>0</v>
      </c>
      <c r="I29" s="169">
        <v>0</v>
      </c>
      <c r="J29" s="169">
        <v>0</v>
      </c>
      <c r="K29" s="169">
        <v>0</v>
      </c>
      <c r="L29" s="169">
        <v>0</v>
      </c>
      <c r="M29" s="169">
        <v>0</v>
      </c>
      <c r="N29" s="169">
        <v>0</v>
      </c>
      <c r="O29" s="169">
        <v>0</v>
      </c>
      <c r="P29" s="169">
        <v>0</v>
      </c>
      <c r="Q29" s="169">
        <v>0</v>
      </c>
      <c r="R29" s="169">
        <v>0</v>
      </c>
      <c r="S29" s="169">
        <v>0</v>
      </c>
      <c r="T29" s="169">
        <v>0</v>
      </c>
      <c r="U29" s="61">
        <f t="shared" si="248"/>
        <v>0</v>
      </c>
      <c r="V29" s="190"/>
      <c r="W29" s="66">
        <v>3</v>
      </c>
      <c r="X29" s="66">
        <v>2007</v>
      </c>
      <c r="Y29" s="70">
        <f>MMULT($Y28:$AO28,D$70:D$86)</f>
        <v>0.42410854389045621</v>
      </c>
      <c r="Z29" s="70">
        <f t="shared" ref="Z29" si="301">MMULT($Y28:$AO28,E$70:E$86)</f>
        <v>7.4210656030691213E-2</v>
      </c>
      <c r="AA29" s="70">
        <f t="shared" ref="AA29" si="302">MMULT($Y28:$AO28,F$70:F$86)</f>
        <v>1.727576667005511E-2</v>
      </c>
      <c r="AB29" s="70">
        <f t="shared" ref="AB29" si="303">MMULT($Y28:$AO28,G$70:G$86)</f>
        <v>1.3130155040537165E-2</v>
      </c>
      <c r="AC29" s="70">
        <f t="shared" ref="AC29" si="304">MMULT($Y28:$AO28,H$70:H$86)</f>
        <v>0.2287798245371413</v>
      </c>
      <c r="AD29" s="70">
        <f t="shared" ref="AD29" si="305">MMULT($Y28:$AO28,I$70:I$86)</f>
        <v>9.5963788073568368E-2</v>
      </c>
      <c r="AE29" s="70">
        <f t="shared" ref="AE29" si="306">MMULT($Y28:$AO28,J$70:J$86)</f>
        <v>9.373227066794533E-3</v>
      </c>
      <c r="AF29" s="70">
        <f t="shared" ref="AF29" si="307">MMULT($Y28:$AO28,K$70:K$86)</f>
        <v>0</v>
      </c>
      <c r="AG29" s="70">
        <f t="shared" ref="AG29" si="308">MMULT($Y28:$AO28,L$70:L$86)</f>
        <v>1.0276365548570454E-2</v>
      </c>
      <c r="AH29" s="70">
        <f t="shared" ref="AH29" si="309">MMULT($Y28:$AO28,M$70:M$86)</f>
        <v>7.0512333449891315E-3</v>
      </c>
      <c r="AI29" s="70">
        <f t="shared" ref="AI29" si="310">MMULT($Y28:$AO28,N$70:N$86)</f>
        <v>0.06</v>
      </c>
      <c r="AJ29" s="70">
        <f t="shared" ref="AJ29" si="311">MMULT($Y28:$AO28,O$70:O$86)</f>
        <v>3.6633769675762422E-2</v>
      </c>
      <c r="AK29" s="70">
        <f t="shared" ref="AK29" si="312">MMULT($Y28:$AO28,P$70:P$86)</f>
        <v>5.0116257083794406E-3</v>
      </c>
      <c r="AL29" s="70">
        <f t="shared" ref="AL29" si="313">MMULT($Y28:$AO28,Q$70:Q$86)</f>
        <v>0</v>
      </c>
      <c r="AM29" s="70">
        <f t="shared" ref="AM29" si="314">MMULT($Y28:$AO28,R$70:R$86)</f>
        <v>0</v>
      </c>
      <c r="AN29" s="70">
        <f t="shared" ref="AN29" si="315">MMULT($Y28:$AO28,S$70:S$86)</f>
        <v>0</v>
      </c>
      <c r="AO29" s="70">
        <f t="shared" ref="AO29" si="316">MMULT($Y28:$AO28,T$70:T$86)</f>
        <v>0</v>
      </c>
      <c r="AP29" s="190"/>
      <c r="AQ29" s="66">
        <v>3</v>
      </c>
      <c r="AR29" s="66">
        <v>2007</v>
      </c>
      <c r="AS29" s="215">
        <f t="shared" si="225"/>
        <v>4650.0787542907628</v>
      </c>
      <c r="AT29" s="215">
        <f t="shared" si="226"/>
        <v>813.67234855666959</v>
      </c>
      <c r="AU29" s="215">
        <f t="shared" si="227"/>
        <v>189.41772504648546</v>
      </c>
      <c r="AV29" s="215">
        <f t="shared" si="228"/>
        <v>143.96374672026408</v>
      </c>
      <c r="AW29" s="215">
        <f t="shared" si="229"/>
        <v>2508.4243569620508</v>
      </c>
      <c r="AX29" s="215">
        <f t="shared" si="230"/>
        <v>1052.1815194023102</v>
      </c>
      <c r="AY29" s="215">
        <f t="shared" si="231"/>
        <v>102.77143592207931</v>
      </c>
      <c r="AZ29" s="215">
        <f t="shared" si="232"/>
        <v>0</v>
      </c>
      <c r="BA29" s="215">
        <f t="shared" si="233"/>
        <v>112.67377136612394</v>
      </c>
      <c r="BB29" s="215">
        <f t="shared" si="234"/>
        <v>77.312260838465036</v>
      </c>
      <c r="BC29" s="215">
        <f t="shared" si="235"/>
        <v>657.86160000000007</v>
      </c>
      <c r="BD29" s="215">
        <f t="shared" si="236"/>
        <v>401.66583888214251</v>
      </c>
      <c r="BE29" s="215">
        <f t="shared" si="237"/>
        <v>54.949268451927203</v>
      </c>
      <c r="BF29" s="215">
        <f t="shared" si="238"/>
        <v>0</v>
      </c>
      <c r="BG29" s="215">
        <f t="shared" si="239"/>
        <v>0</v>
      </c>
      <c r="BH29" s="215">
        <f t="shared" si="240"/>
        <v>0</v>
      </c>
      <c r="BI29" s="215">
        <f t="shared" si="241"/>
        <v>0</v>
      </c>
      <c r="BJ29" s="194"/>
      <c r="BK29" s="66">
        <v>3</v>
      </c>
      <c r="BL29" s="66">
        <v>2007</v>
      </c>
      <c r="BM29" s="215">
        <f t="shared" si="249"/>
        <v>112.67377136612394</v>
      </c>
      <c r="BN29" s="219">
        <f t="shared" si="250"/>
        <v>0</v>
      </c>
      <c r="BO29" s="219">
        <f t="shared" si="251"/>
        <v>0</v>
      </c>
      <c r="BP29" s="219">
        <f t="shared" si="293"/>
        <v>0</v>
      </c>
      <c r="BQ29" s="219">
        <f t="shared" si="252"/>
        <v>0</v>
      </c>
      <c r="BR29" s="220">
        <f t="shared" si="294"/>
        <v>0</v>
      </c>
      <c r="BS29" s="219">
        <f t="shared" si="295"/>
        <v>0</v>
      </c>
      <c r="BT29" s="219">
        <f t="shared" si="296"/>
        <v>0</v>
      </c>
      <c r="BU29" s="219">
        <f t="shared" si="297"/>
        <v>0</v>
      </c>
      <c r="BV29" s="219">
        <f t="shared" si="298"/>
        <v>0</v>
      </c>
      <c r="BW29" s="219">
        <f t="shared" si="299"/>
        <v>0</v>
      </c>
      <c r="BX29" s="220">
        <f t="shared" si="300"/>
        <v>0</v>
      </c>
      <c r="BY29" s="195"/>
      <c r="BZ29" s="192">
        <v>3</v>
      </c>
      <c r="CA29" s="66">
        <v>2007</v>
      </c>
      <c r="CB29" s="218">
        <f>pAsympt_NoCare_Asympt_Dead_2007_2009*AS28</f>
        <v>133.42886459905807</v>
      </c>
      <c r="CC29" s="218">
        <f t="shared" si="253"/>
        <v>10.534882121206021</v>
      </c>
      <c r="CD29" s="73">
        <f t="shared" si="254"/>
        <v>0</v>
      </c>
      <c r="CE29" s="73">
        <f>pInt_NoCare_Int_Dead_2007_2009*AW28</f>
        <v>61.155992700682781</v>
      </c>
      <c r="CF29" s="73">
        <f t="shared" si="255"/>
        <v>16.156268137782259</v>
      </c>
      <c r="CG29" s="73">
        <f t="shared" si="256"/>
        <v>0</v>
      </c>
      <c r="CH29" s="73">
        <f t="shared" si="257"/>
        <v>0</v>
      </c>
      <c r="CI29" s="73">
        <f t="shared" si="258"/>
        <v>0</v>
      </c>
      <c r="CJ29" s="73">
        <f t="shared" si="259"/>
        <v>0</v>
      </c>
      <c r="CK29" s="73">
        <f t="shared" si="260"/>
        <v>0</v>
      </c>
      <c r="CL29" s="73">
        <f t="shared" si="261"/>
        <v>0</v>
      </c>
      <c r="CM29" s="73">
        <f>pAIDS_NoCare_AIDS_Dead_2007_2009*BC28</f>
        <v>0</v>
      </c>
      <c r="CN29" s="73">
        <f t="shared" si="263"/>
        <v>0</v>
      </c>
      <c r="CO29" s="73">
        <f t="shared" si="264"/>
        <v>0</v>
      </c>
      <c r="CP29" s="73">
        <f t="shared" si="265"/>
        <v>0</v>
      </c>
      <c r="CQ29" s="73">
        <f t="shared" si="266"/>
        <v>0</v>
      </c>
      <c r="CR29" s="73">
        <f t="shared" si="267"/>
        <v>0</v>
      </c>
      <c r="CS29" s="73">
        <f t="shared" si="268"/>
        <v>0</v>
      </c>
      <c r="CT29" s="73">
        <f t="shared" si="269"/>
        <v>0</v>
      </c>
      <c r="CU29" s="73">
        <f t="shared" si="270"/>
        <v>0</v>
      </c>
      <c r="CV29" s="73">
        <f t="shared" si="271"/>
        <v>0</v>
      </c>
      <c r="CW29" s="73">
        <f t="shared" si="272"/>
        <v>0</v>
      </c>
      <c r="CX29" s="73">
        <f t="shared" si="273"/>
        <v>0</v>
      </c>
      <c r="CY29" s="73">
        <f t="shared" si="274"/>
        <v>0</v>
      </c>
      <c r="CZ29" s="190"/>
      <c r="DA29" s="66">
        <v>2007</v>
      </c>
      <c r="DB29" s="218">
        <f t="shared" si="242"/>
        <v>2267.5197068411221</v>
      </c>
      <c r="DC29" s="218">
        <f t="shared" si="243"/>
        <v>10543.696618880551</v>
      </c>
      <c r="DD29" s="73">
        <f t="shared" si="244"/>
        <v>157.72070437400652</v>
      </c>
      <c r="DE29" s="73">
        <f t="shared" si="245"/>
        <v>54.949268451927203</v>
      </c>
      <c r="DF29" s="73">
        <f t="shared" si="246"/>
        <v>1059.5274388821426</v>
      </c>
      <c r="DG29" s="73">
        <f t="shared" si="247"/>
        <v>4732.8070866126272</v>
      </c>
      <c r="DH29" s="72">
        <f t="shared" si="275"/>
        <v>3.2250241919632841E-2</v>
      </c>
      <c r="DI29" s="72">
        <f t="shared" si="276"/>
        <v>4.9304994972367677E-2</v>
      </c>
      <c r="DJ29" s="73">
        <f>SUM(AV26:AV29,BB26:BB29,BI26:BI29)</f>
        <v>420.66338111944879</v>
      </c>
      <c r="DK29" s="218">
        <v>0</v>
      </c>
      <c r="DL29" s="190"/>
    </row>
    <row r="30" spans="1:116" x14ac:dyDescent="0.25">
      <c r="A30" s="190"/>
      <c r="B30" s="68">
        <v>2005</v>
      </c>
      <c r="C30" s="185" t="s">
        <v>321</v>
      </c>
      <c r="D30" s="169">
        <v>0</v>
      </c>
      <c r="E30" s="169">
        <v>0</v>
      </c>
      <c r="F30" s="169">
        <v>0</v>
      </c>
      <c r="G30" s="169">
        <v>0</v>
      </c>
      <c r="H30" s="172">
        <f>pInt_NoCare_2004_2006</f>
        <v>0.52195039272464816</v>
      </c>
      <c r="I30" s="172">
        <f>pInt_NoCare_Int_InCare_2004_2006</f>
        <v>7.5080534956995348E-2</v>
      </c>
      <c r="J30" s="170">
        <f>pInt_NoCare_Int_ART1_2004_2006</f>
        <v>0</v>
      </c>
      <c r="K30" s="169">
        <v>0</v>
      </c>
      <c r="L30" s="169">
        <v>0</v>
      </c>
      <c r="M30" s="170">
        <f>pInt_NoCare_Int_Dead_2004_2006</f>
        <v>2.7888537361361161E-2</v>
      </c>
      <c r="N30" s="170">
        <f>pInt_NoCare_AIDS_NoCare_2004_2006</f>
        <v>0.3</v>
      </c>
      <c r="O30" s="172">
        <f>pInt_NoCare_AIDS_InCare_2004_2006</f>
        <v>7.5080534956995348E-2</v>
      </c>
      <c r="P30" s="171">
        <f>pInt_NoCare_AIDS_ART1ear_2004_2006</f>
        <v>0</v>
      </c>
      <c r="Q30" s="169">
        <v>0</v>
      </c>
      <c r="R30" s="169">
        <v>0</v>
      </c>
      <c r="S30" s="169">
        <v>0</v>
      </c>
      <c r="T30" s="169">
        <v>0</v>
      </c>
      <c r="U30" s="61">
        <f t="shared" si="248"/>
        <v>1</v>
      </c>
      <c r="V30" s="190"/>
      <c r="W30" s="66">
        <v>4</v>
      </c>
      <c r="X30" s="66">
        <v>2008</v>
      </c>
      <c r="Y30" s="70">
        <f>MMULT($Y29:$AO29,D$92:D$108)</f>
        <v>0.26878306714699463</v>
      </c>
      <c r="Z30" s="70">
        <f t="shared" ref="Z30" si="317">MMULT($Y29:$AO29,E$92:E$108)</f>
        <v>6.3910443367303282E-2</v>
      </c>
      <c r="AA30" s="70">
        <f t="shared" ref="AA30" si="318">MMULT($Y29:$AO29,F$92:F$108)</f>
        <v>3.418011062174775E-2</v>
      </c>
      <c r="AB30" s="70">
        <f t="shared" ref="AB30" si="319">MMULT($Y29:$AO29,G$92:G$108)</f>
        <v>9.2928566579561691E-3</v>
      </c>
      <c r="AC30" s="70">
        <f t="shared" ref="AC30" si="320">MMULT($Y29:$AO29,H$92:H$108)</f>
        <v>0.19342462841504693</v>
      </c>
      <c r="AD30" s="70">
        <f t="shared" ref="AD30" si="321">MMULT($Y29:$AO29,I$92:I$108)</f>
        <v>9.5101739373423019E-2</v>
      </c>
      <c r="AE30" s="70">
        <f t="shared" ref="AE30" si="322">MMULT($Y29:$AO29,J$92:J$108)</f>
        <v>2.7803862266975166E-2</v>
      </c>
      <c r="AF30" s="70">
        <f t="shared" ref="AF30" si="323">MMULT($Y29:$AO29,K$92:K$108)</f>
        <v>1.63806275279398E-3</v>
      </c>
      <c r="AG30" s="70">
        <f t="shared" ref="AG30" si="324">MMULT($Y29:$AO29,L$92:L$108)</f>
        <v>2.5612462615994813E-2</v>
      </c>
      <c r="AH30" s="70">
        <f t="shared" ref="AH30" si="325">MMULT($Y29:$AO29,M$92:M$108)</f>
        <v>9.2255018700834173E-3</v>
      </c>
      <c r="AI30" s="70">
        <f t="shared" ref="AI30" si="326">MMULT($Y29:$AO29,N$92:N$108)</f>
        <v>7.2777396396605548E-2</v>
      </c>
      <c r="AJ30" s="70">
        <f t="shared" ref="AJ30" si="327">MMULT($Y29:$AO29,O$92:O$108)</f>
        <v>8.4466433464068624E-2</v>
      </c>
      <c r="AK30" s="70">
        <f t="shared" ref="AK30" si="328">MMULT($Y29:$AO29,P$92:P$108)</f>
        <v>2.7039092231197243E-2</v>
      </c>
      <c r="AL30" s="70">
        <f t="shared" ref="AL30" si="329">MMULT($Y29:$AO29,Q$92:Q$108)</f>
        <v>4.1119877036251192E-3</v>
      </c>
      <c r="AM30" s="70">
        <f t="shared" ref="AM30" si="330">MMULT($Y29:$AO29,R$92:R$108)</f>
        <v>0</v>
      </c>
      <c r="AN30" s="70">
        <f t="shared" ref="AN30" si="331">MMULT($Y29:$AO29,S$92:S$108)</f>
        <v>4.783425777027255E-3</v>
      </c>
      <c r="AO30" s="70">
        <f t="shared" ref="AO30" si="332">MMULT($Y29:$AO29,T$92:T$108)</f>
        <v>3.9482496540576076E-2</v>
      </c>
      <c r="AP30" s="190"/>
      <c r="AQ30" s="66">
        <v>4</v>
      </c>
      <c r="AR30" s="66">
        <v>2008</v>
      </c>
      <c r="AS30" s="215">
        <f t="shared" si="225"/>
        <v>2947.034310103822</v>
      </c>
      <c r="AT30" s="215">
        <f t="shared" si="226"/>
        <v>700.73710883872548</v>
      </c>
      <c r="AU30" s="215">
        <f t="shared" si="227"/>
        <v>374.76303769666617</v>
      </c>
      <c r="AV30" s="215">
        <f t="shared" si="228"/>
        <v>101.8902258262283</v>
      </c>
      <c r="AW30" s="215">
        <f t="shared" si="229"/>
        <v>2120.7772588088042</v>
      </c>
      <c r="AX30" s="215">
        <f t="shared" si="230"/>
        <v>1042.7297071163844</v>
      </c>
      <c r="AY30" s="215">
        <f t="shared" si="231"/>
        <v>304.85155528553184</v>
      </c>
      <c r="AZ30" s="215">
        <f t="shared" si="232"/>
        <v>17.960309724224203</v>
      </c>
      <c r="BA30" s="215">
        <f t="shared" si="233"/>
        <v>280.82426060830892</v>
      </c>
      <c r="BB30" s="215">
        <f t="shared" si="234"/>
        <v>101.15172368426782</v>
      </c>
      <c r="BC30" s="215">
        <f t="shared" si="235"/>
        <v>797.9575739550861</v>
      </c>
      <c r="BD30" s="215">
        <f t="shared" si="236"/>
        <v>926.12038441609548</v>
      </c>
      <c r="BE30" s="215">
        <f t="shared" si="237"/>
        <v>296.46634129604979</v>
      </c>
      <c r="BF30" s="215">
        <f t="shared" si="238"/>
        <v>45.085313498119113</v>
      </c>
      <c r="BG30" s="215">
        <f t="shared" si="239"/>
        <v>0</v>
      </c>
      <c r="BH30" s="215">
        <f t="shared" si="240"/>
        <v>52.447202252606559</v>
      </c>
      <c r="BI30" s="215">
        <f t="shared" si="241"/>
        <v>432.90030576963073</v>
      </c>
      <c r="BJ30" s="194"/>
      <c r="BK30" s="66">
        <v>4</v>
      </c>
      <c r="BL30" s="66">
        <v>2008</v>
      </c>
      <c r="BM30" s="215">
        <f t="shared" si="249"/>
        <v>241.46229452057679</v>
      </c>
      <c r="BN30" s="219">
        <f t="shared" si="250"/>
        <v>37.883545009297094</v>
      </c>
      <c r="BO30" s="219">
        <f t="shared" si="251"/>
        <v>1.4784210784350582</v>
      </c>
      <c r="BP30" s="219">
        <f t="shared" si="293"/>
        <v>0</v>
      </c>
      <c r="BQ30" s="219">
        <f t="shared" si="252"/>
        <v>23.620151212261749</v>
      </c>
      <c r="BR30" s="220">
        <f t="shared" si="294"/>
        <v>0</v>
      </c>
      <c r="BS30" s="219">
        <f t="shared" si="295"/>
        <v>27.084867954654566</v>
      </c>
      <c r="BT30" s="219">
        <f t="shared" si="296"/>
        <v>1.7421830856902392</v>
      </c>
      <c r="BU30" s="219">
        <f t="shared" si="297"/>
        <v>0</v>
      </c>
      <c r="BV30" s="219">
        <f t="shared" si="298"/>
        <v>0</v>
      </c>
      <c r="BW30" s="219">
        <f t="shared" si="299"/>
        <v>0</v>
      </c>
      <c r="BX30" s="220">
        <f t="shared" si="300"/>
        <v>0</v>
      </c>
      <c r="BY30" s="195"/>
      <c r="BZ30" s="192">
        <v>4</v>
      </c>
      <c r="CA30" s="66">
        <v>2008</v>
      </c>
      <c r="CB30" s="218">
        <f>pAsympt_NoCare_Asympt_Dead_2007_2009*AS29</f>
        <v>84.561888670979272</v>
      </c>
      <c r="CC30" s="218">
        <f t="shared" si="253"/>
        <v>13.883767412658926</v>
      </c>
      <c r="CD30" s="73">
        <f t="shared" si="254"/>
        <v>3.4445697425901085</v>
      </c>
      <c r="CE30" s="73">
        <f>pInt_NoCare_Int_Dead_2007_2009*AW29</f>
        <v>69.956286397284501</v>
      </c>
      <c r="CF30" s="73">
        <f t="shared" si="255"/>
        <v>27.533398059775497</v>
      </c>
      <c r="CG30" s="73">
        <f t="shared" si="256"/>
        <v>0.51973254481821407</v>
      </c>
      <c r="CH30" s="73">
        <f t="shared" si="257"/>
        <v>0</v>
      </c>
      <c r="CI30" s="73">
        <f t="shared" si="258"/>
        <v>3.1423066823896129</v>
      </c>
      <c r="CJ30" s="73">
        <f t="shared" si="259"/>
        <v>0</v>
      </c>
      <c r="CK30" s="73">
        <f t="shared" si="260"/>
        <v>0</v>
      </c>
      <c r="CL30" s="73">
        <f t="shared" si="261"/>
        <v>0</v>
      </c>
      <c r="CM30" s="73">
        <f>pAIDS_NoCare_AIDS_Dead_2007_2009*BC29</f>
        <v>270.06188256349486</v>
      </c>
      <c r="CN30" s="73">
        <f t="shared" si="263"/>
        <v>154.71665133801804</v>
      </c>
      <c r="CO30" s="73">
        <f t="shared" si="264"/>
        <v>8.1217718681178557</v>
      </c>
      <c r="CP30" s="73">
        <f t="shared" si="265"/>
        <v>0</v>
      </c>
      <c r="CQ30" s="73">
        <f t="shared" si="266"/>
        <v>0</v>
      </c>
      <c r="CR30" s="73">
        <f t="shared" si="267"/>
        <v>0</v>
      </c>
      <c r="CS30" s="73">
        <f t="shared" si="268"/>
        <v>0</v>
      </c>
      <c r="CT30" s="73">
        <f t="shared" si="269"/>
        <v>0</v>
      </c>
      <c r="CU30" s="73">
        <f t="shared" si="270"/>
        <v>0</v>
      </c>
      <c r="CV30" s="73">
        <f t="shared" si="271"/>
        <v>0</v>
      </c>
      <c r="CW30" s="73">
        <f t="shared" si="272"/>
        <v>0</v>
      </c>
      <c r="CX30" s="73">
        <f t="shared" si="273"/>
        <v>0</v>
      </c>
      <c r="CY30" s="73">
        <f t="shared" si="274"/>
        <v>0</v>
      </c>
      <c r="CZ30" s="190"/>
      <c r="DA30" s="66">
        <v>2008</v>
      </c>
      <c r="DB30" s="218">
        <f t="shared" si="242"/>
        <v>2669.5872003712052</v>
      </c>
      <c r="DC30" s="218">
        <f t="shared" si="243"/>
        <v>9907.7543636004211</v>
      </c>
      <c r="DD30" s="73">
        <f t="shared" si="244"/>
        <v>664.36351980392499</v>
      </c>
      <c r="DE30" s="73">
        <f t="shared" si="245"/>
        <v>341.55165479416888</v>
      </c>
      <c r="DF30" s="73">
        <f t="shared" si="246"/>
        <v>1776.525160623788</v>
      </c>
      <c r="DG30" s="73">
        <f t="shared" si="247"/>
        <v>5220.8563871572851</v>
      </c>
      <c r="DH30" s="72">
        <f t="shared" si="275"/>
        <v>0.11288677913600076</v>
      </c>
      <c r="DI30" s="72">
        <f t="shared" si="276"/>
        <v>0.16125555612900236</v>
      </c>
      <c r="DJ30" s="73">
        <f>SUM(AV26:AV30,BB26:BB30,BI26:BI30)</f>
        <v>1056.6056363995756</v>
      </c>
      <c r="DK30" s="218">
        <v>0</v>
      </c>
      <c r="DL30" s="190"/>
    </row>
    <row r="31" spans="1:116" x14ac:dyDescent="0.25">
      <c r="A31" s="190"/>
      <c r="B31" s="68">
        <v>2005</v>
      </c>
      <c r="C31" s="185" t="s">
        <v>322</v>
      </c>
      <c r="D31" s="169">
        <v>0</v>
      </c>
      <c r="E31" s="169">
        <v>0</v>
      </c>
      <c r="F31" s="169">
        <v>0</v>
      </c>
      <c r="G31" s="169">
        <v>0</v>
      </c>
      <c r="H31" s="169">
        <v>0</v>
      </c>
      <c r="I31" s="172">
        <f>pInt_InCare_2004_2012</f>
        <v>0.27388069643828394</v>
      </c>
      <c r="J31" s="172">
        <f>pInt_InCare_Int_ART1_2004_2012</f>
        <v>0.12845640705966965</v>
      </c>
      <c r="K31" s="169">
        <v>0</v>
      </c>
      <c r="L31" s="170">
        <f>pInt_InCare_Int_LTFU_2004_2012</f>
        <v>0.18249498008072801</v>
      </c>
      <c r="M31" s="170">
        <f>pInt_InCare_Int_Dead_2004_2012</f>
        <v>2.6167916421318438E-2</v>
      </c>
      <c r="N31" s="169">
        <v>0</v>
      </c>
      <c r="O31" s="170">
        <f>pInt_InCare_AIDS_InCare_2004_2012</f>
        <v>0.3</v>
      </c>
      <c r="P31" s="170">
        <f>pInt_InCare_AIDS_ART1ear_2004_2012</f>
        <v>8.8999999999999996E-2</v>
      </c>
      <c r="Q31" s="169">
        <v>0</v>
      </c>
      <c r="R31" s="169">
        <v>0</v>
      </c>
      <c r="S31" s="169">
        <v>0</v>
      </c>
      <c r="T31" s="169">
        <v>0</v>
      </c>
      <c r="U31" s="61">
        <f t="shared" si="248"/>
        <v>1</v>
      </c>
      <c r="V31" s="190"/>
      <c r="W31" s="66">
        <v>5</v>
      </c>
      <c r="X31" s="66">
        <v>2009</v>
      </c>
      <c r="Y31" s="70">
        <f>MMULT($Y30:$AO30,D$114:D$130)</f>
        <v>0.17034397968555415</v>
      </c>
      <c r="Z31" s="70">
        <f t="shared" ref="Z31" si="333">MMULT($Y30:$AO30,E$114:E$130)</f>
        <v>4.7899145067231155E-2</v>
      </c>
      <c r="AA31" s="70">
        <f t="shared" ref="AA31" si="334">MMULT($Y30:$AO30,F$114:F$130)</f>
        <v>4.2187316173446399E-2</v>
      </c>
      <c r="AB31" s="70">
        <f t="shared" ref="AB31" si="335">MMULT($Y30:$AO30,G$114:G$130)</f>
        <v>6.5999087180432627E-3</v>
      </c>
      <c r="AC31" s="70">
        <f t="shared" ref="AC31" si="336">MMULT($Y30:$AO30,H$114:H$130)</f>
        <v>0.14557624576833822</v>
      </c>
      <c r="AD31" s="70">
        <f t="shared" ref="AD31" si="337">MMULT($Y30:$AO30,I$114:I$130)</f>
        <v>7.7817579082510691E-2</v>
      </c>
      <c r="AE31" s="70">
        <f t="shared" ref="AE31" si="338">MMULT($Y30:$AO30,J$114:J$130)</f>
        <v>4.943169207418617E-2</v>
      </c>
      <c r="AF31" s="70">
        <f t="shared" ref="AF31" si="339">MMULT($Y30:$AO30,K$114:K$130)</f>
        <v>5.7273468949990778E-3</v>
      </c>
      <c r="AG31" s="70">
        <f t="shared" ref="AG31" si="340">MMULT($Y30:$AO30,L$114:L$130)</f>
        <v>3.5854625310511035E-2</v>
      </c>
      <c r="AH31" s="70">
        <f t="shared" ref="AH31" si="341">MMULT($Y30:$AO30,M$114:M$130)</f>
        <v>8.7461312618575503E-3</v>
      </c>
      <c r="AI31" s="70">
        <f t="shared" ref="AI31" si="342">MMULT($Y30:$AO30,N$114:N$130)</f>
        <v>6.3053212406231338E-2</v>
      </c>
      <c r="AJ31" s="70">
        <f t="shared" ref="AJ31" si="343">MMULT($Y30:$AO30,O$114:O$130)</f>
        <v>9.21409654023196E-2</v>
      </c>
      <c r="AK31" s="70">
        <f t="shared" ref="AK31" si="344">MMULT($Y30:$AO30,P$114:P$130)</f>
        <v>4.965418759607932E-2</v>
      </c>
      <c r="AL31" s="70">
        <f t="shared" ref="AL31" si="345">MMULT($Y30:$AO30,Q$114:Q$130)</f>
        <v>2.6021179992602252E-2</v>
      </c>
      <c r="AM31" s="70">
        <f t="shared" ref="AM31" si="346">MMULT($Y30:$AO30,R$114:R$130)</f>
        <v>1.0437412359834972E-3</v>
      </c>
      <c r="AN31" s="70">
        <f t="shared" ref="AN31" si="347">MMULT($Y30:$AO30,S$114:S$130)</f>
        <v>1.3057766654986492E-2</v>
      </c>
      <c r="AO31" s="70">
        <f t="shared" ref="AO31" si="348">MMULT($Y30:$AO30,T$114:T$130)</f>
        <v>6.8477688807923154E-2</v>
      </c>
      <c r="AP31" s="190"/>
      <c r="AQ31" s="66">
        <v>5</v>
      </c>
      <c r="AR31" s="66">
        <v>2009</v>
      </c>
      <c r="AS31" s="215">
        <f t="shared" si="225"/>
        <v>1867.7127171051027</v>
      </c>
      <c r="AT31" s="215">
        <f t="shared" si="226"/>
        <v>525.18347020934664</v>
      </c>
      <c r="AU31" s="215">
        <f t="shared" si="227"/>
        <v>462.55692195948876</v>
      </c>
      <c r="AV31" s="215">
        <f t="shared" si="228"/>
        <v>72.363775151764827</v>
      </c>
      <c r="AW31" s="215">
        <f t="shared" si="229"/>
        <v>1596.1503660525368</v>
      </c>
      <c r="AX31" s="215">
        <f t="shared" si="230"/>
        <v>853.219951389117</v>
      </c>
      <c r="AY31" s="215">
        <f t="shared" si="231"/>
        <v>541.98686731052396</v>
      </c>
      <c r="AZ31" s="215">
        <f t="shared" si="232"/>
        <v>62.79669320165209</v>
      </c>
      <c r="BA31" s="215">
        <f t="shared" si="233"/>
        <v>393.1230195695548</v>
      </c>
      <c r="BB31" s="215">
        <f t="shared" si="234"/>
        <v>95.895731762260453</v>
      </c>
      <c r="BC31" s="215">
        <f t="shared" si="235"/>
        <v>691.33811997838666</v>
      </c>
      <c r="BD31" s="215">
        <f t="shared" si="236"/>
        <v>1010.266715418577</v>
      </c>
      <c r="BE31" s="215">
        <f t="shared" si="237"/>
        <v>544.42638831094825</v>
      </c>
      <c r="BF31" s="215">
        <f t="shared" si="238"/>
        <v>285.30558506368845</v>
      </c>
      <c r="BG31" s="215">
        <f t="shared" si="239"/>
        <v>11.443954658168018</v>
      </c>
      <c r="BH31" s="215">
        <f t="shared" si="240"/>
        <v>143.17005440126769</v>
      </c>
      <c r="BI31" s="215">
        <f t="shared" si="241"/>
        <v>750.81403205804031</v>
      </c>
      <c r="BJ31" s="194"/>
      <c r="BK31" s="66">
        <v>5</v>
      </c>
      <c r="BL31" s="66">
        <v>2009</v>
      </c>
      <c r="BM31" s="215">
        <f t="shared" si="249"/>
        <v>296.25344582011434</v>
      </c>
      <c r="BN31" s="219">
        <f t="shared" si="250"/>
        <v>91.576982405595942</v>
      </c>
      <c r="BO31" s="219">
        <f t="shared" si="251"/>
        <v>5.0342228562070215</v>
      </c>
      <c r="BP31" s="219">
        <f t="shared" si="293"/>
        <v>0.2583684876374352</v>
      </c>
      <c r="BQ31" s="219">
        <f t="shared" si="252"/>
        <v>59.557831388502628</v>
      </c>
      <c r="BR31" s="220">
        <f t="shared" si="294"/>
        <v>9.1065631494386921</v>
      </c>
      <c r="BS31" s="219">
        <f t="shared" si="295"/>
        <v>63.887964862704187</v>
      </c>
      <c r="BT31" s="219">
        <f t="shared" si="296"/>
        <v>9.7754919646159699</v>
      </c>
      <c r="BU31" s="219">
        <f t="shared" si="297"/>
        <v>0.48681562680453316</v>
      </c>
      <c r="BV31" s="219">
        <f t="shared" si="298"/>
        <v>0.35538740920170064</v>
      </c>
      <c r="BW31" s="219">
        <f t="shared" si="299"/>
        <v>0</v>
      </c>
      <c r="BX31" s="220">
        <f t="shared" si="300"/>
        <v>0</v>
      </c>
      <c r="BY31" s="195"/>
      <c r="BZ31" s="192">
        <v>5</v>
      </c>
      <c r="CA31" s="66">
        <v>2009</v>
      </c>
      <c r="CB31" s="218">
        <f>pAsympt_NoCare_Asympt_Dead_2007_2009*AS30</f>
        <v>53.591949816033811</v>
      </c>
      <c r="CC31" s="218">
        <f t="shared" si="253"/>
        <v>11.95674285084587</v>
      </c>
      <c r="CD31" s="73">
        <f t="shared" si="254"/>
        <v>6.8150824848851403</v>
      </c>
      <c r="CE31" s="73">
        <f>pInt_NoCare_Int_Dead_2007_2009*AW30</f>
        <v>59.145375817414447</v>
      </c>
      <c r="CF31" s="73">
        <f t="shared" si="255"/>
        <v>27.2860638258474</v>
      </c>
      <c r="CG31" s="73">
        <f t="shared" si="256"/>
        <v>1.5416859091126176</v>
      </c>
      <c r="CH31" s="73">
        <f t="shared" si="257"/>
        <v>9.0828325934569687E-2</v>
      </c>
      <c r="CI31" s="73">
        <f t="shared" si="258"/>
        <v>6.7340302220970978</v>
      </c>
      <c r="CJ31" s="73">
        <f t="shared" si="259"/>
        <v>1.0565166603725891</v>
      </c>
      <c r="CK31" s="73">
        <f t="shared" si="260"/>
        <v>4.1231001481759982E-2</v>
      </c>
      <c r="CL31" s="73">
        <f t="shared" si="261"/>
        <v>0</v>
      </c>
      <c r="CM31" s="73">
        <f>pAIDS_NoCare_AIDS_Dead_2007_2009*BC30</f>
        <v>327.57334464895007</v>
      </c>
      <c r="CN31" s="73">
        <f t="shared" si="263"/>
        <v>356.72997487540772</v>
      </c>
      <c r="CO31" s="73">
        <f t="shared" si="264"/>
        <v>43.819181918474392</v>
      </c>
      <c r="CP31" s="73">
        <f t="shared" si="265"/>
        <v>1.1611811077627903</v>
      </c>
      <c r="CQ31" s="73">
        <f t="shared" si="266"/>
        <v>0</v>
      </c>
      <c r="CR31" s="73">
        <f t="shared" si="267"/>
        <v>9.6964201935754009</v>
      </c>
      <c r="CS31" s="73">
        <f t="shared" si="268"/>
        <v>0</v>
      </c>
      <c r="CT31" s="73">
        <f t="shared" si="269"/>
        <v>11.118737480372294</v>
      </c>
      <c r="CU31" s="73">
        <f t="shared" si="270"/>
        <v>0.71519183349778204</v>
      </c>
      <c r="CV31" s="73">
        <f t="shared" si="271"/>
        <v>0</v>
      </c>
      <c r="CW31" s="73">
        <f t="shared" si="272"/>
        <v>0</v>
      </c>
      <c r="CX31" s="73">
        <f t="shared" si="273"/>
        <v>0</v>
      </c>
      <c r="CY31" s="73">
        <f t="shared" si="274"/>
        <v>0</v>
      </c>
      <c r="CZ31" s="190"/>
      <c r="DA31" s="66">
        <v>2009</v>
      </c>
      <c r="DB31" s="218">
        <f t="shared" si="242"/>
        <v>2388.6701370170404</v>
      </c>
      <c r="DC31" s="218">
        <f t="shared" si="243"/>
        <v>8988.6808246283599</v>
      </c>
      <c r="DD31" s="73">
        <f t="shared" si="244"/>
        <v>1445.9594885449806</v>
      </c>
      <c r="DE31" s="73">
        <f t="shared" si="245"/>
        <v>841.17592803280468</v>
      </c>
      <c r="DF31" s="73">
        <f t="shared" si="246"/>
        <v>1844.7748897982312</v>
      </c>
      <c r="DG31" s="73">
        <f t="shared" si="247"/>
        <v>4687.2682268094395</v>
      </c>
      <c r="DH31" s="72">
        <f t="shared" si="275"/>
        <v>0.23575832427109272</v>
      </c>
      <c r="DI31" s="72">
        <f t="shared" si="276"/>
        <v>0.31317622141423745</v>
      </c>
      <c r="DJ31" s="73">
        <f>SUM(AV26:AV31,BB26:BB31,BI26:BI31)</f>
        <v>1975.6791753716411</v>
      </c>
      <c r="DK31" s="218">
        <v>0</v>
      </c>
      <c r="DL31" s="190"/>
    </row>
    <row r="32" spans="1:116" x14ac:dyDescent="0.25">
      <c r="A32" s="190"/>
      <c r="B32" s="68">
        <v>2005</v>
      </c>
      <c r="C32" s="185" t="s">
        <v>323</v>
      </c>
      <c r="D32" s="169">
        <v>0</v>
      </c>
      <c r="E32" s="169">
        <v>0</v>
      </c>
      <c r="F32" s="169">
        <v>0</v>
      </c>
      <c r="G32" s="169">
        <v>0</v>
      </c>
      <c r="H32" s="169">
        <v>0</v>
      </c>
      <c r="I32" s="169">
        <v>0</v>
      </c>
      <c r="J32" s="172">
        <f>pInt_ART1_2004_2012</f>
        <v>0.97189504107250524</v>
      </c>
      <c r="K32" s="170">
        <f>pInt_ART1_Int_ART2_2004_2012</f>
        <v>8.6622645122074182E-3</v>
      </c>
      <c r="L32" s="170">
        <f>pInt_ART1_Int_LTFU_2004_2012</f>
        <v>1.438552517214986E-2</v>
      </c>
      <c r="M32" s="170">
        <f>pInt_ART1_Int_Dead_2004_2012</f>
        <v>5.0571692431374826E-3</v>
      </c>
      <c r="N32" s="169">
        <v>0</v>
      </c>
      <c r="O32" s="169">
        <v>0</v>
      </c>
      <c r="P32" s="169">
        <v>0</v>
      </c>
      <c r="Q32" s="169">
        <v>0</v>
      </c>
      <c r="R32" s="169">
        <v>0</v>
      </c>
      <c r="S32" s="169">
        <v>0</v>
      </c>
      <c r="T32" s="169">
        <v>0</v>
      </c>
      <c r="U32" s="61">
        <f t="shared" si="248"/>
        <v>1</v>
      </c>
      <c r="V32" s="190"/>
      <c r="W32" s="66">
        <v>6</v>
      </c>
      <c r="X32" s="66">
        <v>2010</v>
      </c>
      <c r="Y32" s="70">
        <f>MMULT($Y31:$AO31,D$136:D$152)</f>
        <v>0.10795721517398771</v>
      </c>
      <c r="Z32" s="70">
        <f t="shared" ref="Z32" si="349">MMULT($Y31:$AO31,E$136:E$152)</f>
        <v>3.359673603574384E-2</v>
      </c>
      <c r="AA32" s="70">
        <f t="shared" ref="AA32" si="350">MMULT($Y31:$AO31,F$136:F$152)</f>
        <v>4.2564804781081732E-2</v>
      </c>
      <c r="AB32" s="70">
        <f t="shared" ref="AB32" si="351">MMULT($Y31:$AO31,G$136:G$152)</f>
        <v>4.6821986482069259E-3</v>
      </c>
      <c r="AC32" s="70">
        <f t="shared" ref="AC32" si="352">MMULT($Y31:$AO31,H$136:H$152)</f>
        <v>0.10317456324948093</v>
      </c>
      <c r="AD32" s="70">
        <f t="shared" ref="AD32" si="353">MMULT($Y31:$AO31,I$136:I$152)</f>
        <v>5.7871537715109E-2</v>
      </c>
      <c r="AE32" s="70">
        <f t="shared" ref="AE32" si="354">MMULT($Y31:$AO31,J$136:J$152)</f>
        <v>7.0041697265428374E-2</v>
      </c>
      <c r="AF32" s="70">
        <f t="shared" ref="AF32" si="355">MMULT($Y31:$AO31,K$136:K$152)</f>
        <v>1.1476157966084276E-2</v>
      </c>
      <c r="AG32" s="70">
        <f t="shared" ref="AG32" si="356">MMULT($Y31:$AO31,L$136:L$152)</f>
        <v>3.9166299834836486E-2</v>
      </c>
      <c r="AH32" s="70">
        <f t="shared" ref="AH32" si="357">MMULT($Y31:$AO31,M$136:M$152)</f>
        <v>7.3751141274832508E-3</v>
      </c>
      <c r="AI32" s="70">
        <f t="shared" ref="AI32" si="358">MMULT($Y31:$AO31,N$136:N$152)</f>
        <v>4.8027169932625687E-2</v>
      </c>
      <c r="AJ32" s="70">
        <f t="shared" ref="AJ32" si="359">MMULT($Y31:$AO31,O$136:O$152)</f>
        <v>7.8618571121602351E-2</v>
      </c>
      <c r="AK32" s="70">
        <f t="shared" ref="AK32" si="360">MMULT($Y31:$AO31,P$136:P$152)</f>
        <v>5.2440886349116575E-2</v>
      </c>
      <c r="AL32" s="70">
        <f t="shared" ref="AL32" si="361">MMULT($Y31:$AO31,Q$136:Q$152)</f>
        <v>6.5014695485409835E-2</v>
      </c>
      <c r="AM32" s="70">
        <f t="shared" ref="AM32" si="362">MMULT($Y31:$AO31,R$136:R$152)</f>
        <v>4.2186368414539651E-3</v>
      </c>
      <c r="AN32" s="70">
        <f t="shared" ref="AN32" si="363">MMULT($Y31:$AO31,S$136:S$152)</f>
        <v>1.8738827448866256E-2</v>
      </c>
      <c r="AO32" s="70">
        <f t="shared" ref="AO32" si="364">MMULT($Y31:$AO31,T$136:T$152)</f>
        <v>7.4843871368462211E-2</v>
      </c>
      <c r="AP32" s="190"/>
      <c r="AQ32" s="66">
        <v>6</v>
      </c>
      <c r="AR32" s="66">
        <v>2010</v>
      </c>
      <c r="AS32" s="215">
        <f t="shared" si="225"/>
        <v>1183.681771765064</v>
      </c>
      <c r="AT32" s="215">
        <f t="shared" si="226"/>
        <v>368.36670872086836</v>
      </c>
      <c r="AU32" s="215">
        <f t="shared" si="227"/>
        <v>466.6958429495013</v>
      </c>
      <c r="AV32" s="215">
        <f t="shared" si="228"/>
        <v>51.337311570454091</v>
      </c>
      <c r="AW32" s="215">
        <f t="shared" si="229"/>
        <v>1131.2430543100788</v>
      </c>
      <c r="AX32" s="215">
        <f t="shared" si="230"/>
        <v>634.52437326203255</v>
      </c>
      <c r="AY32" s="215">
        <f t="shared" si="231"/>
        <v>767.96238382917227</v>
      </c>
      <c r="AZ32" s="215">
        <f t="shared" si="232"/>
        <v>125.82872735701579</v>
      </c>
      <c r="BA32" s="215">
        <f t="shared" si="233"/>
        <v>429.43341125708781</v>
      </c>
      <c r="BB32" s="215">
        <f t="shared" si="234"/>
        <v>80.863406334812254</v>
      </c>
      <c r="BC32" s="215">
        <f t="shared" si="235"/>
        <v>526.58718092248375</v>
      </c>
      <c r="BD32" s="215">
        <f t="shared" si="236"/>
        <v>862.00231646285204</v>
      </c>
      <c r="BE32" s="215">
        <f t="shared" si="237"/>
        <v>574.98075665079989</v>
      </c>
      <c r="BF32" s="215">
        <f t="shared" si="238"/>
        <v>712.84452659240822</v>
      </c>
      <c r="BG32" s="215">
        <f t="shared" si="239"/>
        <v>46.2546530389642</v>
      </c>
      <c r="BH32" s="215">
        <f t="shared" si="240"/>
        <v>205.45925012725124</v>
      </c>
      <c r="BI32" s="215">
        <f t="shared" si="241"/>
        <v>820.61514947751243</v>
      </c>
      <c r="BJ32" s="194"/>
      <c r="BK32" s="66">
        <v>6</v>
      </c>
      <c r="BL32" s="66">
        <v>2010</v>
      </c>
      <c r="BM32" s="215">
        <f t="shared" si="249"/>
        <v>285.71277914870939</v>
      </c>
      <c r="BN32" s="219">
        <f t="shared" si="250"/>
        <v>132.69796366419533</v>
      </c>
      <c r="BO32" s="219">
        <f t="shared" si="251"/>
        <v>10.005925607294355</v>
      </c>
      <c r="BP32" s="219">
        <f t="shared" si="293"/>
        <v>1.0167428368887554</v>
      </c>
      <c r="BQ32" s="219">
        <f t="shared" si="252"/>
        <v>72.260918234601547</v>
      </c>
      <c r="BR32" s="220">
        <f t="shared" si="294"/>
        <v>23.978619003803399</v>
      </c>
      <c r="BS32" s="219">
        <f t="shared" si="295"/>
        <v>85.00039634894074</v>
      </c>
      <c r="BT32" s="219">
        <f t="shared" si="296"/>
        <v>19.370609503415746</v>
      </c>
      <c r="BU32" s="219">
        <f t="shared" si="297"/>
        <v>3.1856786999007145</v>
      </c>
      <c r="BV32" s="219">
        <f t="shared" si="298"/>
        <v>1.2868293498875309</v>
      </c>
      <c r="BW32" s="219">
        <f t="shared" si="299"/>
        <v>0.31409157442222346</v>
      </c>
      <c r="BX32" s="220">
        <f t="shared" si="300"/>
        <v>6.210741227933804E-2</v>
      </c>
      <c r="BY32" s="195"/>
      <c r="BZ32" s="192">
        <v>6</v>
      </c>
      <c r="CA32" s="66">
        <v>2010</v>
      </c>
      <c r="CB32" s="218">
        <f>pAsympt_NoCare_Asympt_Dead_2010_2012*AS31</f>
        <v>33.964438711383231</v>
      </c>
      <c r="CC32" s="218">
        <f t="shared" si="253"/>
        <v>8.9612546896717191</v>
      </c>
      <c r="CD32" s="73">
        <f t="shared" si="254"/>
        <v>8.4116181693991479</v>
      </c>
      <c r="CE32" s="73">
        <f>pInt_NoCare_Int_Dead_2010_2012*AW31</f>
        <v>44.51429911800647</v>
      </c>
      <c r="CF32" s="73">
        <f t="shared" si="255"/>
        <v>22.326988376951793</v>
      </c>
      <c r="CG32" s="73">
        <f t="shared" si="256"/>
        <v>2.7409193155472176</v>
      </c>
      <c r="CH32" s="73">
        <f t="shared" si="257"/>
        <v>0.31757350543013563</v>
      </c>
      <c r="CI32" s="73">
        <f t="shared" si="258"/>
        <v>8.2620752921862426</v>
      </c>
      <c r="CJ32" s="73">
        <f t="shared" si="259"/>
        <v>2.5539480952591762</v>
      </c>
      <c r="CK32" s="73">
        <f t="shared" si="260"/>
        <v>0.14039711221074783</v>
      </c>
      <c r="CL32" s="73">
        <f t="shared" si="261"/>
        <v>7.2055192204749903E-3</v>
      </c>
      <c r="CM32" s="73">
        <f>pAIDS_NoCare_AIDS_Dead_2010_2012*BC31</f>
        <v>283.80448740171244</v>
      </c>
      <c r="CN32" s="73">
        <f t="shared" si="263"/>
        <v>389.14208786793034</v>
      </c>
      <c r="CO32" s="73">
        <f t="shared" si="264"/>
        <v>80.468895208554628</v>
      </c>
      <c r="CP32" s="73">
        <f t="shared" si="265"/>
        <v>7.348101401778778</v>
      </c>
      <c r="CQ32" s="73">
        <f t="shared" si="266"/>
        <v>1.0781601821948088</v>
      </c>
      <c r="CR32" s="73">
        <f t="shared" si="267"/>
        <v>24.44936756633648</v>
      </c>
      <c r="CS32" s="73">
        <f t="shared" si="268"/>
        <v>3.7383783881302115</v>
      </c>
      <c r="CT32" s="73">
        <f t="shared" si="269"/>
        <v>26.226951176314749</v>
      </c>
      <c r="CU32" s="73">
        <f t="shared" si="270"/>
        <v>4.0129835256359474</v>
      </c>
      <c r="CV32" s="73">
        <f t="shared" si="271"/>
        <v>0.19984498963940131</v>
      </c>
      <c r="CW32" s="73">
        <f t="shared" si="272"/>
        <v>0.14589176928456438</v>
      </c>
      <c r="CX32" s="73">
        <f t="shared" si="273"/>
        <v>0</v>
      </c>
      <c r="CY32" s="73">
        <f t="shared" si="274"/>
        <v>0</v>
      </c>
      <c r="CZ32" s="190"/>
      <c r="DA32" s="66">
        <v>2010</v>
      </c>
      <c r="DB32" s="218">
        <f t="shared" si="242"/>
        <v>1864.8933984457531</v>
      </c>
      <c r="DC32" s="218">
        <f t="shared" si="243"/>
        <v>8035.8649572455797</v>
      </c>
      <c r="DD32" s="73">
        <f t="shared" si="244"/>
        <v>2227.8710474683603</v>
      </c>
      <c r="DE32" s="73">
        <f t="shared" si="245"/>
        <v>1334.0799362821724</v>
      </c>
      <c r="DF32" s="73">
        <f t="shared" si="246"/>
        <v>1594.0487475125869</v>
      </c>
      <c r="DG32" s="73">
        <f t="shared" si="247"/>
        <v>3789.2495863417857</v>
      </c>
      <c r="DH32" s="72">
        <f t="shared" si="275"/>
        <v>0.37025534022867573</v>
      </c>
      <c r="DI32" s="72">
        <f t="shared" si="276"/>
        <v>0.45560836983204178</v>
      </c>
      <c r="DJ32" s="73">
        <f>SUM(AV26:AV32,BB26:BB32,BI26:BI32)</f>
        <v>2928.49504275442</v>
      </c>
      <c r="DK32" s="218">
        <f>SUM(AV32,BB32,BI32)</f>
        <v>952.81586738277883</v>
      </c>
      <c r="DL32" s="190"/>
    </row>
    <row r="33" spans="1:120" x14ac:dyDescent="0.25">
      <c r="A33" s="190"/>
      <c r="B33" s="68">
        <v>2005</v>
      </c>
      <c r="C33" s="185" t="s">
        <v>324</v>
      </c>
      <c r="D33" s="169">
        <v>0</v>
      </c>
      <c r="E33" s="169">
        <v>0</v>
      </c>
      <c r="F33" s="169">
        <v>0</v>
      </c>
      <c r="G33" s="169">
        <v>0</v>
      </c>
      <c r="H33" s="169">
        <v>0</v>
      </c>
      <c r="I33" s="169">
        <v>0</v>
      </c>
      <c r="J33" s="169">
        <v>0</v>
      </c>
      <c r="K33" s="172">
        <f>pInt_ART2_2004_2012</f>
        <v>0.98055730558471266</v>
      </c>
      <c r="L33" s="170">
        <f>pInt_ART2_Int_LTFU_2004_2012</f>
        <v>1.438552517214986E-2</v>
      </c>
      <c r="M33" s="170">
        <f>pInt_ART2_Int_Dead_2004_2012</f>
        <v>5.0571692431374826E-3</v>
      </c>
      <c r="N33" s="169">
        <v>0</v>
      </c>
      <c r="O33" s="169">
        <v>0</v>
      </c>
      <c r="P33" s="169">
        <v>0</v>
      </c>
      <c r="Q33" s="169">
        <v>0</v>
      </c>
      <c r="R33" s="169">
        <v>0</v>
      </c>
      <c r="S33" s="169">
        <v>0</v>
      </c>
      <c r="T33" s="169">
        <v>0</v>
      </c>
      <c r="U33" s="61">
        <f t="shared" si="248"/>
        <v>1</v>
      </c>
      <c r="V33" s="190"/>
      <c r="W33" s="66">
        <v>7</v>
      </c>
      <c r="X33" s="66">
        <v>2011</v>
      </c>
      <c r="Y33" s="70">
        <f>MMULT($Y32:$AO32,D$158:D$174)</f>
        <v>6.8418973946932235E-2</v>
      </c>
      <c r="Z33" s="70">
        <f t="shared" ref="Z33" si="365">MMULT($Y32:$AO32,E$158:E$174)</f>
        <v>2.271192347715164E-2</v>
      </c>
      <c r="AA33" s="70">
        <f t="shared" ref="AA33" si="366">MMULT($Y32:$AO32,F$158:F$174)</f>
        <v>3.8426267471537878E-2</v>
      </c>
      <c r="AB33" s="70">
        <f t="shared" ref="AB33" si="367">MMULT($Y32:$AO32,G$158:G$174)</f>
        <v>3.3105138683988625E-3</v>
      </c>
      <c r="AC33" s="70">
        <f t="shared" ref="AC33" si="368">MMULT($Y32:$AO32,H$158:H$174)</f>
        <v>7.0568920938852364E-2</v>
      </c>
      <c r="AD33" s="70">
        <f t="shared" ref="AD33" si="369">MMULT($Y32:$AO32,I$158:I$174)</f>
        <v>4.0744704334650148E-2</v>
      </c>
      <c r="AE33" s="70">
        <f t="shared" ref="AE33" si="370">MMULT($Y32:$AO32,J$158:J$174)</f>
        <v>8.748079315194382E-2</v>
      </c>
      <c r="AF33" s="70">
        <f t="shared" ref="AF33" si="371">MMULT($Y32:$AO32,K$158:K$174)</f>
        <v>1.7793444667262959E-2</v>
      </c>
      <c r="AG33" s="70">
        <f t="shared" ref="AG33" si="372">MMULT($Y32:$AO32,L$158:L$174)</f>
        <v>3.7434187331614882E-2</v>
      </c>
      <c r="AH33" s="70">
        <f t="shared" ref="AH33" si="373">MMULT($Y32:$AO32,M$158:M$174)</f>
        <v>5.89630563052087E-3</v>
      </c>
      <c r="AI33" s="70">
        <f t="shared" ref="AI33" si="374">MMULT($Y32:$AO32,N$158:N$174)</f>
        <v>3.4269004490400337E-2</v>
      </c>
      <c r="AJ33" s="70">
        <f t="shared" ref="AJ33" si="375">MMULT($Y32:$AO32,O$158:O$174)</f>
        <v>5.9740151903315886E-2</v>
      </c>
      <c r="AK33" s="70">
        <f t="shared" ref="AK33" si="376">MMULT($Y32:$AO32,P$158:P$174)</f>
        <v>4.5069412219342755E-2</v>
      </c>
      <c r="AL33" s="70">
        <f t="shared" ref="AL33" si="377">MMULT($Y32:$AO32,Q$158:Q$174)</f>
        <v>0.10367638013421532</v>
      </c>
      <c r="AM33" s="70">
        <f t="shared" ref="AM33" si="378">MMULT($Y32:$AO32,R$158:R$174)</f>
        <v>9.2904402532861703E-3</v>
      </c>
      <c r="AN33" s="70">
        <f t="shared" ref="AN33" si="379">MMULT($Y32:$AO32,S$158:S$174)</f>
        <v>2.0562126335163737E-2</v>
      </c>
      <c r="AO33" s="70">
        <f t="shared" ref="AO33" si="380">MMULT($Y32:$AO32,T$158:T$174)</f>
        <v>6.7514249046237165E-2</v>
      </c>
      <c r="AP33" s="190"/>
      <c r="AQ33" s="66">
        <v>7</v>
      </c>
      <c r="AR33" s="66">
        <v>2011</v>
      </c>
      <c r="AS33" s="215">
        <f t="shared" si="225"/>
        <v>750.170261184786</v>
      </c>
      <c r="AT33" s="215">
        <f t="shared" si="226"/>
        <v>249.02170529594235</v>
      </c>
      <c r="AU33" s="215">
        <f t="shared" si="227"/>
        <v>421.31943001423105</v>
      </c>
      <c r="AV33" s="215">
        <f t="shared" si="228"/>
        <v>36.297665838117751</v>
      </c>
      <c r="AW33" s="215">
        <f t="shared" si="229"/>
        <v>773.74305398511535</v>
      </c>
      <c r="AX33" s="215">
        <f t="shared" si="230"/>
        <v>446.73960641866472</v>
      </c>
      <c r="AY33" s="215">
        <f t="shared" si="231"/>
        <v>959.17090920344674</v>
      </c>
      <c r="AZ33" s="215">
        <f t="shared" si="232"/>
        <v>195.09373297195131</v>
      </c>
      <c r="BA33" s="215">
        <f t="shared" si="233"/>
        <v>410.44190621126495</v>
      </c>
      <c r="BB33" s="215">
        <f t="shared" si="234"/>
        <v>64.649217603057807</v>
      </c>
      <c r="BC33" s="215">
        <f t="shared" si="235"/>
        <v>375.73770207436587</v>
      </c>
      <c r="BD33" s="215">
        <f t="shared" si="236"/>
        <v>655.01253192264062</v>
      </c>
      <c r="BE33" s="215">
        <f t="shared" si="237"/>
        <v>494.15726056127295</v>
      </c>
      <c r="BF33" s="215">
        <f t="shared" si="238"/>
        <v>1136.7451552883851</v>
      </c>
      <c r="BG33" s="215">
        <f t="shared" si="239"/>
        <v>101.86373149552075</v>
      </c>
      <c r="BH33" s="215">
        <f t="shared" si="240"/>
        <v>225.45055550421588</v>
      </c>
      <c r="BI33" s="215">
        <f t="shared" si="241"/>
        <v>740.25053167260091</v>
      </c>
      <c r="BJ33" s="194"/>
      <c r="BK33" s="66">
        <v>7</v>
      </c>
      <c r="BL33" s="66">
        <v>2011</v>
      </c>
      <c r="BM33" s="215">
        <f t="shared" si="249"/>
        <v>241.17639024472106</v>
      </c>
      <c r="BN33" s="219">
        <f t="shared" si="250"/>
        <v>151.57080164857797</v>
      </c>
      <c r="BO33" s="219">
        <f t="shared" si="251"/>
        <v>15.438426376341003</v>
      </c>
      <c r="BP33" s="219">
        <f t="shared" si="293"/>
        <v>2.2562879416249402</v>
      </c>
      <c r="BQ33" s="219">
        <f t="shared" si="252"/>
        <v>66.283298465294649</v>
      </c>
      <c r="BR33" s="220">
        <f t="shared" si="294"/>
        <v>37.072577507721313</v>
      </c>
      <c r="BS33" s="219">
        <f t="shared" si="295"/>
        <v>87.022350005132836</v>
      </c>
      <c r="BT33" s="219">
        <f t="shared" si="296"/>
        <v>22.409829891888744</v>
      </c>
      <c r="BU33" s="219">
        <f t="shared" si="297"/>
        <v>8.3844712424937136</v>
      </c>
      <c r="BV33" s="219">
        <f t="shared" si="298"/>
        <v>2.6829340023066295</v>
      </c>
      <c r="BW33" s="219">
        <f t="shared" si="299"/>
        <v>1.3372847526464344</v>
      </c>
      <c r="BX33" s="220">
        <f t="shared" si="300"/>
        <v>0.2578096367315923</v>
      </c>
      <c r="BY33" s="195"/>
      <c r="BZ33" s="192">
        <v>7</v>
      </c>
      <c r="CA33" s="66">
        <v>2011</v>
      </c>
      <c r="CB33" s="218">
        <f>pAsympt_NoCare_Asympt_Dead_2010_2012*AS32</f>
        <v>21.525305590470882</v>
      </c>
      <c r="CC33" s="218">
        <f t="shared" si="253"/>
        <v>6.2854756162222207</v>
      </c>
      <c r="CD33" s="73">
        <f t="shared" si="254"/>
        <v>8.4868846314246493</v>
      </c>
      <c r="CE33" s="73">
        <f>pInt_NoCare_Int_Dead_2010_2012*AW32</f>
        <v>31.548714184906945</v>
      </c>
      <c r="CF33" s="73">
        <f t="shared" si="255"/>
        <v>16.60418076681033</v>
      </c>
      <c r="CG33" s="73">
        <f t="shared" si="256"/>
        <v>3.883715747387432</v>
      </c>
      <c r="CH33" s="73">
        <f t="shared" si="257"/>
        <v>0.63633716989303224</v>
      </c>
      <c r="CI33" s="73">
        <f t="shared" si="258"/>
        <v>7.9681115159071121</v>
      </c>
      <c r="CJ33" s="73">
        <f t="shared" si="259"/>
        <v>3.7007521174254574</v>
      </c>
      <c r="CK33" s="73">
        <f t="shared" si="260"/>
        <v>0.27905063013402898</v>
      </c>
      <c r="CL33" s="73">
        <f t="shared" si="261"/>
        <v>2.8355470593468393E-2</v>
      </c>
      <c r="CM33" s="73">
        <f>pAIDS_NoCare_AIDS_Dead_2010_2012*BC32</f>
        <v>216.17179877002948</v>
      </c>
      <c r="CN33" s="73">
        <f t="shared" si="263"/>
        <v>332.03249800857344</v>
      </c>
      <c r="CO33" s="73">
        <f t="shared" si="264"/>
        <v>84.984980976790453</v>
      </c>
      <c r="CP33" s="73">
        <f t="shared" si="265"/>
        <v>18.359450846132994</v>
      </c>
      <c r="CQ33" s="73">
        <f t="shared" si="266"/>
        <v>4.3577527731860686</v>
      </c>
      <c r="CR33" s="73">
        <f t="shared" si="267"/>
        <v>29.664171938601168</v>
      </c>
      <c r="CS33" s="73">
        <f t="shared" si="268"/>
        <v>9.8435765052101214</v>
      </c>
      <c r="CT33" s="73">
        <f t="shared" si="269"/>
        <v>34.893915462824019</v>
      </c>
      <c r="CU33" s="73">
        <f t="shared" si="270"/>
        <v>7.9519206910614342</v>
      </c>
      <c r="CV33" s="73">
        <f t="shared" si="271"/>
        <v>1.3077680578067084</v>
      </c>
      <c r="CW33" s="73">
        <f t="shared" si="272"/>
        <v>0.52826241380950767</v>
      </c>
      <c r="CX33" s="73">
        <f t="shared" si="273"/>
        <v>0.12893922047706952</v>
      </c>
      <c r="CY33" s="73">
        <f t="shared" si="274"/>
        <v>2.5496008098519731E-2</v>
      </c>
      <c r="CZ33" s="190"/>
      <c r="DA33" s="66">
        <v>2011</v>
      </c>
      <c r="DB33" s="218">
        <f t="shared" si="242"/>
        <v>1350.7738436372476</v>
      </c>
      <c r="DC33" s="218">
        <f t="shared" si="243"/>
        <v>7194.6675421318032</v>
      </c>
      <c r="DD33" s="73">
        <f t="shared" si="244"/>
        <v>2887.0307895205769</v>
      </c>
      <c r="DE33" s="73">
        <f t="shared" si="245"/>
        <v>1732.766147345179</v>
      </c>
      <c r="DF33" s="73">
        <f t="shared" si="246"/>
        <v>1256.2007895012223</v>
      </c>
      <c r="DG33" s="73">
        <f t="shared" si="247"/>
        <v>2887.1253561162675</v>
      </c>
      <c r="DH33" s="72">
        <f t="shared" si="275"/>
        <v>0.49999181121939679</v>
      </c>
      <c r="DI33" s="72">
        <f t="shared" si="276"/>
        <v>0.57972074765517001</v>
      </c>
      <c r="DJ33" s="73">
        <f>SUM(AV26:AV33,BB26:BB33,BI26:BI33)</f>
        <v>3769.6924578681965</v>
      </c>
      <c r="DK33" s="218">
        <f>SUM(AV32:AV33,BB32:BB33,BI32:BI33)</f>
        <v>1794.0132824965553</v>
      </c>
      <c r="DL33" s="190"/>
    </row>
    <row r="34" spans="1:120" x14ac:dyDescent="0.25">
      <c r="A34" s="190"/>
      <c r="B34" s="68">
        <v>2005</v>
      </c>
      <c r="C34" s="185" t="s">
        <v>325</v>
      </c>
      <c r="D34" s="169">
        <v>0</v>
      </c>
      <c r="E34" s="169">
        <v>0</v>
      </c>
      <c r="F34" s="169">
        <v>0</v>
      </c>
      <c r="G34" s="169">
        <v>0</v>
      </c>
      <c r="H34" s="169">
        <v>0</v>
      </c>
      <c r="I34" s="169">
        <v>0</v>
      </c>
      <c r="J34" s="171">
        <f>pInt_LTFU_Int_ART1_2004_2012</f>
        <v>0.1414</v>
      </c>
      <c r="K34" s="171">
        <f>pInt_LTFU_Int_ART2_2004_2012</f>
        <v>0.1515</v>
      </c>
      <c r="L34" s="172">
        <f>pInt_LTFU_2004_2012</f>
        <v>0.43882838478243957</v>
      </c>
      <c r="M34" s="171">
        <f>pInt_LTFU_Int_Dead_2004_2012</f>
        <v>2.7888537361361161E-2</v>
      </c>
      <c r="N34" s="169">
        <v>0</v>
      </c>
      <c r="O34" s="169">
        <v>0</v>
      </c>
      <c r="P34" s="169">
        <v>0</v>
      </c>
      <c r="Q34" s="169">
        <v>0</v>
      </c>
      <c r="R34" s="169">
        <v>0</v>
      </c>
      <c r="S34" s="170">
        <f>pInt_LTFU_AIDS_LTFU_2004_2012</f>
        <v>0.24038307785619925</v>
      </c>
      <c r="T34" s="169">
        <v>0</v>
      </c>
      <c r="U34" s="61">
        <f t="shared" si="248"/>
        <v>1</v>
      </c>
      <c r="V34" s="190"/>
      <c r="W34" s="66">
        <v>8</v>
      </c>
      <c r="X34" s="66">
        <v>2012</v>
      </c>
      <c r="Y34" s="70">
        <f>MMULT($Y33:$AO33,D$180:D$196)</f>
        <v>4.336121479612709E-2</v>
      </c>
      <c r="Z34" s="70">
        <f t="shared" ref="Z34" si="381">MMULT($Y33:$AO33,E$180:E$196)</f>
        <v>1.5015919683394168E-2</v>
      </c>
      <c r="AA34" s="70">
        <f t="shared" ref="AA34" si="382">MMULT($Y33:$AO33,F$180:F$196)</f>
        <v>3.2352878450751056E-2</v>
      </c>
      <c r="AB34" s="70">
        <f t="shared" ref="AB34" si="383">MMULT($Y33:$AO33,G$180:G$196)</f>
        <v>2.3305211357938864E-3</v>
      </c>
      <c r="AC34" s="70">
        <f t="shared" ref="AC34" si="384">MMULT($Y33:$AO33,H$180:H$196)</f>
        <v>4.7183212253729553E-2</v>
      </c>
      <c r="AD34" s="70">
        <f t="shared" ref="AD34" si="385">MMULT($Y33:$AO33,I$180:I$196)</f>
        <v>2.7731835437875045E-2</v>
      </c>
      <c r="AE34" s="70">
        <f t="shared" ref="AE34" si="386">MMULT($Y33:$AO33,J$180:J$196)</f>
        <v>0.10106957817737398</v>
      </c>
      <c r="AF34" s="70">
        <f t="shared" ref="AF34" si="387">MMULT($Y33:$AO33,K$180:K$196)</f>
        <v>2.3876553310761536E-2</v>
      </c>
      <c r="AG34" s="70">
        <f t="shared" ref="AG34" si="388">MMULT($Y33:$AO33,L$180:L$196)</f>
        <v>3.3062566660757617E-2</v>
      </c>
      <c r="AH34" s="70">
        <f t="shared" ref="AH34" si="389">MMULT($Y33:$AO33,M$180:M$196)</f>
        <v>4.6106423753785502E-3</v>
      </c>
      <c r="AI34" s="70">
        <f t="shared" ref="AI34" si="390">MMULT($Y33:$AO33,N$180:N$196)</f>
        <v>2.3537207508356243E-2</v>
      </c>
      <c r="AJ34" s="70">
        <f t="shared" ref="AJ34" si="391">MMULT($Y33:$AO33,O$180:O$196)</f>
        <v>4.2609501278740566E-2</v>
      </c>
      <c r="AK34" s="70">
        <f t="shared" ref="AK34" si="392">MMULT($Y33:$AO33,P$180:P$196)</f>
        <v>3.4994252084966648E-2</v>
      </c>
      <c r="AL34" s="70">
        <f t="shared" ref="AL34" si="393">MMULT($Y33:$AO33,Q$180:Q$196)</f>
        <v>0.13369383821712813</v>
      </c>
      <c r="AM34" s="70">
        <f t="shared" ref="AM34" si="394">MMULT($Y33:$AO33,R$180:R$196)</f>
        <v>1.527792042739254E-2</v>
      </c>
      <c r="AN34" s="70">
        <f t="shared" ref="AN34" si="395">MMULT($Y33:$AO33,S$180:S$196)</f>
        <v>1.9751984149894399E-2</v>
      </c>
      <c r="AO34" s="70">
        <f t="shared" ref="AO34" si="396">MMULT($Y33:$AO33,T$180:T$196)</f>
        <v>5.5727104707249134E-2</v>
      </c>
      <c r="AP34" s="190"/>
      <c r="AQ34" s="66">
        <v>8</v>
      </c>
      <c r="AR34" s="66">
        <v>2012</v>
      </c>
      <c r="AS34" s="215">
        <f t="shared" si="225"/>
        <v>475.42796906206405</v>
      </c>
      <c r="AT34" s="215">
        <f t="shared" si="226"/>
        <v>164.63994913981969</v>
      </c>
      <c r="AU34" s="215">
        <f t="shared" si="227"/>
        <v>354.72860637027685</v>
      </c>
      <c r="AV34" s="215">
        <f t="shared" si="228"/>
        <v>25.552672720453057</v>
      </c>
      <c r="AW34" s="215">
        <f t="shared" si="229"/>
        <v>517.33372510630215</v>
      </c>
      <c r="AX34" s="215">
        <f t="shared" si="230"/>
        <v>304.06182720161962</v>
      </c>
      <c r="AY34" s="215">
        <f t="shared" si="231"/>
        <v>1108.1632401848722</v>
      </c>
      <c r="AZ34" s="215">
        <f t="shared" si="232"/>
        <v>261.79112605838139</v>
      </c>
      <c r="BA34" s="215">
        <f t="shared" si="233"/>
        <v>362.5098833925444</v>
      </c>
      <c r="BB34" s="215">
        <f t="shared" si="234"/>
        <v>50.552742834905565</v>
      </c>
      <c r="BC34" s="215">
        <f t="shared" si="235"/>
        <v>258.07041651632085</v>
      </c>
      <c r="BD34" s="215">
        <f t="shared" si="236"/>
        <v>467.18591144057194</v>
      </c>
      <c r="BE34" s="215">
        <f t="shared" si="237"/>
        <v>383.68957779032496</v>
      </c>
      <c r="BF34" s="215">
        <f t="shared" si="238"/>
        <v>1465.8673719943511</v>
      </c>
      <c r="BG34" s="215">
        <f t="shared" si="239"/>
        <v>167.51261961728568</v>
      </c>
      <c r="BH34" s="215">
        <f t="shared" si="240"/>
        <v>216.56786493373616</v>
      </c>
      <c r="BI34" s="215">
        <f t="shared" si="241"/>
        <v>611.01203776797411</v>
      </c>
      <c r="BJ34" s="194"/>
      <c r="BK34" s="66">
        <v>8</v>
      </c>
      <c r="BL34" s="66">
        <v>2012</v>
      </c>
      <c r="BM34" s="215">
        <f t="shared" si="249"/>
        <v>187.36278135339674</v>
      </c>
      <c r="BN34" s="219">
        <f t="shared" si="250"/>
        <v>150.7774560704712</v>
      </c>
      <c r="BO34" s="219">
        <f t="shared" si="251"/>
        <v>20.572996969052383</v>
      </c>
      <c r="BP34" s="219">
        <f t="shared" si="293"/>
        <v>3.7966489996240567</v>
      </c>
      <c r="BQ34" s="219">
        <f t="shared" si="252"/>
        <v>52.821283224517785</v>
      </c>
      <c r="BR34" s="220">
        <f t="shared" si="294"/>
        <v>44.434771652708136</v>
      </c>
      <c r="BS34" s="219">
        <f t="shared" si="295"/>
        <v>76.752863562632371</v>
      </c>
      <c r="BT34" s="219">
        <f t="shared" si="296"/>
        <v>20.50311560254158</v>
      </c>
      <c r="BU34" s="219">
        <f t="shared" si="297"/>
        <v>14.083426475873356</v>
      </c>
      <c r="BV34" s="219">
        <f t="shared" si="298"/>
        <v>4.2900740654050944</v>
      </c>
      <c r="BW34" s="219">
        <f t="shared" si="299"/>
        <v>3.0843253901900218</v>
      </c>
      <c r="BX34" s="220">
        <f t="shared" si="300"/>
        <v>0.59800495986780511</v>
      </c>
      <c r="BY34" s="195"/>
      <c r="BZ34" s="192">
        <v>8</v>
      </c>
      <c r="CA34" s="66">
        <v>2012</v>
      </c>
      <c r="CB34" s="218">
        <f>pAsympt_NoCare_Asympt_Dead_2010_2012*AS33</f>
        <v>13.641879516998126</v>
      </c>
      <c r="CC34" s="218">
        <f t="shared" si="253"/>
        <v>4.2490806565632795</v>
      </c>
      <c r="CD34" s="73">
        <f t="shared" si="254"/>
        <v>7.6617125468916534</v>
      </c>
      <c r="CE34" s="73">
        <f>pInt_NoCare_Int_Dead_2010_2012*AW33</f>
        <v>21.578562069157574</v>
      </c>
      <c r="CF34" s="73">
        <f t="shared" si="255"/>
        <v>11.690244682856312</v>
      </c>
      <c r="CG34" s="73">
        <f t="shared" si="256"/>
        <v>4.8506896209358858</v>
      </c>
      <c r="CH34" s="73">
        <f t="shared" si="257"/>
        <v>0.98662202591462911</v>
      </c>
      <c r="CI34" s="73">
        <f t="shared" si="258"/>
        <v>6.7260567700181229</v>
      </c>
      <c r="CJ34" s="73">
        <f t="shared" si="259"/>
        <v>4.2270879646678283</v>
      </c>
      <c r="CK34" s="73">
        <f t="shared" si="260"/>
        <v>0.43055513079720964</v>
      </c>
      <c r="CL34" s="73">
        <f t="shared" si="261"/>
        <v>6.2924570557995815E-2</v>
      </c>
      <c r="CM34" s="73">
        <f>pAIDS_NoCare_AIDS_Dead_2010_2012*BC33</f>
        <v>154.24586443757292</v>
      </c>
      <c r="CN34" s="73">
        <f t="shared" si="263"/>
        <v>252.3026250017825</v>
      </c>
      <c r="CO34" s="73">
        <f t="shared" si="264"/>
        <v>73.038871131904415</v>
      </c>
      <c r="CP34" s="73">
        <f t="shared" si="265"/>
        <v>29.277094828603531</v>
      </c>
      <c r="CQ34" s="73">
        <f t="shared" si="266"/>
        <v>9.5968065750651022</v>
      </c>
      <c r="CR34" s="73">
        <f t="shared" si="267"/>
        <v>27.210270923330199</v>
      </c>
      <c r="CS34" s="73">
        <f t="shared" si="268"/>
        <v>15.218839453794375</v>
      </c>
      <c r="CT34" s="73">
        <f t="shared" si="269"/>
        <v>35.723957238856208</v>
      </c>
      <c r="CU34" s="73">
        <f t="shared" si="270"/>
        <v>9.1995654534801155</v>
      </c>
      <c r="CV34" s="73">
        <f t="shared" si="271"/>
        <v>3.4419490179200869</v>
      </c>
      <c r="CW34" s="73">
        <f t="shared" si="272"/>
        <v>1.1013839498407267</v>
      </c>
      <c r="CX34" s="73">
        <f t="shared" si="273"/>
        <v>0.54897510026904384</v>
      </c>
      <c r="CY34" s="73">
        <f t="shared" si="274"/>
        <v>0.1058346555548227</v>
      </c>
      <c r="CZ34" s="190"/>
      <c r="DA34" s="66">
        <v>2012</v>
      </c>
      <c r="DB34" s="218">
        <f t="shared" si="242"/>
        <v>935.8876877820112</v>
      </c>
      <c r="DC34" s="218">
        <f t="shared" si="243"/>
        <v>6507.5500888084707</v>
      </c>
      <c r="DD34" s="73">
        <f t="shared" si="244"/>
        <v>3387.0239356452153</v>
      </c>
      <c r="DE34" s="73">
        <f t="shared" si="245"/>
        <v>2017.0695694019616</v>
      </c>
      <c r="DF34" s="73">
        <f t="shared" si="246"/>
        <v>941.82419289062898</v>
      </c>
      <c r="DG34" s="73">
        <f t="shared" si="247"/>
        <v>2125.7296285910952</v>
      </c>
      <c r="DH34" s="72">
        <f t="shared" si="275"/>
        <v>0.61439784967322841</v>
      </c>
      <c r="DI34" s="72">
        <f t="shared" si="276"/>
        <v>0.68169719207461821</v>
      </c>
      <c r="DJ34" s="73">
        <f>SUM(AV26:AV34,BB26:BB34,BI26:BI34)</f>
        <v>4456.809911191529</v>
      </c>
      <c r="DK34" s="73">
        <f>SUM(AV32:AV34,BB32:BB34,BI32:BI34)</f>
        <v>2481.1307358198878</v>
      </c>
      <c r="DL34" s="190"/>
    </row>
    <row r="35" spans="1:120" x14ac:dyDescent="0.25">
      <c r="A35" s="190"/>
      <c r="B35" s="68">
        <v>2005</v>
      </c>
      <c r="C35" s="185" t="s">
        <v>326</v>
      </c>
      <c r="D35" s="169">
        <v>0</v>
      </c>
      <c r="E35" s="169">
        <v>0</v>
      </c>
      <c r="F35" s="169">
        <v>0</v>
      </c>
      <c r="G35" s="169">
        <v>0</v>
      </c>
      <c r="H35" s="169">
        <v>0</v>
      </c>
      <c r="I35" s="169">
        <v>0</v>
      </c>
      <c r="J35" s="169">
        <v>0</v>
      </c>
      <c r="K35" s="169">
        <v>0</v>
      </c>
      <c r="L35" s="169">
        <v>0</v>
      </c>
      <c r="M35" s="169">
        <v>0</v>
      </c>
      <c r="N35" s="169">
        <v>0</v>
      </c>
      <c r="O35" s="169">
        <v>0</v>
      </c>
      <c r="P35" s="169">
        <v>0</v>
      </c>
      <c r="Q35" s="169">
        <v>0</v>
      </c>
      <c r="R35" s="169">
        <v>0</v>
      </c>
      <c r="S35" s="169">
        <v>0</v>
      </c>
      <c r="T35" s="169">
        <v>0</v>
      </c>
      <c r="U35" s="61">
        <f t="shared" si="248"/>
        <v>0</v>
      </c>
      <c r="V35" s="190"/>
      <c r="W35" s="66">
        <v>9</v>
      </c>
      <c r="X35" s="66">
        <v>2013</v>
      </c>
      <c r="Y35" s="70">
        <f>MMULT($Y34:$AO34,D$202:D$218)</f>
        <v>2.7480607207793047E-2</v>
      </c>
      <c r="Z35" s="70">
        <f t="shared" ref="Z35:Z45" si="397">MMULT($Y34:$AO34,E$202:E$218)</f>
        <v>9.7890186155814643E-3</v>
      </c>
      <c r="AA35" s="70">
        <f t="shared" ref="AA35:AA45" si="398">MMULT($Y34:$AO34,F$202:F$218)</f>
        <v>2.565284493529852E-2</v>
      </c>
      <c r="AB35" s="70">
        <f t="shared" ref="AB35:AB45" si="399">MMULT($Y34:$AO34,G$202:G$218)</f>
        <v>1.6330821908736993E-3</v>
      </c>
      <c r="AC35" s="70">
        <f t="shared" ref="AC35:AC45" si="400">MMULT($Y34:$AO34,H$202:H$218)</f>
        <v>3.1070348294660353E-2</v>
      </c>
      <c r="AD35" s="70">
        <f t="shared" ref="AD35:AD45" si="401">MMULT($Y34:$AO34,I$202:I$218)</f>
        <v>1.8465454078238748E-2</v>
      </c>
      <c r="AE35" s="70">
        <f t="shared" ref="AE35:AE45" si="402">MMULT($Y34:$AO34,J$202:J$218)</f>
        <v>0.11195280243633014</v>
      </c>
      <c r="AF35" s="70">
        <f t="shared" ref="AF35:AF45" si="403">MMULT($Y34:$AO34,K$202:K$218)</f>
        <v>2.9964662897011805E-2</v>
      </c>
      <c r="AG35" s="70">
        <f t="shared" ref="AG35:AG45" si="404">MMULT($Y34:$AO34,L$202:L$218)</f>
        <v>2.6501977197079959E-2</v>
      </c>
      <c r="AH35" s="70">
        <f t="shared" ref="AH35:AH45" si="405">MMULT($Y34:$AO34,M$202:M$218)</f>
        <v>3.5954954885070844E-3</v>
      </c>
      <c r="AI35" s="70">
        <f t="shared" ref="AI35:AI45" si="406">MMULT($Y34:$AO34,N$202:N$218)</f>
        <v>1.5780384005252116E-2</v>
      </c>
      <c r="AJ35" s="70">
        <f t="shared" ref="AJ35:AJ45" si="407">MMULT($Y34:$AO34,O$202:O$218)</f>
        <v>2.925711159285484E-2</v>
      </c>
      <c r="AK35" s="70">
        <f t="shared" ref="AK35:AK45" si="408">MMULT($Y34:$AO34,P$202:P$218)</f>
        <v>2.6317703975177485E-2</v>
      </c>
      <c r="AL35" s="70">
        <f t="shared" ref="AL35:AL45" si="409">MMULT($Y34:$AO34,Q$202:Q$218)</f>
        <v>0.15342915489665959</v>
      </c>
      <c r="AM35" s="70">
        <f t="shared" ref="AM35:AM45" si="410">MMULT($Y34:$AO34,R$202:R$218)</f>
        <v>2.2097839738803218E-2</v>
      </c>
      <c r="AN35" s="70">
        <f t="shared" ref="AN35:AN45" si="411">MMULT($Y34:$AO34,S$202:S$218)</f>
        <v>1.6291477362989328E-2</v>
      </c>
      <c r="AO35" s="70">
        <f t="shared" ref="AO35:AO45" si="412">MMULT($Y34:$AO34,T$202:T$218)</f>
        <v>4.4238497524137194E-2</v>
      </c>
      <c r="AP35" s="190"/>
      <c r="AQ35" s="66">
        <v>9</v>
      </c>
      <c r="AR35" s="66">
        <v>2013</v>
      </c>
      <c r="AS35" s="215">
        <f t="shared" si="225"/>
        <v>301.3072704448378</v>
      </c>
      <c r="AT35" s="215">
        <f t="shared" si="226"/>
        <v>107.33032414793679</v>
      </c>
      <c r="AU35" s="215">
        <f t="shared" si="227"/>
        <v>281.26702689478969</v>
      </c>
      <c r="AV35" s="215">
        <f t="shared" si="228"/>
        <v>17.905701050327956</v>
      </c>
      <c r="AW35" s="215">
        <f t="shared" si="229"/>
        <v>340.66648402804219</v>
      </c>
      <c r="AX35" s="215">
        <f t="shared" si="230"/>
        <v>202.4618860772778</v>
      </c>
      <c r="AY35" s="215">
        <f t="shared" si="231"/>
        <v>1227.4908289208008</v>
      </c>
      <c r="AZ35" s="215">
        <f t="shared" si="232"/>
        <v>328.54335128148034</v>
      </c>
      <c r="BA35" s="215">
        <f t="shared" si="233"/>
        <v>290.57721870057566</v>
      </c>
      <c r="BB35" s="215">
        <f t="shared" si="234"/>
        <v>39.422306914367539</v>
      </c>
      <c r="BC35" s="215">
        <f t="shared" si="235"/>
        <v>173.0218111718261</v>
      </c>
      <c r="BD35" s="215">
        <f t="shared" si="236"/>
        <v>320.78550406423392</v>
      </c>
      <c r="BE35" s="215">
        <f t="shared" si="237"/>
        <v>288.55678075727701</v>
      </c>
      <c r="BF35" s="215">
        <f t="shared" si="238"/>
        <v>1682.2524887827387</v>
      </c>
      <c r="BG35" s="215">
        <f t="shared" si="239"/>
        <v>242.28867011854447</v>
      </c>
      <c r="BH35" s="215">
        <f t="shared" si="240"/>
        <v>178.62562273966569</v>
      </c>
      <c r="BI35" s="215">
        <f t="shared" si="241"/>
        <v>485.04681271374892</v>
      </c>
      <c r="BJ35" s="194"/>
      <c r="BK35" s="66">
        <v>9</v>
      </c>
      <c r="BL35" s="66">
        <v>2013</v>
      </c>
      <c r="BM35" s="215">
        <f t="shared" ref="BM35:BM45" si="413">(AX34*pInt_InCare_Int_LTFU_2013plus_u)+(BM34*pInt_LTFU_2013plus_u)</f>
        <v>130.14040744144859</v>
      </c>
      <c r="BN35" s="219">
        <f t="shared" ref="BN35:BN45" si="414">(AU34*pAsympt_LTFU_Int_LTFU_2013plus_u)+(BN34*pInt_LTFU_2013plus_u)</f>
        <v>131.01973955781847</v>
      </c>
      <c r="BO35" s="219">
        <f t="shared" ref="BO35:BO45" si="415">(AY34*pInt_ART1_Int_LTFU_2013plus_u)+(BO34*pInt_LTFU_2013plus_u)</f>
        <v>24.138376139044198</v>
      </c>
      <c r="BP35" s="219">
        <f t="shared" ref="BP35:BP45" si="416">(AZ34*pInt_ART2_Int_LTFU_2013plus_u)+(BP34*pInt_LTFU_2013plus_u)</f>
        <v>5.2786955622643807</v>
      </c>
      <c r="BQ35" s="219">
        <f t="shared" ref="BQ35:BQ45" si="417">(BD34*pAIDS_InCare_AIDS_LTFU_2013plus_u)+(BQ34*pAIDS_LTFU_2013plus_u)</f>
        <v>35.136680025775952</v>
      </c>
      <c r="BR35" s="220">
        <f t="shared" ref="BR35:BR45" si="418">(BN34*pInt_LTFU_AIDS_LTFU_2013plus_u)+(BR34*pAIDS_LTFU_2013plus_u)</f>
        <v>42.691179435233963</v>
      </c>
      <c r="BS35" s="219">
        <f t="shared" ref="BS35:BS45" si="419">(BM34*pInt_LTFU_AIDS_LTFU_2013plus_u)+(BS34*pAIDS_LTFU_2013plus_u)</f>
        <v>56.174551353417698</v>
      </c>
      <c r="BT35" s="219">
        <f t="shared" ref="BT35:BT45" si="420">(BE34*pAIDS_ART1ear_AIDS_LTFU_2013plus_u)+(BT34*pAIDS_LTFU_2013plus_u)</f>
        <v>15.139693375230598</v>
      </c>
      <c r="BU35" s="219">
        <f t="shared" ref="BU35:BU45" si="421">(BF34*pAIDS_ART1late_AIDS_LTFU_2013plus_u)+(BU34*pAIDS_LTFU_2013plus_u)</f>
        <v>17.871226671711458</v>
      </c>
      <c r="BV35" s="219">
        <f t="shared" ref="BV35:BV45" si="422">(BO34*pInt_LTFU_AIDS_LTFU_2013plus_u)+(BV34*pAIDS_LTFU_2013plus_u)</f>
        <v>5.5678268506265205</v>
      </c>
      <c r="BW35" s="219">
        <f t="shared" ref="BW35:BW45" si="423">(BG34*pAIDS_ART2_AIDS_LTFU_2013plus_u)+(BW34*pAIDS_LTFU_2013plus_u)</f>
        <v>5.0450531495015793</v>
      </c>
      <c r="BX35" s="220">
        <f t="shared" ref="BX35:BX45" si="424">(BP34*pInt_LTFU_AIDS_LTFU_2013plus_u)+(BX34*pAIDS_LTFU_2013plus_u)</f>
        <v>0.99941187816790422</v>
      </c>
      <c r="BY35" s="195"/>
      <c r="BZ35" s="192">
        <v>9</v>
      </c>
      <c r="CA35" s="66">
        <v>2013</v>
      </c>
      <c r="CB35" s="218">
        <f t="shared" ref="CB35:CB45" si="425">pAsympt_NoCare_Asympt_Dead_2013plus_u*AS34</f>
        <v>8.645678732601997</v>
      </c>
      <c r="CC35" s="218">
        <f t="shared" ref="CC35:CC45" si="426">pAsympt_InCare_Asympt_Dead_2013plus_u*AT34</f>
        <v>2.8092668563014978</v>
      </c>
      <c r="CD35" s="73">
        <f t="shared" ref="CD35:CD45" si="427">pAsympt_LTFU_Asympt_Dead_2013plus_u*AU34</f>
        <v>6.4507554614244578</v>
      </c>
      <c r="CE35" s="73">
        <f t="shared" ref="CE35:CE45" si="428">pInt_NoCare_Int_Dead_2013plus_u*AW34</f>
        <v>14.427680920919252</v>
      </c>
      <c r="CF35" s="73">
        <f t="shared" ref="CF35:CF45" si="429">pInt_InCare_Int_Dead_2013plus_u*AX34</f>
        <v>7.9566644811253511</v>
      </c>
      <c r="CG35" s="73">
        <f t="shared" ref="CG35:CG45" si="430">pInt_ART1_Int_Dead_2013plus_u*AY34</f>
        <v>5.6041690546385103</v>
      </c>
      <c r="CH35" s="73">
        <f t="shared" ref="CH35:CH45" si="431">pInt_ART2_Int_Dead_2013plus_u*AZ34</f>
        <v>1.323922030828774</v>
      </c>
      <c r="CI35" s="73">
        <f t="shared" ref="CI35:CI45" si="432">(BM34*pInt_LTFU_Int_Dead_2013plus_u)</f>
        <v>5.2252739279027471</v>
      </c>
      <c r="CJ35" s="73">
        <f t="shared" ref="CJ35:CJ45" si="433">(BN34*pInt_LTFU_Int_Dead_2013plus_u)</f>
        <v>4.2049627168723269</v>
      </c>
      <c r="CK35" s="73">
        <f t="shared" ref="CK35:CK45" si="434">(BO34*pInt_LTFU_Int_Dead_2013plus_u)</f>
        <v>0.57375079460658729</v>
      </c>
      <c r="CL35" s="73">
        <f t="shared" ref="CL35:CL45" si="435">(BP34*pInt_LTFU_Int_Dead_2013plus_u)</f>
        <v>0.10588298747398998</v>
      </c>
      <c r="CM35" s="73">
        <f t="shared" ref="CM35:CM45" si="436">pAIDS_NoCare_AIDS_Dead_2013plus_u*BC34</f>
        <v>105.94170949990522</v>
      </c>
      <c r="CN35" s="73">
        <f t="shared" ref="CN35:CN45" si="437">pAIDS_InCare_AIDS_Dead_2013plus_u*BD34</f>
        <v>179.95416282238054</v>
      </c>
      <c r="CO35" s="73">
        <f t="shared" ref="CO35:CO45" si="438">pAIDS_ART1ear_AIDS_Dead_2013plus_u*BE34</f>
        <v>56.711204840037951</v>
      </c>
      <c r="CP35" s="73">
        <f t="shared" ref="CP35:CP45" si="439">pAIDS_ART1late_AIDS_Dead_2013plus_u*BF34</f>
        <v>37.753702187670072</v>
      </c>
      <c r="CQ35" s="73">
        <f t="shared" ref="CQ35:CQ45" si="440">pAIDS_ART2_AIDS_Dead_2013plus_u*BG34</f>
        <v>15.781732965675197</v>
      </c>
      <c r="CR35" s="73">
        <f t="shared" ref="CR35:CR45" si="441">(BQ34*pAIDS_LTFU_AIDS_Dead_2013plus_u)</f>
        <v>21.683915259733691</v>
      </c>
      <c r="CS35" s="73">
        <f t="shared" ref="CS35:CS45" si="442">(BR34*pAIDS_LTFU_AIDS_Dead_2013plus_u)</f>
        <v>18.241128656558423</v>
      </c>
      <c r="CT35" s="73">
        <f t="shared" ref="CT35:CT45" si="443">(BS34*pAIDS_LTFU_AIDS_Dead_2013plus_u)</f>
        <v>31.508181699408457</v>
      </c>
      <c r="CU35" s="73">
        <f t="shared" ref="CU35:CU45" si="444">(BT34*pAIDS_LTFU_AIDS_Dead_2013plus_u)</f>
        <v>8.4168311359704582</v>
      </c>
      <c r="CV35" s="73">
        <f t="shared" ref="CV35:CV45" si="445">(BU34*pAIDS_LTFU_AIDS_Dead_2013plus_u)</f>
        <v>5.7814541341505938</v>
      </c>
      <c r="CW35" s="73">
        <f t="shared" ref="CW35:CW45" si="446">(BV34*pAIDS_LTFU_AIDS_Dead_2013plus_u)</f>
        <v>1.7611386322596205</v>
      </c>
      <c r="CX35" s="73">
        <f t="shared" ref="CX35:CX45" si="447">(BW34*pAIDS_LTFU_AIDS_Dead_2013plus_u)</f>
        <v>1.2661610303946957</v>
      </c>
      <c r="CY35" s="73">
        <f t="shared" ref="CY35:CY45" si="448">(BX34*pAIDS_LTFU_AIDS_Dead_2013plus_u)</f>
        <v>0.24548984960393894</v>
      </c>
      <c r="CZ35" s="190"/>
      <c r="DA35" s="66">
        <v>2013</v>
      </c>
      <c r="DB35" s="218">
        <f t="shared" si="242"/>
        <v>630.57771428944852</v>
      </c>
      <c r="DC35" s="218">
        <f t="shared" si="243"/>
        <v>5965.1752681300259</v>
      </c>
      <c r="DD35" s="73">
        <f t="shared" si="244"/>
        <v>3769.1321198608412</v>
      </c>
      <c r="DE35" s="73">
        <f t="shared" si="245"/>
        <v>2213.0979396585603</v>
      </c>
      <c r="DF35" s="73">
        <f t="shared" si="246"/>
        <v>672.43293797572574</v>
      </c>
      <c r="DG35" s="73">
        <f t="shared" si="247"/>
        <v>1506.1385267816215</v>
      </c>
      <c r="DH35" s="72">
        <f t="shared" si="275"/>
        <v>0.7144907574097209</v>
      </c>
      <c r="DI35" s="72">
        <f t="shared" si="276"/>
        <v>0.76696387372329122</v>
      </c>
      <c r="DJ35" s="73">
        <f>SUM(AV26:AV35,BB26:BB35,BI26:BI35)</f>
        <v>4999.1847318699738</v>
      </c>
      <c r="DK35" s="73">
        <f>SUM(AV32:AV35,BB32:BB35,BI32:BI35)</f>
        <v>3023.5055564983322</v>
      </c>
      <c r="DL35" s="190"/>
    </row>
    <row r="36" spans="1:120" x14ac:dyDescent="0.25">
      <c r="A36" s="190"/>
      <c r="B36" s="68">
        <v>2005</v>
      </c>
      <c r="C36" s="185" t="s">
        <v>327</v>
      </c>
      <c r="D36" s="169">
        <v>0</v>
      </c>
      <c r="E36" s="169">
        <v>0</v>
      </c>
      <c r="F36" s="169">
        <v>0</v>
      </c>
      <c r="G36" s="169">
        <v>0</v>
      </c>
      <c r="H36" s="169">
        <v>0</v>
      </c>
      <c r="I36" s="169">
        <v>0</v>
      </c>
      <c r="J36" s="169">
        <v>0</v>
      </c>
      <c r="K36" s="169">
        <v>0</v>
      </c>
      <c r="L36" s="169">
        <v>0</v>
      </c>
      <c r="M36" s="169">
        <v>0</v>
      </c>
      <c r="N36" s="172">
        <f>pAIDS_NoCare_2004_2006</f>
        <v>0.44404723635105525</v>
      </c>
      <c r="O36" s="172">
        <f>pAIDS_NoCare_AIDS_InCare_2004_2006</f>
        <v>9.3850668696244199E-2</v>
      </c>
      <c r="P36" s="170">
        <f>pAIDS_NoCare_AIDS_ART1ear_2004_2006</f>
        <v>5.1587356649849515E-2</v>
      </c>
      <c r="Q36" s="169">
        <v>0</v>
      </c>
      <c r="R36" s="169">
        <v>0</v>
      </c>
      <c r="S36" s="169">
        <v>0</v>
      </c>
      <c r="T36" s="170">
        <f>pAIDS_NoCare_AIDS_Dead_2004_2006</f>
        <v>0.41051473830285101</v>
      </c>
      <c r="U36" s="61">
        <f t="shared" si="248"/>
        <v>0.99999999999999989</v>
      </c>
      <c r="V36" s="190"/>
      <c r="W36" s="66">
        <v>10</v>
      </c>
      <c r="X36" s="66">
        <v>2014</v>
      </c>
      <c r="Y36" s="70">
        <f t="shared" ref="Y36:Y45" si="449">MMULT($Y35:$AO35,D$202:D$218)</f>
        <v>1.7416111980710889E-2</v>
      </c>
      <c r="Z36" s="70">
        <f t="shared" si="397"/>
        <v>6.3232951622423858E-3</v>
      </c>
      <c r="AA36" s="70">
        <f t="shared" si="398"/>
        <v>1.9690784227548337E-2</v>
      </c>
      <c r="AB36" s="70">
        <f t="shared" si="399"/>
        <v>1.1332651275639625E-3</v>
      </c>
      <c r="AC36" s="70">
        <f t="shared" si="400"/>
        <v>2.0245370182194019E-2</v>
      </c>
      <c r="AD36" s="70">
        <f t="shared" si="401"/>
        <v>1.2116198255779882E-2</v>
      </c>
      <c r="AE36" s="70">
        <f t="shared" si="402"/>
        <v>0.11920130017009993</v>
      </c>
      <c r="AF36" s="70">
        <f t="shared" si="403"/>
        <v>3.4902223385373125E-2</v>
      </c>
      <c r="AG36" s="70">
        <f t="shared" si="404"/>
        <v>2.1101118899343595E-2</v>
      </c>
      <c r="AH36" s="70">
        <f t="shared" si="405"/>
        <v>2.8065110502056975E-3</v>
      </c>
      <c r="AI36" s="70">
        <f t="shared" si="406"/>
        <v>1.0410858103161443E-2</v>
      </c>
      <c r="AJ36" s="70">
        <f t="shared" si="407"/>
        <v>1.9606413369116813E-2</v>
      </c>
      <c r="AK36" s="70">
        <f t="shared" si="408"/>
        <v>1.8578525219364237E-2</v>
      </c>
      <c r="AL36" s="70">
        <f t="shared" si="409"/>
        <v>0.16472028966096267</v>
      </c>
      <c r="AM36" s="70">
        <f t="shared" si="410"/>
        <v>2.7887964451198975E-2</v>
      </c>
      <c r="AN36" s="70">
        <f t="shared" si="411"/>
        <v>1.3552343036325395E-2</v>
      </c>
      <c r="AO36" s="70">
        <f t="shared" si="412"/>
        <v>3.435881495253925E-2</v>
      </c>
      <c r="AP36" s="190"/>
      <c r="AQ36" s="66">
        <v>10</v>
      </c>
      <c r="AR36" s="66">
        <v>2014</v>
      </c>
      <c r="AS36" s="215">
        <f t="shared" si="225"/>
        <v>190.95652155682725</v>
      </c>
      <c r="AT36" s="215">
        <f t="shared" si="226"/>
        <v>69.330884545083933</v>
      </c>
      <c r="AU36" s="215">
        <f t="shared" si="227"/>
        <v>215.89684695316188</v>
      </c>
      <c r="AV36" s="215">
        <f t="shared" si="228"/>
        <v>12.425526834057209</v>
      </c>
      <c r="AW36" s="215">
        <f t="shared" si="229"/>
        <v>221.97752701084082</v>
      </c>
      <c r="AX36" s="215">
        <f t="shared" si="230"/>
        <v>132.8463595077427</v>
      </c>
      <c r="AY36" s="215">
        <f t="shared" si="231"/>
        <v>1306.965967533037</v>
      </c>
      <c r="AZ36" s="215">
        <f t="shared" si="232"/>
        <v>382.6805419976497</v>
      </c>
      <c r="BA36" s="215">
        <f t="shared" si="233"/>
        <v>231.36026401520695</v>
      </c>
      <c r="BB36" s="215">
        <f t="shared" si="234"/>
        <v>30.771597498433344</v>
      </c>
      <c r="BC36" s="215">
        <f t="shared" si="235"/>
        <v>114.14839615197921</v>
      </c>
      <c r="BD36" s="215">
        <f t="shared" si="236"/>
        <v>214.97177448780963</v>
      </c>
      <c r="BE36" s="215">
        <f t="shared" si="237"/>
        <v>203.70163877418847</v>
      </c>
      <c r="BF36" s="215">
        <f t="shared" si="238"/>
        <v>1806.0525551470728</v>
      </c>
      <c r="BG36" s="215">
        <f t="shared" si="239"/>
        <v>305.77368191014801</v>
      </c>
      <c r="BH36" s="215">
        <f t="shared" si="240"/>
        <v>148.59276789376472</v>
      </c>
      <c r="BI36" s="215">
        <f t="shared" si="241"/>
        <v>376.7224163130233</v>
      </c>
      <c r="BJ36" s="194"/>
      <c r="BK36" s="66">
        <v>10</v>
      </c>
      <c r="BL36" s="66">
        <v>2014</v>
      </c>
      <c r="BM36" s="215">
        <f t="shared" si="413"/>
        <v>88.79991019860438</v>
      </c>
      <c r="BN36" s="219">
        <f t="shared" si="414"/>
        <v>108.45538858559546</v>
      </c>
      <c r="BO36" s="219">
        <f t="shared" si="415"/>
        <v>27.27551443437364</v>
      </c>
      <c r="BP36" s="219">
        <f t="shared" si="416"/>
        <v>6.8294507966334379</v>
      </c>
      <c r="BQ36" s="219">
        <f t="shared" si="417"/>
        <v>23.961758967696678</v>
      </c>
      <c r="BR36" s="220">
        <f t="shared" si="418"/>
        <v>37.688789195346885</v>
      </c>
      <c r="BS36" s="219">
        <f t="shared" si="419"/>
        <v>39.433651178065773</v>
      </c>
      <c r="BT36" s="219">
        <f t="shared" si="420"/>
        <v>11.34532591073012</v>
      </c>
      <c r="BU36" s="219">
        <f t="shared" si="421"/>
        <v>20.757232329823204</v>
      </c>
      <c r="BV36" s="219">
        <f t="shared" si="422"/>
        <v>6.6102667664616446</v>
      </c>
      <c r="BW36" s="219">
        <f t="shared" si="423"/>
        <v>7.3818345254302429</v>
      </c>
      <c r="BX36" s="220">
        <f t="shared" si="424"/>
        <v>1.4139090202102018</v>
      </c>
      <c r="BY36" s="195"/>
      <c r="BZ36" s="192">
        <v>10</v>
      </c>
      <c r="CA36" s="66">
        <v>2014</v>
      </c>
      <c r="CB36" s="218">
        <f t="shared" si="425"/>
        <v>5.4792860950156381</v>
      </c>
      <c r="CC36" s="218">
        <f t="shared" si="426"/>
        <v>1.8313873630319886</v>
      </c>
      <c r="CD36" s="73">
        <f t="shared" si="427"/>
        <v>5.1148533760095818</v>
      </c>
      <c r="CE36" s="73">
        <f t="shared" si="428"/>
        <v>9.5006899675795999</v>
      </c>
      <c r="CF36" s="73">
        <f t="shared" si="429"/>
        <v>5.2980057133727003</v>
      </c>
      <c r="CG36" s="73">
        <f t="shared" si="430"/>
        <v>6.207628866251607</v>
      </c>
      <c r="CH36" s="73">
        <f t="shared" si="431"/>
        <v>1.661499331138016</v>
      </c>
      <c r="CI36" s="73">
        <f t="shared" si="432"/>
        <v>3.6294256151536031</v>
      </c>
      <c r="CJ36" s="73">
        <f t="shared" si="433"/>
        <v>3.6539489017340294</v>
      </c>
      <c r="CK36" s="73">
        <f t="shared" si="434"/>
        <v>0.6731840047963229</v>
      </c>
      <c r="CL36" s="73">
        <f t="shared" si="435"/>
        <v>0.14721509840746155</v>
      </c>
      <c r="CM36" s="73">
        <f t="shared" si="436"/>
        <v>71.0280035338875</v>
      </c>
      <c r="CN36" s="73">
        <f t="shared" si="437"/>
        <v>123.56255917785236</v>
      </c>
      <c r="CO36" s="73">
        <f t="shared" si="438"/>
        <v>42.650110007550218</v>
      </c>
      <c r="CP36" s="73">
        <f t="shared" si="439"/>
        <v>43.326743387133021</v>
      </c>
      <c r="CQ36" s="73">
        <f t="shared" si="440"/>
        <v>22.826549433442587</v>
      </c>
      <c r="CR36" s="73">
        <f t="shared" si="441"/>
        <v>14.424125005612428</v>
      </c>
      <c r="CS36" s="73">
        <f t="shared" si="442"/>
        <v>17.525358353695125</v>
      </c>
      <c r="CT36" s="73">
        <f t="shared" si="443"/>
        <v>23.06048124812833</v>
      </c>
      <c r="CU36" s="73">
        <f t="shared" si="444"/>
        <v>6.2150672639181961</v>
      </c>
      <c r="CV36" s="73">
        <f t="shared" si="445"/>
        <v>7.3364019402885603</v>
      </c>
      <c r="CW36" s="73">
        <f t="shared" si="446"/>
        <v>2.2856749825005331</v>
      </c>
      <c r="CX36" s="73">
        <f t="shared" si="447"/>
        <v>2.0710686733916153</v>
      </c>
      <c r="CY36" s="73">
        <f t="shared" si="448"/>
        <v>0.41027330562285802</v>
      </c>
      <c r="CZ36" s="190"/>
      <c r="DA36" s="66">
        <v>2014</v>
      </c>
      <c r="DB36" s="218">
        <f t="shared" si="242"/>
        <v>417.14901854063623</v>
      </c>
      <c r="DC36" s="218">
        <f t="shared" si="243"/>
        <v>5545.255727484514</v>
      </c>
      <c r="DD36" s="73">
        <f t="shared" si="244"/>
        <v>4005.174385362096</v>
      </c>
      <c r="DE36" s="73">
        <f t="shared" si="245"/>
        <v>2315.5278758314093</v>
      </c>
      <c r="DF36" s="73">
        <f t="shared" si="246"/>
        <v>477.7129385335536</v>
      </c>
      <c r="DG36" s="73">
        <f t="shared" si="247"/>
        <v>1063.897089067344</v>
      </c>
      <c r="DH36" s="72">
        <f t="shared" si="275"/>
        <v>0.79011992740009784</v>
      </c>
      <c r="DI36" s="72">
        <f t="shared" si="276"/>
        <v>0.82897538369166346</v>
      </c>
      <c r="DJ36" s="73">
        <f>SUM(AV26:AV36,BB26:BB36,BI26:BI36)</f>
        <v>5419.1042725154875</v>
      </c>
      <c r="DK36" s="73">
        <f>SUM(AV32:AV36,BB32:BB36,BI32:BI36)</f>
        <v>3443.425097143846</v>
      </c>
      <c r="DL36" s="190"/>
    </row>
    <row r="37" spans="1:120" x14ac:dyDescent="0.25">
      <c r="A37" s="190"/>
      <c r="B37" s="68">
        <v>2005</v>
      </c>
      <c r="C37" s="185" t="s">
        <v>328</v>
      </c>
      <c r="D37" s="169">
        <v>0</v>
      </c>
      <c r="E37" s="169">
        <v>0</v>
      </c>
      <c r="F37" s="169">
        <v>0</v>
      </c>
      <c r="G37" s="169">
        <v>0</v>
      </c>
      <c r="H37" s="169">
        <v>0</v>
      </c>
      <c r="I37" s="169">
        <v>0</v>
      </c>
      <c r="J37" s="169">
        <v>0</v>
      </c>
      <c r="K37" s="169">
        <v>0</v>
      </c>
      <c r="L37" s="169">
        <v>0</v>
      </c>
      <c r="M37" s="169">
        <v>0</v>
      </c>
      <c r="N37" s="169">
        <v>0</v>
      </c>
      <c r="O37" s="172">
        <f>pAIDS_InCare_2005</f>
        <v>0.19611662475472902</v>
      </c>
      <c r="P37" s="172">
        <f>pAIDS_InCare_AIDS_ART1ear_2005</f>
        <v>0.35989042068732152</v>
      </c>
      <c r="Q37" s="169">
        <v>0</v>
      </c>
      <c r="R37" s="169">
        <v>0</v>
      </c>
      <c r="S37" s="170">
        <f>pAIDS_InCare_AIDS_LTFU_2004_2012</f>
        <v>5.8805476905872532E-2</v>
      </c>
      <c r="T37" s="170">
        <f>pAIDS_InCare_AIDS_Dead_2004_2012</f>
        <v>0.385187477652077</v>
      </c>
      <c r="U37" s="61">
        <f t="shared" si="248"/>
        <v>1</v>
      </c>
      <c r="V37" s="190"/>
      <c r="W37" s="66">
        <v>11</v>
      </c>
      <c r="X37" s="66">
        <v>2015</v>
      </c>
      <c r="Y37" s="70">
        <f t="shared" si="449"/>
        <v>1.1037636622477707E-2</v>
      </c>
      <c r="Z37" s="70">
        <f t="shared" si="397"/>
        <v>4.0597687700460001E-3</v>
      </c>
      <c r="AA37" s="70">
        <f t="shared" si="398"/>
        <v>1.4749106889971171E-2</v>
      </c>
      <c r="AB37" s="70">
        <f t="shared" si="399"/>
        <v>7.8268553255458288E-4</v>
      </c>
      <c r="AC37" s="70">
        <f t="shared" si="400"/>
        <v>1.3093800231690288E-2</v>
      </c>
      <c r="AD37" s="70">
        <f t="shared" si="401"/>
        <v>7.8706057096688126E-3</v>
      </c>
      <c r="AE37" s="70">
        <f t="shared" si="402"/>
        <v>0.12364318181925166</v>
      </c>
      <c r="AF37" s="70">
        <f t="shared" si="403"/>
        <v>3.8879245428966959E-2</v>
      </c>
      <c r="AG37" s="70">
        <f t="shared" si="404"/>
        <v>1.6773447042244292E-2</v>
      </c>
      <c r="AH37" s="70">
        <f t="shared" si="405"/>
        <v>2.249476368396796E-3</v>
      </c>
      <c r="AI37" s="70">
        <f t="shared" si="406"/>
        <v>6.7925587207563415E-3</v>
      </c>
      <c r="AJ37" s="70">
        <f t="shared" si="407"/>
        <v>1.2927724211698171E-2</v>
      </c>
      <c r="AK37" s="70">
        <f t="shared" si="408"/>
        <v>1.2977616348852345E-2</v>
      </c>
      <c r="AL37" s="70">
        <f t="shared" si="409"/>
        <v>0.16890334405092597</v>
      </c>
      <c r="AM37" s="70">
        <f t="shared" si="410"/>
        <v>3.2682811779868023E-2</v>
      </c>
      <c r="AN37" s="70">
        <f t="shared" si="411"/>
        <v>1.132460710730368E-2</v>
      </c>
      <c r="AO37" s="70">
        <f t="shared" si="412"/>
        <v>2.7005179468748919E-2</v>
      </c>
      <c r="AP37" s="190"/>
      <c r="AQ37" s="66">
        <v>11</v>
      </c>
      <c r="AR37" s="66">
        <v>2015</v>
      </c>
      <c r="AS37" s="215">
        <f t="shared" si="225"/>
        <v>121.02062147802967</v>
      </c>
      <c r="AT37" s="215">
        <f t="shared" si="226"/>
        <v>44.512766311541561</v>
      </c>
      <c r="AU37" s="215">
        <f t="shared" si="227"/>
        <v>161.71451762012433</v>
      </c>
      <c r="AV37" s="215">
        <f t="shared" si="228"/>
        <v>8.581645945720167</v>
      </c>
      <c r="AW37" s="215">
        <f t="shared" si="229"/>
        <v>143.56513950833573</v>
      </c>
      <c r="AX37" s="215">
        <f t="shared" si="230"/>
        <v>86.296154418864347</v>
      </c>
      <c r="AY37" s="215">
        <f t="shared" si="231"/>
        <v>1355.6683570117302</v>
      </c>
      <c r="AZ37" s="215">
        <f t="shared" si="232"/>
        <v>426.28604341154818</v>
      </c>
      <c r="BA37" s="215">
        <f t="shared" si="233"/>
        <v>183.91011181210163</v>
      </c>
      <c r="BB37" s="215">
        <f t="shared" si="234"/>
        <v>24.664068714595096</v>
      </c>
      <c r="BC37" s="215">
        <f t="shared" si="235"/>
        <v>74.476059135512003</v>
      </c>
      <c r="BD37" s="215">
        <f t="shared" si="236"/>
        <v>141.74422223777498</v>
      </c>
      <c r="BE37" s="215">
        <f t="shared" si="237"/>
        <v>142.29125759070271</v>
      </c>
      <c r="BF37" s="215">
        <f t="shared" si="238"/>
        <v>1851.9170693782107</v>
      </c>
      <c r="BG37" s="215">
        <f t="shared" si="239"/>
        <v>358.34611416671379</v>
      </c>
      <c r="BH37" s="215">
        <f t="shared" si="240"/>
        <v>124.16706918303619</v>
      </c>
      <c r="BI37" s="215">
        <f t="shared" si="241"/>
        <v>296.09450955997193</v>
      </c>
      <c r="BJ37" s="194"/>
      <c r="BK37" s="66">
        <v>11</v>
      </c>
      <c r="BL37" s="66">
        <v>2015</v>
      </c>
      <c r="BM37" s="215">
        <f t="shared" si="413"/>
        <v>59.624198521418364</v>
      </c>
      <c r="BN37" s="219">
        <f t="shared" si="414"/>
        <v>86.391074685743007</v>
      </c>
      <c r="BO37" s="219">
        <f t="shared" si="415"/>
        <v>29.668730985287304</v>
      </c>
      <c r="BP37" s="219">
        <f t="shared" si="416"/>
        <v>8.2261076196529466</v>
      </c>
      <c r="BQ37" s="219">
        <f t="shared" si="417"/>
        <v>16.118015790609604</v>
      </c>
      <c r="BR37" s="220">
        <f t="shared" si="418"/>
        <v>31.538927961751121</v>
      </c>
      <c r="BS37" s="219">
        <f t="shared" si="419"/>
        <v>27.067237327738376</v>
      </c>
      <c r="BT37" s="219">
        <f t="shared" si="420"/>
        <v>8.1044613121143101</v>
      </c>
      <c r="BU37" s="219">
        <f t="shared" si="421"/>
        <v>22.512699528441555</v>
      </c>
      <c r="BV37" s="219">
        <f t="shared" si="422"/>
        <v>7.5156243935459797</v>
      </c>
      <c r="BW37" s="219">
        <f t="shared" si="423"/>
        <v>9.4632811060598527</v>
      </c>
      <c r="BX37" s="220">
        <f t="shared" si="424"/>
        <v>1.8468217627753742</v>
      </c>
      <c r="BY37" s="195"/>
      <c r="BZ37" s="192">
        <v>11</v>
      </c>
      <c r="CA37" s="66">
        <v>2015</v>
      </c>
      <c r="CB37" s="218">
        <f t="shared" si="425"/>
        <v>3.4725528254733273</v>
      </c>
      <c r="CC37" s="218">
        <f t="shared" si="426"/>
        <v>1.1829993697651318</v>
      </c>
      <c r="CD37" s="73">
        <f t="shared" si="427"/>
        <v>3.9260937504817068</v>
      </c>
      <c r="CE37" s="73">
        <f t="shared" si="428"/>
        <v>6.1906285554243903</v>
      </c>
      <c r="CF37" s="73">
        <f t="shared" si="429"/>
        <v>3.4763124324750332</v>
      </c>
      <c r="CG37" s="73">
        <f t="shared" si="430"/>
        <v>6.6095480928354959</v>
      </c>
      <c r="CH37" s="73">
        <f t="shared" si="431"/>
        <v>1.9352802669376958</v>
      </c>
      <c r="CI37" s="73">
        <f t="shared" si="432"/>
        <v>2.4764996132592945</v>
      </c>
      <c r="CJ37" s="73">
        <f t="shared" si="433"/>
        <v>3.0246621566103218</v>
      </c>
      <c r="CK37" s="73">
        <f t="shared" si="434"/>
        <v>0.76067420335337488</v>
      </c>
      <c r="CL37" s="73">
        <f t="shared" si="435"/>
        <v>0.19046339369948939</v>
      </c>
      <c r="CM37" s="73">
        <f t="shared" si="436"/>
        <v>46.85959897401991</v>
      </c>
      <c r="CN37" s="73">
        <f t="shared" si="437"/>
        <v>82.804435581350504</v>
      </c>
      <c r="CO37" s="73">
        <f t="shared" si="438"/>
        <v>30.108103090272984</v>
      </c>
      <c r="CP37" s="73">
        <f t="shared" si="439"/>
        <v>46.515238421287357</v>
      </c>
      <c r="CQ37" s="73">
        <f t="shared" si="440"/>
        <v>28.807612267436028</v>
      </c>
      <c r="CR37" s="73">
        <f t="shared" si="441"/>
        <v>9.8366552118999948</v>
      </c>
      <c r="CS37" s="73">
        <f t="shared" si="442"/>
        <v>15.471803433479145</v>
      </c>
      <c r="CT37" s="73">
        <f t="shared" si="443"/>
        <v>16.188094993689582</v>
      </c>
      <c r="CU37" s="73">
        <f t="shared" si="444"/>
        <v>4.6574234972039301</v>
      </c>
      <c r="CV37" s="73">
        <f t="shared" si="445"/>
        <v>8.5211497977688513</v>
      </c>
      <c r="CW37" s="73">
        <f t="shared" si="446"/>
        <v>2.7136119317460352</v>
      </c>
      <c r="CX37" s="73">
        <f t="shared" si="447"/>
        <v>3.0303518684019464</v>
      </c>
      <c r="CY37" s="73">
        <f t="shared" si="448"/>
        <v>0.58043049141563152</v>
      </c>
      <c r="CZ37" s="190"/>
      <c r="DA37" s="66">
        <v>2015</v>
      </c>
      <c r="DB37" s="218">
        <f t="shared" si="242"/>
        <v>272.55314296818085</v>
      </c>
      <c r="DC37" s="218">
        <f t="shared" si="243"/>
        <v>5215.9155032642257</v>
      </c>
      <c r="DD37" s="73">
        <f t="shared" si="244"/>
        <v>4134.5088415589062</v>
      </c>
      <c r="DE37" s="73">
        <f t="shared" si="245"/>
        <v>2352.5544411356273</v>
      </c>
      <c r="DF37" s="73">
        <f t="shared" si="246"/>
        <v>340.38735055632316</v>
      </c>
      <c r="DG37" s="73">
        <f t="shared" si="247"/>
        <v>754.15875629562481</v>
      </c>
      <c r="DH37" s="72">
        <f t="shared" si="275"/>
        <v>0.84573327165328249</v>
      </c>
      <c r="DI37" s="72">
        <f t="shared" si="276"/>
        <v>0.87360018266772077</v>
      </c>
      <c r="DJ37" s="73">
        <f>SUM(AV26:AV37,BB26:BB37,BI26:BI37)</f>
        <v>5748.444496735774</v>
      </c>
      <c r="DK37" s="73">
        <f>SUM(AV32:AV37,BB32:BB37,BI32:BI37)</f>
        <v>3772.7653213641329</v>
      </c>
      <c r="DL37" s="190"/>
    </row>
    <row r="38" spans="1:120" x14ac:dyDescent="0.25">
      <c r="A38" s="190"/>
      <c r="B38" s="68">
        <v>2005</v>
      </c>
      <c r="C38" s="185" t="s">
        <v>329</v>
      </c>
      <c r="D38" s="169">
        <v>0</v>
      </c>
      <c r="E38" s="169">
        <v>0</v>
      </c>
      <c r="F38" s="169">
        <v>0</v>
      </c>
      <c r="G38" s="169">
        <v>0</v>
      </c>
      <c r="H38" s="169">
        <v>0</v>
      </c>
      <c r="I38" s="169">
        <v>0</v>
      </c>
      <c r="J38" s="169">
        <v>0</v>
      </c>
      <c r="K38" s="169">
        <v>0</v>
      </c>
      <c r="L38" s="169">
        <v>0</v>
      </c>
      <c r="M38" s="169">
        <v>0</v>
      </c>
      <c r="N38" s="169">
        <v>0</v>
      </c>
      <c r="O38" s="169">
        <v>0</v>
      </c>
      <c r="P38" s="169">
        <v>0</v>
      </c>
      <c r="Q38" s="172">
        <f>pAIDS_ART1ear_AIDS_ART1late_2004_2012</f>
        <v>0.82048978572958342</v>
      </c>
      <c r="R38" s="169">
        <v>0</v>
      </c>
      <c r="S38" s="170">
        <f>pAIDS_ART1ear_AIDS_LTFU_2004_2012</f>
        <v>3.1705300812410298E-2</v>
      </c>
      <c r="T38" s="170">
        <f>pAIDS_ART1ear_AIDS_Dead_2004_2012</f>
        <v>0.14780491345800628</v>
      </c>
      <c r="U38" s="61">
        <f t="shared" si="248"/>
        <v>1</v>
      </c>
      <c r="V38" s="190"/>
      <c r="W38" s="66">
        <v>12</v>
      </c>
      <c r="X38" s="66">
        <v>2016</v>
      </c>
      <c r="Y38" s="70">
        <f t="shared" si="449"/>
        <v>6.9952135324343641E-3</v>
      </c>
      <c r="Z38" s="70">
        <f t="shared" si="397"/>
        <v>2.5958415203822466E-3</v>
      </c>
      <c r="AA38" s="70">
        <f t="shared" si="398"/>
        <v>1.0840032608180459E-2</v>
      </c>
      <c r="AB38" s="70">
        <f t="shared" si="399"/>
        <v>5.3820529040742829E-4</v>
      </c>
      <c r="AC38" s="70">
        <f t="shared" si="400"/>
        <v>8.4232193645676894E-3</v>
      </c>
      <c r="AD38" s="70">
        <f t="shared" si="401"/>
        <v>5.0770492464145504E-3</v>
      </c>
      <c r="AE38" s="70">
        <f t="shared" si="402"/>
        <v>0.12598064299334583</v>
      </c>
      <c r="AF38" s="70">
        <f t="shared" si="403"/>
        <v>4.2074358944197254E-2</v>
      </c>
      <c r="AG38" s="70">
        <f t="shared" si="404"/>
        <v>1.3407155290696833E-2</v>
      </c>
      <c r="AH38" s="70">
        <f t="shared" si="405"/>
        <v>1.8608146142756424E-3</v>
      </c>
      <c r="AI38" s="70">
        <f t="shared" si="406"/>
        <v>4.3972170841711658E-3</v>
      </c>
      <c r="AJ38" s="70">
        <f t="shared" si="407"/>
        <v>8.4296115024173387E-3</v>
      </c>
      <c r="AK38" s="70">
        <f t="shared" si="408"/>
        <v>9.0493458623468036E-3</v>
      </c>
      <c r="AL38" s="70">
        <f t="shared" si="409"/>
        <v>0.16821003132110457</v>
      </c>
      <c r="AM38" s="70">
        <f t="shared" si="410"/>
        <v>3.6504799246340723E-2</v>
      </c>
      <c r="AN38" s="70">
        <f t="shared" si="411"/>
        <v>9.5675412623432068E-3</v>
      </c>
      <c r="AO38" s="70">
        <f t="shared" si="412"/>
        <v>2.1764375050095302E-2</v>
      </c>
      <c r="AP38" s="190"/>
      <c r="AQ38" s="66">
        <v>12</v>
      </c>
      <c r="AR38" s="66">
        <v>2016</v>
      </c>
      <c r="AS38" s="215">
        <f t="shared" si="225"/>
        <v>76.698039446482042</v>
      </c>
      <c r="AT38" s="215">
        <f t="shared" si="226"/>
        <v>28.461740932418291</v>
      </c>
      <c r="AU38" s="215">
        <f t="shared" si="227"/>
        <v>118.8540199278295</v>
      </c>
      <c r="AV38" s="215">
        <f t="shared" si="228"/>
        <v>5.9010765579315905</v>
      </c>
      <c r="AW38" s="215">
        <f t="shared" si="229"/>
        <v>92.355209472091403</v>
      </c>
      <c r="AX38" s="215">
        <f t="shared" si="230"/>
        <v>55.666595675417845</v>
      </c>
      <c r="AY38" s="215">
        <f t="shared" si="231"/>
        <v>1381.2971228105214</v>
      </c>
      <c r="AZ38" s="215">
        <f t="shared" si="232"/>
        <v>461.31841823339863</v>
      </c>
      <c r="BA38" s="215">
        <f t="shared" si="233"/>
        <v>147.00087718310473</v>
      </c>
      <c r="BB38" s="215">
        <f t="shared" si="234"/>
        <v>20.402641324179285</v>
      </c>
      <c r="BC38" s="215">
        <f t="shared" si="235"/>
        <v>48.212671109002969</v>
      </c>
      <c r="BD38" s="215">
        <f t="shared" si="236"/>
        <v>92.425295172644581</v>
      </c>
      <c r="BE38" s="215">
        <f t="shared" si="237"/>
        <v>99.220285799280802</v>
      </c>
      <c r="BF38" s="215">
        <f t="shared" si="238"/>
        <v>1844.3153390158661</v>
      </c>
      <c r="BG38" s="215">
        <f t="shared" si="239"/>
        <v>400.25176066460841</v>
      </c>
      <c r="BH38" s="215">
        <f t="shared" si="240"/>
        <v>104.90196671518537</v>
      </c>
      <c r="BI38" s="215">
        <f t="shared" si="241"/>
        <v>238.63244322426294</v>
      </c>
      <c r="BJ38" s="194"/>
      <c r="BK38" s="66">
        <v>12</v>
      </c>
      <c r="BL38" s="66">
        <v>2016</v>
      </c>
      <c r="BM38" s="215">
        <f t="shared" si="413"/>
        <v>39.504588092550321</v>
      </c>
      <c r="BN38" s="219">
        <f t="shared" si="414"/>
        <v>66.76355987068456</v>
      </c>
      <c r="BO38" s="219">
        <f t="shared" si="415"/>
        <v>31.322865839892025</v>
      </c>
      <c r="BP38" s="219">
        <f t="shared" si="416"/>
        <v>9.4098633799778355</v>
      </c>
      <c r="BQ38" s="219">
        <f t="shared" si="417"/>
        <v>10.673823126363715</v>
      </c>
      <c r="BR38" s="220">
        <f t="shared" si="418"/>
        <v>25.342786049241877</v>
      </c>
      <c r="BS38" s="219">
        <f t="shared" si="419"/>
        <v>18.259705566401351</v>
      </c>
      <c r="BT38" s="219">
        <f t="shared" si="420"/>
        <v>5.6872250152719133</v>
      </c>
      <c r="BU38" s="219">
        <f t="shared" si="421"/>
        <v>23.26262111326313</v>
      </c>
      <c r="BV38" s="219">
        <f t="shared" si="422"/>
        <v>8.2222672022860444</v>
      </c>
      <c r="BW38" s="219">
        <f t="shared" si="423"/>
        <v>11.20817495520857</v>
      </c>
      <c r="BX38" s="220">
        <f t="shared" si="424"/>
        <v>2.2453636871487634</v>
      </c>
      <c r="BY38" s="195"/>
      <c r="BZ38" s="192">
        <v>12</v>
      </c>
      <c r="CA38" s="66">
        <v>2016</v>
      </c>
      <c r="CB38" s="218">
        <f t="shared" si="425"/>
        <v>2.2007653764734427</v>
      </c>
      <c r="CC38" s="218">
        <f t="shared" si="426"/>
        <v>0.75952549630048138</v>
      </c>
      <c r="CD38" s="73">
        <f t="shared" si="427"/>
        <v>2.9407856851576661</v>
      </c>
      <c r="CE38" s="73">
        <f t="shared" si="428"/>
        <v>4.0038217569672483</v>
      </c>
      <c r="CF38" s="73">
        <f t="shared" si="429"/>
        <v>2.2581905563140321</v>
      </c>
      <c r="CG38" s="73">
        <f t="shared" si="430"/>
        <v>6.8558443189744462</v>
      </c>
      <c r="CH38" s="73">
        <f t="shared" si="431"/>
        <v>2.1558006675196513</v>
      </c>
      <c r="CI38" s="73">
        <f t="shared" si="432"/>
        <v>1.662831688105791</v>
      </c>
      <c r="CJ38" s="73">
        <f t="shared" si="433"/>
        <v>2.4093207140614861</v>
      </c>
      <c r="CK38" s="73">
        <f t="shared" si="434"/>
        <v>0.82741751254735851</v>
      </c>
      <c r="CL38" s="73">
        <f t="shared" si="435"/>
        <v>0.22941410968926892</v>
      </c>
      <c r="CM38" s="73">
        <f t="shared" si="436"/>
        <v>30.573519925842366</v>
      </c>
      <c r="CN38" s="73">
        <f t="shared" si="437"/>
        <v>54.598099435523984</v>
      </c>
      <c r="CO38" s="73">
        <f t="shared" si="438"/>
        <v>21.031347014024693</v>
      </c>
      <c r="CP38" s="73">
        <f t="shared" si="439"/>
        <v>47.696487997030836</v>
      </c>
      <c r="CQ38" s="73">
        <f t="shared" si="440"/>
        <v>33.76057694033495</v>
      </c>
      <c r="CR38" s="73">
        <f t="shared" si="441"/>
        <v>6.616683034243322</v>
      </c>
      <c r="CS38" s="73">
        <f t="shared" si="442"/>
        <v>12.947194758570731</v>
      </c>
      <c r="CT38" s="73">
        <f t="shared" si="443"/>
        <v>11.111499848177679</v>
      </c>
      <c r="CU38" s="73">
        <f t="shared" si="444"/>
        <v>3.3270008146281866</v>
      </c>
      <c r="CV38" s="73">
        <f t="shared" si="445"/>
        <v>9.2417949554089027</v>
      </c>
      <c r="CW38" s="73">
        <f t="shared" si="446"/>
        <v>3.0852745810990512</v>
      </c>
      <c r="CX38" s="73">
        <f t="shared" si="447"/>
        <v>3.8848163667404747</v>
      </c>
      <c r="CY38" s="73">
        <f t="shared" si="448"/>
        <v>0.75814755263774281</v>
      </c>
      <c r="CZ38" s="190"/>
      <c r="DA38" s="66">
        <v>2016</v>
      </c>
      <c r="DB38" s="218">
        <f t="shared" si="242"/>
        <v>176.55363178048071</v>
      </c>
      <c r="DC38" s="218">
        <f t="shared" si="243"/>
        <v>4950.9793421578524</v>
      </c>
      <c r="DD38" s="73">
        <f t="shared" si="244"/>
        <v>4186.4029265236759</v>
      </c>
      <c r="DE38" s="73">
        <f t="shared" si="245"/>
        <v>2343.7873854797554</v>
      </c>
      <c r="DF38" s="73">
        <f t="shared" si="246"/>
        <v>245.53993299683293</v>
      </c>
      <c r="DG38" s="73">
        <f t="shared" si="247"/>
        <v>540.56261532744691</v>
      </c>
      <c r="DH38" s="72">
        <f t="shared" si="275"/>
        <v>0.88564278488144899</v>
      </c>
      <c r="DI38" s="72">
        <f t="shared" si="276"/>
        <v>0.90517230817257399</v>
      </c>
      <c r="DJ38" s="73">
        <f>SUM(AV26:AV38,BB26:BB38,BI26:BI38)</f>
        <v>6013.3806578421481</v>
      </c>
      <c r="DK38" s="73">
        <f>SUM(AV32:AV38,BB32:BB38,BI32:BI38)</f>
        <v>4037.7014824705066</v>
      </c>
      <c r="DL38" s="190"/>
    </row>
    <row r="39" spans="1:120" x14ac:dyDescent="0.25">
      <c r="A39" s="190"/>
      <c r="B39" s="68">
        <v>2005</v>
      </c>
      <c r="C39" s="185" t="s">
        <v>330</v>
      </c>
      <c r="D39" s="169">
        <v>0</v>
      </c>
      <c r="E39" s="169">
        <v>0</v>
      </c>
      <c r="F39" s="169">
        <v>0</v>
      </c>
      <c r="G39" s="169">
        <v>0</v>
      </c>
      <c r="H39" s="169">
        <v>0</v>
      </c>
      <c r="I39" s="169">
        <v>0</v>
      </c>
      <c r="J39" s="169">
        <v>0</v>
      </c>
      <c r="K39" s="169">
        <v>0</v>
      </c>
      <c r="L39" s="169">
        <v>0</v>
      </c>
      <c r="M39" s="169">
        <v>0</v>
      </c>
      <c r="N39" s="169">
        <v>0</v>
      </c>
      <c r="O39" s="169">
        <v>0</v>
      </c>
      <c r="P39" s="169">
        <v>0</v>
      </c>
      <c r="Q39" s="172">
        <f>pAIDS_ART1late_2004_2012</f>
        <v>0.93285322767942069</v>
      </c>
      <c r="R39" s="170">
        <f>pAIDS_ART1late_AIDS_ART2_2004_2012</f>
        <v>3.0593921587134254E-2</v>
      </c>
      <c r="S39" s="170">
        <f>pAIDS_ART1late_AIDS_LTFU_2004_2012</f>
        <v>1.0797654247759469E-2</v>
      </c>
      <c r="T39" s="170">
        <f>pAIDS_ART1late_AIDS_Dead_2004_2012</f>
        <v>2.5755196485685583E-2</v>
      </c>
      <c r="U39" s="61">
        <f t="shared" si="248"/>
        <v>1</v>
      </c>
      <c r="V39" s="190"/>
      <c r="W39" s="66">
        <v>13</v>
      </c>
      <c r="X39" s="66">
        <v>2017</v>
      </c>
      <c r="Y39" s="70">
        <f t="shared" si="449"/>
        <v>4.4332871282157203E-3</v>
      </c>
      <c r="Z39" s="70">
        <f t="shared" si="397"/>
        <v>1.6551838774314953E-3</v>
      </c>
      <c r="AA39" s="70">
        <f t="shared" si="398"/>
        <v>7.8479953195183926E-3</v>
      </c>
      <c r="AB39" s="70">
        <f t="shared" si="399"/>
        <v>3.6862782992060159E-4</v>
      </c>
      <c r="AC39" s="70">
        <f t="shared" si="400"/>
        <v>5.3975867983243175E-3</v>
      </c>
      <c r="AD39" s="70">
        <f t="shared" si="401"/>
        <v>3.258910899722882E-3</v>
      </c>
      <c r="AE39" s="70">
        <f t="shared" si="402"/>
        <v>0.1267806762552231</v>
      </c>
      <c r="AF39" s="70">
        <f t="shared" si="403"/>
        <v>4.464960625696509E-2</v>
      </c>
      <c r="AG39" s="70">
        <f t="shared" si="404"/>
        <v>1.0853893210407289E-2</v>
      </c>
      <c r="AH39" s="70">
        <f t="shared" si="405"/>
        <v>1.5915556064869032E-3</v>
      </c>
      <c r="AI39" s="70">
        <f t="shared" si="406"/>
        <v>2.8306265574724928E-3</v>
      </c>
      <c r="AJ39" s="70">
        <f t="shared" si="407"/>
        <v>5.4537923235848922E-3</v>
      </c>
      <c r="AK39" s="70">
        <f t="shared" si="408"/>
        <v>6.3572117339005026E-3</v>
      </c>
      <c r="AL39" s="70">
        <f t="shared" si="409"/>
        <v>0.16434016649353866</v>
      </c>
      <c r="AM39" s="70">
        <f t="shared" si="410"/>
        <v>3.9432432768269708E-2</v>
      </c>
      <c r="AN39" s="70">
        <f t="shared" si="411"/>
        <v>8.2117690540464972E-3</v>
      </c>
      <c r="AO39" s="70">
        <f t="shared" si="412"/>
        <v>1.8088737665914466E-2</v>
      </c>
      <c r="AP39" s="190"/>
      <c r="AQ39" s="66">
        <v>13</v>
      </c>
      <c r="AR39" s="66">
        <v>2017</v>
      </c>
      <c r="AS39" s="215">
        <f t="shared" si="225"/>
        <v>48.608156057123317</v>
      </c>
      <c r="AT39" s="215">
        <f t="shared" si="226"/>
        <v>18.148031898354791</v>
      </c>
      <c r="AU39" s="215">
        <f t="shared" si="227"/>
        <v>86.048245961514681</v>
      </c>
      <c r="AV39" s="215">
        <f t="shared" si="228"/>
        <v>4.0417682332682476</v>
      </c>
      <c r="AW39" s="215">
        <f t="shared" si="229"/>
        <v>59.181084788075218</v>
      </c>
      <c r="AX39" s="215">
        <f t="shared" si="230"/>
        <v>35.731872312485578</v>
      </c>
      <c r="AY39" s="215">
        <f t="shared" si="231"/>
        <v>1390.0689755057181</v>
      </c>
      <c r="AZ39" s="215">
        <f t="shared" si="232"/>
        <v>489.55435685961777</v>
      </c>
      <c r="BA39" s="215">
        <f t="shared" si="233"/>
        <v>119.00599256046127</v>
      </c>
      <c r="BB39" s="215">
        <f t="shared" si="234"/>
        <v>17.450388629540743</v>
      </c>
      <c r="BC39" s="215">
        <f t="shared" si="235"/>
        <v>31.036008601689101</v>
      </c>
      <c r="BD39" s="215">
        <f t="shared" si="236"/>
        <v>59.797342401021254</v>
      </c>
      <c r="BE39" s="215">
        <f t="shared" si="237"/>
        <v>69.70275804670932</v>
      </c>
      <c r="BF39" s="215">
        <f t="shared" si="238"/>
        <v>1801.8847478950956</v>
      </c>
      <c r="BG39" s="215">
        <f t="shared" si="239"/>
        <v>432.35138854710567</v>
      </c>
      <c r="BH39" s="215">
        <f t="shared" si="240"/>
        <v>90.036792145425252</v>
      </c>
      <c r="BI39" s="215">
        <f t="shared" si="241"/>
        <v>198.33143171464596</v>
      </c>
      <c r="BJ39" s="194"/>
      <c r="BK39" s="66">
        <v>13</v>
      </c>
      <c r="BL39" s="66">
        <v>2017</v>
      </c>
      <c r="BM39" s="215">
        <f t="shared" si="413"/>
        <v>25.898623494157739</v>
      </c>
      <c r="BN39" s="219">
        <f t="shared" si="414"/>
        <v>50.371301307168451</v>
      </c>
      <c r="BO39" s="219">
        <f t="shared" si="415"/>
        <v>32.350603373754169</v>
      </c>
      <c r="BP39" s="219">
        <f t="shared" si="416"/>
        <v>10.38546438538091</v>
      </c>
      <c r="BQ39" s="219">
        <f t="shared" si="417"/>
        <v>6.9837279823909633</v>
      </c>
      <c r="BR39" s="220">
        <f t="shared" si="418"/>
        <v>19.725694756440898</v>
      </c>
      <c r="BS39" s="219">
        <f t="shared" si="419"/>
        <v>12.145448635742834</v>
      </c>
      <c r="BT39" s="219">
        <f t="shared" si="420"/>
        <v>3.970941537630817</v>
      </c>
      <c r="BU39" s="219">
        <f t="shared" si="421"/>
        <v>23.289342826512019</v>
      </c>
      <c r="BV39" s="219">
        <f t="shared" si="422"/>
        <v>8.7224166866576045</v>
      </c>
      <c r="BW39" s="219">
        <f t="shared" si="423"/>
        <v>12.611478620409452</v>
      </c>
      <c r="BX39" s="220">
        <f t="shared" si="424"/>
        <v>2.587741099640664</v>
      </c>
      <c r="BY39" s="195"/>
      <c r="BZ39" s="192">
        <v>13</v>
      </c>
      <c r="CA39" s="66">
        <v>2017</v>
      </c>
      <c r="CB39" s="218">
        <f t="shared" si="425"/>
        <v>1.3947572537284918</v>
      </c>
      <c r="CC39" s="218">
        <f t="shared" si="426"/>
        <v>0.48564534848209656</v>
      </c>
      <c r="CD39" s="73">
        <f t="shared" si="427"/>
        <v>2.1613656310576594</v>
      </c>
      <c r="CE39" s="73">
        <f t="shared" si="428"/>
        <v>2.5756517098787572</v>
      </c>
      <c r="CF39" s="73">
        <f t="shared" si="429"/>
        <v>1.4566788230936605</v>
      </c>
      <c r="CG39" s="73">
        <f t="shared" si="430"/>
        <v>6.9854533251116671</v>
      </c>
      <c r="CH39" s="73">
        <f t="shared" si="431"/>
        <v>2.332965315982777</v>
      </c>
      <c r="CI39" s="73">
        <f t="shared" si="432"/>
        <v>1.101725180964273</v>
      </c>
      <c r="CJ39" s="73">
        <f t="shared" si="433"/>
        <v>1.8619380338310592</v>
      </c>
      <c r="CK39" s="73">
        <f t="shared" si="434"/>
        <v>0.873548914240732</v>
      </c>
      <c r="CL39" s="73">
        <f t="shared" si="435"/>
        <v>0.26242732643781608</v>
      </c>
      <c r="CM39" s="73">
        <f t="shared" si="436"/>
        <v>19.792012063193781</v>
      </c>
      <c r="CN39" s="73">
        <f t="shared" si="437"/>
        <v>35.601066318799653</v>
      </c>
      <c r="CO39" s="73">
        <f t="shared" si="438"/>
        <v>14.665245755841349</v>
      </c>
      <c r="CP39" s="73">
        <f t="shared" si="439"/>
        <v>47.50070393791745</v>
      </c>
      <c r="CQ39" s="73">
        <f t="shared" si="440"/>
        <v>37.708600225355021</v>
      </c>
      <c r="CR39" s="73">
        <f t="shared" si="441"/>
        <v>4.3817617074101189</v>
      </c>
      <c r="CS39" s="73">
        <f t="shared" si="442"/>
        <v>10.403587182869673</v>
      </c>
      <c r="CT39" s="73">
        <f t="shared" si="443"/>
        <v>7.4958782520783629</v>
      </c>
      <c r="CU39" s="73">
        <f t="shared" si="444"/>
        <v>2.3346896888137771</v>
      </c>
      <c r="CV39" s="73">
        <f t="shared" si="445"/>
        <v>9.5496488185495902</v>
      </c>
      <c r="CW39" s="73">
        <f t="shared" si="446"/>
        <v>3.3753618688025706</v>
      </c>
      <c r="CX39" s="73">
        <f t="shared" si="447"/>
        <v>4.6011210085900149</v>
      </c>
      <c r="CY39" s="73">
        <f t="shared" si="448"/>
        <v>0.92175488642459924</v>
      </c>
      <c r="CZ39" s="190"/>
      <c r="DA39" s="66">
        <v>2017</v>
      </c>
      <c r="DB39" s="218">
        <f t="shared" si="242"/>
        <v>113.67724661186162</v>
      </c>
      <c r="DC39" s="218">
        <f t="shared" si="243"/>
        <v>4731.1557535803968</v>
      </c>
      <c r="DD39" s="73">
        <f t="shared" si="244"/>
        <v>4183.5622268542465</v>
      </c>
      <c r="DE39" s="73">
        <f t="shared" si="245"/>
        <v>2303.9388944889106</v>
      </c>
      <c r="DF39" s="73">
        <f t="shared" si="246"/>
        <v>180.87014314813561</v>
      </c>
      <c r="DG39" s="73">
        <f t="shared" si="247"/>
        <v>394.78909280915769</v>
      </c>
      <c r="DH39" s="72">
        <f t="shared" si="275"/>
        <v>0.91377046774161008</v>
      </c>
      <c r="DI39" s="72">
        <f t="shared" si="276"/>
        <v>0.92720964049610199</v>
      </c>
      <c r="DJ39" s="73">
        <f>SUM(AV26:AV39,BB26:BB39,BI26:BI39)</f>
        <v>6233.2042464196029</v>
      </c>
      <c r="DK39" s="73">
        <f>SUM(AV32:AV39,BB32:BB39,BI32:BI39)</f>
        <v>4257.5250710479622</v>
      </c>
      <c r="DL39" s="190"/>
    </row>
    <row r="40" spans="1:120" x14ac:dyDescent="0.25">
      <c r="A40" s="190"/>
      <c r="B40" s="68">
        <v>2005</v>
      </c>
      <c r="C40" s="185" t="s">
        <v>331</v>
      </c>
      <c r="D40" s="169">
        <v>0</v>
      </c>
      <c r="E40" s="169">
        <v>0</v>
      </c>
      <c r="F40" s="169">
        <v>0</v>
      </c>
      <c r="G40" s="169">
        <v>0</v>
      </c>
      <c r="H40" s="169">
        <v>0</v>
      </c>
      <c r="I40" s="169">
        <v>0</v>
      </c>
      <c r="J40" s="169">
        <v>0</v>
      </c>
      <c r="K40" s="169">
        <v>0</v>
      </c>
      <c r="L40" s="169">
        <v>0</v>
      </c>
      <c r="M40" s="169">
        <v>0</v>
      </c>
      <c r="N40" s="169">
        <v>0</v>
      </c>
      <c r="O40" s="169">
        <v>0</v>
      </c>
      <c r="P40" s="169">
        <v>0</v>
      </c>
      <c r="Q40" s="169">
        <v>0</v>
      </c>
      <c r="R40" s="172">
        <f>pAIDS_ART2_2004_2012</f>
        <v>0.87834172729587623</v>
      </c>
      <c r="S40" s="170">
        <f>pAIDS_ART2_AIDS_LTFU_2004_2012</f>
        <v>2.7446069457994882E-2</v>
      </c>
      <c r="T40" s="171">
        <f>pAIDS_ART2_AIDS_Dead_2004_2012</f>
        <v>9.4212203246128889E-2</v>
      </c>
      <c r="U40" s="61">
        <f t="shared" si="248"/>
        <v>1</v>
      </c>
      <c r="V40" s="190"/>
      <c r="W40" s="66">
        <v>14</v>
      </c>
      <c r="X40" s="66">
        <v>2018</v>
      </c>
      <c r="Y40" s="70">
        <f t="shared" si="449"/>
        <v>2.8096404305707448E-3</v>
      </c>
      <c r="Z40" s="70">
        <f t="shared" si="397"/>
        <v>1.0533897904294973E-3</v>
      </c>
      <c r="AA40" s="70">
        <f t="shared" si="398"/>
        <v>5.6130409678722768E-3</v>
      </c>
      <c r="AB40" s="70">
        <f t="shared" si="399"/>
        <v>2.5157822412510359E-4</v>
      </c>
      <c r="AC40" s="70">
        <f t="shared" si="400"/>
        <v>3.448918702300182E-3</v>
      </c>
      <c r="AD40" s="70">
        <f t="shared" si="401"/>
        <v>2.084533777214282E-3</v>
      </c>
      <c r="AE40" s="70">
        <f t="shared" si="402"/>
        <v>0.12648346645697303</v>
      </c>
      <c r="AF40" s="70">
        <f t="shared" si="403"/>
        <v>4.6743318823734226E-2</v>
      </c>
      <c r="AG40" s="70">
        <f t="shared" si="404"/>
        <v>8.9549477284049835E-3</v>
      </c>
      <c r="AH40" s="70">
        <f t="shared" si="405"/>
        <v>1.4054608675124051E-3</v>
      </c>
      <c r="AI40" s="70">
        <f t="shared" si="406"/>
        <v>1.8147519874858922E-3</v>
      </c>
      <c r="AJ40" s="70">
        <f t="shared" si="407"/>
        <v>3.5089067004595046E-3</v>
      </c>
      <c r="AK40" s="70">
        <f t="shared" si="408"/>
        <v>4.5387688417387675E-3</v>
      </c>
      <c r="AL40" s="70">
        <f t="shared" si="409"/>
        <v>0.15852128204425653</v>
      </c>
      <c r="AM40" s="70">
        <f t="shared" si="410"/>
        <v>4.1570555227735437E-2</v>
      </c>
      <c r="AN40" s="70">
        <f t="shared" si="411"/>
        <v>7.1795226732006886E-3</v>
      </c>
      <c r="AO40" s="70">
        <f t="shared" si="412"/>
        <v>1.5521055432607489E-2</v>
      </c>
      <c r="AP40" s="190"/>
      <c r="AQ40" s="66">
        <v>14</v>
      </c>
      <c r="AR40" s="66">
        <v>2018</v>
      </c>
      <c r="AS40" s="215">
        <f t="shared" si="225"/>
        <v>30.805909151332653</v>
      </c>
      <c r="AT40" s="215">
        <f t="shared" si="226"/>
        <v>11.549744882593563</v>
      </c>
      <c r="AU40" s="215">
        <f t="shared" si="227"/>
        <v>61.543401866500083</v>
      </c>
      <c r="AV40" s="215">
        <f t="shared" si="228"/>
        <v>2.7583942174683211</v>
      </c>
      <c r="AW40" s="215">
        <f t="shared" si="229"/>
        <v>37.815186262752029</v>
      </c>
      <c r="AX40" s="215">
        <f t="shared" si="230"/>
        <v>22.855578765537185</v>
      </c>
      <c r="AY40" s="215">
        <f t="shared" si="231"/>
        <v>1386.8102602821768</v>
      </c>
      <c r="AZ40" s="215">
        <f t="shared" si="232"/>
        <v>512.51057517819868</v>
      </c>
      <c r="BA40" s="215">
        <f t="shared" si="233"/>
        <v>98.185270675414472</v>
      </c>
      <c r="BB40" s="215">
        <f t="shared" si="234"/>
        <v>15.409978917318314</v>
      </c>
      <c r="BC40" s="215">
        <f t="shared" si="235"/>
        <v>19.897594101510819</v>
      </c>
      <c r="BD40" s="215">
        <f t="shared" si="236"/>
        <v>38.472916270250174</v>
      </c>
      <c r="BE40" s="215">
        <f t="shared" si="237"/>
        <v>49.764695537606876</v>
      </c>
      <c r="BF40" s="215">
        <f t="shared" si="238"/>
        <v>1738.0844039947647</v>
      </c>
      <c r="BG40" s="215">
        <f t="shared" si="239"/>
        <v>455.79453291677333</v>
      </c>
      <c r="BH40" s="215">
        <f t="shared" si="240"/>
        <v>78.718871217134705</v>
      </c>
      <c r="BI40" s="215">
        <f t="shared" si="241"/>
        <v>170.17843934306424</v>
      </c>
      <c r="BJ40" s="194"/>
      <c r="BK40" s="66">
        <v>14</v>
      </c>
      <c r="BL40" s="66">
        <v>2018</v>
      </c>
      <c r="BM40" s="215">
        <f t="shared" si="413"/>
        <v>16.839634052779981</v>
      </c>
      <c r="BN40" s="219">
        <f t="shared" si="414"/>
        <v>37.279005411507654</v>
      </c>
      <c r="BO40" s="219">
        <f t="shared" si="415"/>
        <v>32.886270887104288</v>
      </c>
      <c r="BP40" s="219">
        <f t="shared" si="416"/>
        <v>11.180360324022534</v>
      </c>
      <c r="BQ40" s="219">
        <f t="shared" si="417"/>
        <v>4.5296472395427028</v>
      </c>
      <c r="BR40" s="220">
        <f t="shared" si="418"/>
        <v>14.970316029735454</v>
      </c>
      <c r="BS40" s="219">
        <f t="shared" si="419"/>
        <v>7.987716421510541</v>
      </c>
      <c r="BT40" s="219">
        <f t="shared" si="420"/>
        <v>2.7860720034968178</v>
      </c>
      <c r="BU40" s="219">
        <f t="shared" si="421"/>
        <v>22.835068900821597</v>
      </c>
      <c r="BV40" s="219">
        <f t="shared" si="422"/>
        <v>9.0420317171034679</v>
      </c>
      <c r="BW40" s="219">
        <f t="shared" si="423"/>
        <v>13.6960859163545</v>
      </c>
      <c r="BX40" s="220">
        <f t="shared" si="424"/>
        <v>2.8719329885696379</v>
      </c>
      <c r="BY40" s="195"/>
      <c r="BZ40" s="192">
        <v>14</v>
      </c>
      <c r="CA40" s="66">
        <v>2018</v>
      </c>
      <c r="CB40" s="218">
        <f t="shared" si="425"/>
        <v>0.88394147673547796</v>
      </c>
      <c r="CC40" s="218">
        <f t="shared" si="426"/>
        <v>0.3096615662572495</v>
      </c>
      <c r="CD40" s="73">
        <f t="shared" si="427"/>
        <v>1.5647911744755931</v>
      </c>
      <c r="CE40" s="73">
        <f t="shared" si="428"/>
        <v>1.6504738941981183</v>
      </c>
      <c r="CF40" s="73">
        <f t="shared" si="429"/>
        <v>0.93502864825034493</v>
      </c>
      <c r="CG40" s="73">
        <f t="shared" si="430"/>
        <v>7.0298140687671484</v>
      </c>
      <c r="CH40" s="73">
        <f t="shared" si="431"/>
        <v>2.4757592363544103</v>
      </c>
      <c r="CI40" s="73">
        <f t="shared" si="432"/>
        <v>0.72227472892464406</v>
      </c>
      <c r="CJ40" s="73">
        <f t="shared" si="433"/>
        <v>1.4047819184453476</v>
      </c>
      <c r="CK40" s="73">
        <f t="shared" si="434"/>
        <v>0.90221101085151956</v>
      </c>
      <c r="CL40" s="73">
        <f t="shared" si="435"/>
        <v>0.28963541152678124</v>
      </c>
      <c r="CM40" s="73">
        <f t="shared" si="436"/>
        <v>12.740738949087435</v>
      </c>
      <c r="CN40" s="73">
        <f t="shared" si="437"/>
        <v>23.033187489746972</v>
      </c>
      <c r="CO40" s="73">
        <f t="shared" si="438"/>
        <v>10.302410120878221</v>
      </c>
      <c r="CP40" s="73">
        <f t="shared" si="439"/>
        <v>46.40789572659822</v>
      </c>
      <c r="CQ40" s="73">
        <f t="shared" si="440"/>
        <v>40.73277689154596</v>
      </c>
      <c r="CR40" s="73">
        <f t="shared" si="441"/>
        <v>2.866923265069524</v>
      </c>
      <c r="CS40" s="73">
        <f t="shared" si="442"/>
        <v>8.097688420782255</v>
      </c>
      <c r="CT40" s="73">
        <f t="shared" si="443"/>
        <v>4.9858856682726884</v>
      </c>
      <c r="CU40" s="73">
        <f t="shared" si="444"/>
        <v>1.6301300261364358</v>
      </c>
      <c r="CV40" s="73">
        <f t="shared" si="445"/>
        <v>9.560618475670962</v>
      </c>
      <c r="CW40" s="73">
        <f t="shared" si="446"/>
        <v>3.5806806034916674</v>
      </c>
      <c r="CX40" s="73">
        <f t="shared" si="447"/>
        <v>5.1771978454693866</v>
      </c>
      <c r="CY40" s="73">
        <f t="shared" si="448"/>
        <v>1.062305860314519</v>
      </c>
      <c r="CZ40" s="190"/>
      <c r="DA40" s="66">
        <v>2018</v>
      </c>
      <c r="DB40" s="218">
        <f t="shared" si="242"/>
        <v>72.878239918380928</v>
      </c>
      <c r="DC40" s="218">
        <f t="shared" si="243"/>
        <v>4542.8089411025458</v>
      </c>
      <c r="DD40" s="73">
        <f t="shared" si="244"/>
        <v>4142.9644679095209</v>
      </c>
      <c r="DE40" s="73">
        <f t="shared" si="245"/>
        <v>2243.6436324491451</v>
      </c>
      <c r="DF40" s="73">
        <f t="shared" si="246"/>
        <v>137.08938158889569</v>
      </c>
      <c r="DG40" s="73">
        <f t="shared" si="247"/>
        <v>295.94541729259936</v>
      </c>
      <c r="DH40" s="72">
        <f t="shared" si="275"/>
        <v>0.93332925764517438</v>
      </c>
      <c r="DI40" s="72">
        <f t="shared" si="276"/>
        <v>0.94241715438877627</v>
      </c>
      <c r="DJ40" s="73">
        <f>SUM(AV26:AV40,BB26:BB40,BI26:BI40)</f>
        <v>6421.5510588974539</v>
      </c>
      <c r="DK40" s="73">
        <f>SUM(AV32:AV40,BB32:BB40,BI32:BI40)</f>
        <v>4445.8718835258132</v>
      </c>
      <c r="DL40" s="190"/>
    </row>
    <row r="41" spans="1:120" x14ac:dyDescent="0.25">
      <c r="A41" s="190"/>
      <c r="B41" s="68">
        <v>2005</v>
      </c>
      <c r="C41" s="185" t="s">
        <v>332</v>
      </c>
      <c r="D41" s="169">
        <v>0</v>
      </c>
      <c r="E41" s="169">
        <v>0</v>
      </c>
      <c r="F41" s="169">
        <v>0</v>
      </c>
      <c r="G41" s="169">
        <v>0</v>
      </c>
      <c r="H41" s="169">
        <v>0</v>
      </c>
      <c r="I41" s="169">
        <v>0</v>
      </c>
      <c r="J41" s="169">
        <v>0</v>
      </c>
      <c r="K41" s="169">
        <v>0</v>
      </c>
      <c r="L41" s="169">
        <v>0</v>
      </c>
      <c r="M41" s="169">
        <v>0</v>
      </c>
      <c r="N41" s="169">
        <v>0</v>
      </c>
      <c r="O41" s="169">
        <v>0</v>
      </c>
      <c r="P41" s="171">
        <f>pAIDS_LTFU_AIDS_ART1ear_2004_2012</f>
        <v>0.18179999999999999</v>
      </c>
      <c r="Q41" s="169">
        <v>0</v>
      </c>
      <c r="R41" s="171">
        <f>pAIDS_LTFU_AIDS_ART2_2004_2012</f>
        <v>0.19189999999999999</v>
      </c>
      <c r="S41" s="172">
        <f>pAIDS_LTFU_2004_2012</f>
        <v>0.21578526169714907</v>
      </c>
      <c r="T41" s="170">
        <f>pAIDS_LTFU_AIDS_Dead_2004_2012</f>
        <v>0.41051473830285101</v>
      </c>
      <c r="U41" s="61">
        <f t="shared" si="248"/>
        <v>1</v>
      </c>
      <c r="V41" s="190"/>
      <c r="W41" s="66">
        <v>15</v>
      </c>
      <c r="X41" s="66">
        <v>2019</v>
      </c>
      <c r="Y41" s="70">
        <f t="shared" si="449"/>
        <v>1.7806379602295051E-3</v>
      </c>
      <c r="Z41" s="70">
        <f t="shared" si="397"/>
        <v>6.6952436468744562E-4</v>
      </c>
      <c r="AA41" s="70">
        <f t="shared" si="398"/>
        <v>3.9745421370972912E-3</v>
      </c>
      <c r="AB41" s="70">
        <f t="shared" si="399"/>
        <v>1.711409238595987E-4</v>
      </c>
      <c r="AC41" s="70">
        <f t="shared" si="400"/>
        <v>2.199146933615676E-3</v>
      </c>
      <c r="AD41" s="70">
        <f t="shared" si="401"/>
        <v>1.3300014678562996E-3</v>
      </c>
      <c r="AE41" s="70">
        <f t="shared" si="402"/>
        <v>0.12542056619063632</v>
      </c>
      <c r="AF41" s="70">
        <f t="shared" si="403"/>
        <v>4.8467700527726365E-2</v>
      </c>
      <c r="AG41" s="70">
        <f t="shared" si="404"/>
        <v>7.562888783110568E-3</v>
      </c>
      <c r="AH41" s="70">
        <f t="shared" si="405"/>
        <v>1.2765107686467866E-3</v>
      </c>
      <c r="AI41" s="70">
        <f t="shared" si="406"/>
        <v>1.1599978168926094E-3</v>
      </c>
      <c r="AJ41" s="70">
        <f t="shared" si="407"/>
        <v>2.248555176355018E-3</v>
      </c>
      <c r="AK41" s="70">
        <f t="shared" si="408"/>
        <v>3.3209488862890966E-3</v>
      </c>
      <c r="AL41" s="70">
        <f t="shared" si="409"/>
        <v>0.15160110308529884</v>
      </c>
      <c r="AM41" s="70">
        <f t="shared" si="410"/>
        <v>4.3030744073116259E-2</v>
      </c>
      <c r="AN41" s="70">
        <f t="shared" si="411"/>
        <v>6.3971131268946444E-3</v>
      </c>
      <c r="AO41" s="70">
        <f t="shared" si="412"/>
        <v>1.3713921930063724E-2</v>
      </c>
      <c r="AP41" s="190"/>
      <c r="AQ41" s="66">
        <v>15</v>
      </c>
      <c r="AR41" s="66">
        <v>2019</v>
      </c>
      <c r="AS41" s="215">
        <f t="shared" si="225"/>
        <v>19.523555625621977</v>
      </c>
      <c r="AT41" s="215">
        <f t="shared" si="226"/>
        <v>7.3409061632044414</v>
      </c>
      <c r="AU41" s="215">
        <f t="shared" si="227"/>
        <v>43.578310826304055</v>
      </c>
      <c r="AV41" s="215">
        <f t="shared" si="228"/>
        <v>1.8764506999292296</v>
      </c>
      <c r="AW41" s="215">
        <f t="shared" si="229"/>
        <v>24.112238673058375</v>
      </c>
      <c r="AX41" s="215">
        <f t="shared" si="230"/>
        <v>14.582614894104898</v>
      </c>
      <c r="AY41" s="215">
        <f t="shared" si="231"/>
        <v>1375.1562391179652</v>
      </c>
      <c r="AZ41" s="215">
        <f t="shared" si="232"/>
        <v>531.41731695818191</v>
      </c>
      <c r="BA41" s="215">
        <f t="shared" si="233"/>
        <v>82.922235257986188</v>
      </c>
      <c r="BB41" s="215">
        <f t="shared" si="234"/>
        <v>13.996123611320082</v>
      </c>
      <c r="BC41" s="215">
        <f t="shared" si="235"/>
        <v>12.718633663624651</v>
      </c>
      <c r="BD41" s="215">
        <f t="shared" si="236"/>
        <v>24.653968433419905</v>
      </c>
      <c r="BE41" s="215">
        <f t="shared" si="237"/>
        <v>36.412079130872719</v>
      </c>
      <c r="BF41" s="215">
        <f t="shared" si="238"/>
        <v>1662.2090706243273</v>
      </c>
      <c r="BG41" s="215">
        <f t="shared" si="239"/>
        <v>471.80456908551298</v>
      </c>
      <c r="BH41" s="215">
        <f t="shared" si="240"/>
        <v>70.140251283998566</v>
      </c>
      <c r="BI41" s="215">
        <f t="shared" si="241"/>
        <v>150.36437705311351</v>
      </c>
      <c r="BJ41" s="194"/>
      <c r="BK41" s="66">
        <v>15</v>
      </c>
      <c r="BL41" s="66">
        <v>2019</v>
      </c>
      <c r="BM41" s="215">
        <f t="shared" si="413"/>
        <v>10.880416587526714</v>
      </c>
      <c r="BN41" s="219">
        <f t="shared" si="414"/>
        <v>27.161694285702836</v>
      </c>
      <c r="BO41" s="219">
        <f t="shared" si="415"/>
        <v>33.052817699351685</v>
      </c>
      <c r="BP41" s="219">
        <f t="shared" si="416"/>
        <v>11.827306685404952</v>
      </c>
      <c r="BQ41" s="219">
        <f t="shared" si="417"/>
        <v>2.919603244376586</v>
      </c>
      <c r="BR41" s="220">
        <f t="shared" si="418"/>
        <v>11.13321427909931</v>
      </c>
      <c r="BS41" s="219">
        <f t="shared" si="419"/>
        <v>5.2068629909567861</v>
      </c>
      <c r="BT41" s="219">
        <f t="shared" si="420"/>
        <v>1.9820226275922743</v>
      </c>
      <c r="BU41" s="219">
        <f t="shared" si="421"/>
        <v>22.080266395106687</v>
      </c>
      <c r="BV41" s="219">
        <f t="shared" si="422"/>
        <v>9.2171685530047274</v>
      </c>
      <c r="BW41" s="219">
        <f t="shared" si="423"/>
        <v>14.496868618409025</v>
      </c>
      <c r="BX41" s="220">
        <f t="shared" si="424"/>
        <v>3.1042445754531709</v>
      </c>
      <c r="BY41" s="195"/>
      <c r="BZ41" s="192">
        <v>15</v>
      </c>
      <c r="CA41" s="66">
        <v>2019</v>
      </c>
      <c r="CB41" s="218">
        <f t="shared" si="425"/>
        <v>0.56020682610151029</v>
      </c>
      <c r="CC41" s="218">
        <f t="shared" si="426"/>
        <v>0.19707437755494597</v>
      </c>
      <c r="CD41" s="73">
        <f t="shared" si="427"/>
        <v>1.1191694962727732</v>
      </c>
      <c r="CE41" s="73">
        <f t="shared" si="428"/>
        <v>1.0546102349155912</v>
      </c>
      <c r="CF41" s="73">
        <f t="shared" si="429"/>
        <v>0.5980828748974375</v>
      </c>
      <c r="CG41" s="73">
        <f t="shared" si="430"/>
        <v>7.0133341943665117</v>
      </c>
      <c r="CH41" s="73">
        <f t="shared" si="431"/>
        <v>2.5918527175738868</v>
      </c>
      <c r="CI41" s="73">
        <f t="shared" si="432"/>
        <v>0.46963276343260418</v>
      </c>
      <c r="CJ41" s="73">
        <f t="shared" si="433"/>
        <v>1.0396569352132161</v>
      </c>
      <c r="CK41" s="73">
        <f t="shared" si="434"/>
        <v>0.91714999431085176</v>
      </c>
      <c r="CL41" s="73">
        <f t="shared" si="435"/>
        <v>0.31180389660998242</v>
      </c>
      <c r="CM41" s="73">
        <f t="shared" si="436"/>
        <v>8.1682556354380651</v>
      </c>
      <c r="CN41" s="73">
        <f t="shared" si="437"/>
        <v>14.819285576057219</v>
      </c>
      <c r="CO41" s="73">
        <f t="shared" si="438"/>
        <v>7.355466517200016</v>
      </c>
      <c r="CP41" s="73">
        <f t="shared" si="439"/>
        <v>44.764705333590882</v>
      </c>
      <c r="CQ41" s="73">
        <f t="shared" si="440"/>
        <v>42.941407173629436</v>
      </c>
      <c r="CR41" s="73">
        <f t="shared" si="441"/>
        <v>1.8594869511451042</v>
      </c>
      <c r="CS41" s="73">
        <f t="shared" si="442"/>
        <v>6.1455353672578257</v>
      </c>
      <c r="CT41" s="73">
        <f t="shared" si="443"/>
        <v>3.2790753164137851</v>
      </c>
      <c r="CU41" s="73">
        <f t="shared" si="444"/>
        <v>1.143723619408396</v>
      </c>
      <c r="CV41" s="73">
        <f t="shared" si="445"/>
        <v>9.3741323339483493</v>
      </c>
      <c r="CW41" s="73">
        <f t="shared" si="446"/>
        <v>3.7118872840728088</v>
      </c>
      <c r="CX41" s="73">
        <f t="shared" si="447"/>
        <v>5.6224451257256307</v>
      </c>
      <c r="CY41" s="73">
        <f t="shared" si="448"/>
        <v>1.1789708192259898</v>
      </c>
      <c r="CZ41" s="190"/>
      <c r="DA41" s="66">
        <v>2019</v>
      </c>
      <c r="DB41" s="218">
        <f t="shared" si="242"/>
        <v>46.577489490729249</v>
      </c>
      <c r="DC41" s="218">
        <f t="shared" si="243"/>
        <v>4376.5719897381841</v>
      </c>
      <c r="DD41" s="73">
        <f t="shared" si="244"/>
        <v>4076.99927491686</v>
      </c>
      <c r="DE41" s="73">
        <f t="shared" si="245"/>
        <v>2170.4257188407132</v>
      </c>
      <c r="DF41" s="73">
        <f t="shared" si="246"/>
        <v>107.51285338104313</v>
      </c>
      <c r="DG41" s="73">
        <f t="shared" si="247"/>
        <v>229.1299422061926</v>
      </c>
      <c r="DH41" s="72">
        <f t="shared" si="275"/>
        <v>0.9467898126941775</v>
      </c>
      <c r="DI41" s="72">
        <f t="shared" si="276"/>
        <v>0.952802566894426</v>
      </c>
      <c r="DJ41" s="73">
        <f>SUM(AV26:AV41,BB26:BB41,BI26:BI41)</f>
        <v>6587.7880102618174</v>
      </c>
      <c r="DK41" s="73">
        <f>SUM(AV32:AV41,BB32:BB41,BI32:BI41)</f>
        <v>4612.1088348901758</v>
      </c>
      <c r="DL41" s="190"/>
    </row>
    <row r="42" spans="1:120" x14ac:dyDescent="0.25">
      <c r="A42" s="190"/>
      <c r="B42" s="139">
        <v>2005</v>
      </c>
      <c r="C42" s="186" t="s">
        <v>333</v>
      </c>
      <c r="D42" s="169">
        <v>0</v>
      </c>
      <c r="E42" s="169">
        <v>0</v>
      </c>
      <c r="F42" s="169">
        <v>0</v>
      </c>
      <c r="G42" s="169">
        <v>0</v>
      </c>
      <c r="H42" s="169">
        <v>0</v>
      </c>
      <c r="I42" s="169">
        <v>0</v>
      </c>
      <c r="J42" s="169">
        <v>0</v>
      </c>
      <c r="K42" s="169">
        <v>0</v>
      </c>
      <c r="L42" s="169">
        <v>0</v>
      </c>
      <c r="M42" s="169">
        <v>0</v>
      </c>
      <c r="N42" s="169">
        <v>0</v>
      </c>
      <c r="O42" s="169">
        <v>0</v>
      </c>
      <c r="P42" s="169">
        <v>0</v>
      </c>
      <c r="Q42" s="169">
        <v>0</v>
      </c>
      <c r="R42" s="169">
        <v>0</v>
      </c>
      <c r="S42" s="169">
        <v>0</v>
      </c>
      <c r="T42" s="169">
        <v>0</v>
      </c>
      <c r="U42" s="179">
        <f t="shared" si="248"/>
        <v>0</v>
      </c>
      <c r="V42" s="190"/>
      <c r="W42" s="66">
        <v>16</v>
      </c>
      <c r="X42" s="66">
        <v>2020</v>
      </c>
      <c r="Y42" s="70">
        <f t="shared" si="449"/>
        <v>1.1284972663801712E-3</v>
      </c>
      <c r="Z42" s="70">
        <f t="shared" si="397"/>
        <v>4.2516253860161283E-4</v>
      </c>
      <c r="AA42" s="70">
        <f t="shared" si="398"/>
        <v>2.7909060329120027E-3</v>
      </c>
      <c r="AB42" s="70">
        <f t="shared" si="399"/>
        <v>1.160823625520654E-4</v>
      </c>
      <c r="AC42" s="70">
        <f t="shared" si="400"/>
        <v>1.4000735701692789E-3</v>
      </c>
      <c r="AD42" s="70">
        <f t="shared" si="401"/>
        <v>8.4704560391762234E-4</v>
      </c>
      <c r="AE42" s="70">
        <f t="shared" si="402"/>
        <v>0.12383593567493993</v>
      </c>
      <c r="AF42" s="70">
        <f t="shared" si="403"/>
        <v>4.9910331961028315E-2</v>
      </c>
      <c r="AG42" s="70">
        <f t="shared" si="404"/>
        <v>6.5523706189657216E-3</v>
      </c>
      <c r="AH42" s="70">
        <f t="shared" si="405"/>
        <v>1.1864346592505473E-3</v>
      </c>
      <c r="AI42" s="70">
        <f t="shared" si="406"/>
        <v>7.3985061067708704E-4</v>
      </c>
      <c r="AJ42" s="70">
        <f t="shared" si="407"/>
        <v>1.4367144339452011E-3</v>
      </c>
      <c r="AK42" s="70">
        <f t="shared" si="408"/>
        <v>2.5084543794436785E-3</v>
      </c>
      <c r="AL42" s="70">
        <f t="shared" si="409"/>
        <v>0.14414638297301186</v>
      </c>
      <c r="AM42" s="70">
        <f t="shared" si="410"/>
        <v>4.3919819715700033E-2</v>
      </c>
      <c r="AN42" s="70">
        <f t="shared" si="411"/>
        <v>5.8015974435611283E-3</v>
      </c>
      <c r="AO42" s="70">
        <f t="shared" si="412"/>
        <v>1.2417810684749699E-2</v>
      </c>
      <c r="AP42" s="190"/>
      <c r="AQ42" s="66">
        <v>16</v>
      </c>
      <c r="AR42" s="66">
        <v>2020</v>
      </c>
      <c r="AS42" s="215">
        <f t="shared" si="225"/>
        <v>12.373250287608094</v>
      </c>
      <c r="AT42" s="215">
        <f t="shared" si="226"/>
        <v>4.6616351317419795</v>
      </c>
      <c r="AU42" s="215">
        <f t="shared" si="227"/>
        <v>30.600498471019048</v>
      </c>
      <c r="AV42" s="215">
        <f t="shared" si="228"/>
        <v>1.2727688126713639</v>
      </c>
      <c r="AW42" s="215">
        <f t="shared" si="229"/>
        <v>15.350910649821236</v>
      </c>
      <c r="AX42" s="215">
        <f t="shared" si="230"/>
        <v>9.2873129377702224</v>
      </c>
      <c r="AY42" s="215">
        <f t="shared" si="231"/>
        <v>1357.7817796768845</v>
      </c>
      <c r="AZ42" s="215">
        <f t="shared" si="232"/>
        <v>547.23484734022043</v>
      </c>
      <c r="BA42" s="215">
        <f t="shared" si="233"/>
        <v>71.842550319763006</v>
      </c>
      <c r="BB42" s="215">
        <f t="shared" si="234"/>
        <v>13.008496720500331</v>
      </c>
      <c r="BC42" s="215">
        <f t="shared" si="235"/>
        <v>8.111988441683426</v>
      </c>
      <c r="BD42" s="215">
        <f t="shared" si="236"/>
        <v>15.752654270971407</v>
      </c>
      <c r="BE42" s="215">
        <f t="shared" si="237"/>
        <v>27.503596859797092</v>
      </c>
      <c r="BF42" s="215">
        <f t="shared" si="238"/>
        <v>1580.4728356139724</v>
      </c>
      <c r="BG42" s="215">
        <f t="shared" si="239"/>
        <v>481.55271449803286</v>
      </c>
      <c r="BH42" s="215">
        <f t="shared" si="240"/>
        <v>63.610802946283897</v>
      </c>
      <c r="BI42" s="215">
        <f t="shared" si="241"/>
        <v>136.15334675944223</v>
      </c>
      <c r="BJ42" s="194"/>
      <c r="BK42" s="66">
        <v>16</v>
      </c>
      <c r="BL42" s="66">
        <v>2020</v>
      </c>
      <c r="BM42" s="215">
        <f t="shared" si="413"/>
        <v>6.9963208213529331</v>
      </c>
      <c r="BN42" s="219">
        <f t="shared" si="414"/>
        <v>19.53765214746781</v>
      </c>
      <c r="BO42" s="219">
        <f t="shared" si="415"/>
        <v>32.951525461931546</v>
      </c>
      <c r="BP42" s="219">
        <f t="shared" si="416"/>
        <v>12.357051889010712</v>
      </c>
      <c r="BQ42" s="219">
        <f t="shared" si="417"/>
        <v>1.8733797721118068</v>
      </c>
      <c r="BR42" s="220">
        <f t="shared" si="418"/>
        <v>8.144476979399947</v>
      </c>
      <c r="BS42" s="219">
        <f t="shared" si="419"/>
        <v>3.3709071073314809</v>
      </c>
      <c r="BT42" s="219">
        <f t="shared" si="420"/>
        <v>1.4420181936635028</v>
      </c>
      <c r="BU42" s="219">
        <f t="shared" si="421"/>
        <v>21.151480060367906</v>
      </c>
      <c r="BV42" s="219">
        <f t="shared" si="422"/>
        <v>9.2826133620094389</v>
      </c>
      <c r="BW42" s="219">
        <f t="shared" si="423"/>
        <v>15.052462951011394</v>
      </c>
      <c r="BX42" s="220">
        <f t="shared" si="424"/>
        <v>3.2934645203884232</v>
      </c>
      <c r="BY42" s="195"/>
      <c r="BZ42" s="192">
        <v>16</v>
      </c>
      <c r="CA42" s="66">
        <v>2020</v>
      </c>
      <c r="CB42" s="218">
        <f t="shared" si="425"/>
        <v>0.35503672615267823</v>
      </c>
      <c r="CC42" s="218">
        <f t="shared" si="426"/>
        <v>0.12525856869644691</v>
      </c>
      <c r="CD42" s="73">
        <f t="shared" si="427"/>
        <v>0.79247351782223863</v>
      </c>
      <c r="CE42" s="73">
        <f t="shared" si="428"/>
        <v>0.67245506909964592</v>
      </c>
      <c r="CF42" s="73">
        <f t="shared" si="429"/>
        <v>0.38159664775321039</v>
      </c>
      <c r="CG42" s="73">
        <f t="shared" si="430"/>
        <v>6.9543978369759873</v>
      </c>
      <c r="CH42" s="73">
        <f t="shared" si="431"/>
        <v>2.6874673105915607</v>
      </c>
      <c r="CI42" s="73">
        <f t="shared" si="432"/>
        <v>0.30343890450841249</v>
      </c>
      <c r="CJ42" s="73">
        <f t="shared" si="433"/>
        <v>0.7574999258846935</v>
      </c>
      <c r="CK42" s="73">
        <f t="shared" si="434"/>
        <v>0.92179474130662897</v>
      </c>
      <c r="CL42" s="73">
        <f t="shared" si="435"/>
        <v>0.32984628438019264</v>
      </c>
      <c r="CM42" s="73">
        <f t="shared" si="436"/>
        <v>5.2211865699927049</v>
      </c>
      <c r="CN42" s="73">
        <f t="shared" si="437"/>
        <v>9.4963999149829412</v>
      </c>
      <c r="CO42" s="73">
        <f t="shared" si="438"/>
        <v>5.3818842047647184</v>
      </c>
      <c r="CP42" s="73">
        <f t="shared" si="439"/>
        <v>42.810521214218376</v>
      </c>
      <c r="CQ42" s="73">
        <f t="shared" si="440"/>
        <v>44.449747955136608</v>
      </c>
      <c r="CR42" s="73">
        <f t="shared" si="441"/>
        <v>1.1985401618134091</v>
      </c>
      <c r="CS42" s="73">
        <f t="shared" si="442"/>
        <v>4.5703485462540172</v>
      </c>
      <c r="CT42" s="73">
        <f t="shared" si="443"/>
        <v>2.1374939981114252</v>
      </c>
      <c r="CU42" s="73">
        <f t="shared" si="444"/>
        <v>0.81364950027637162</v>
      </c>
      <c r="CV42" s="73">
        <f t="shared" si="445"/>
        <v>9.0642747808444568</v>
      </c>
      <c r="CW42" s="73">
        <f t="shared" si="446"/>
        <v>3.7837835364300036</v>
      </c>
      <c r="CX42" s="73">
        <f t="shared" si="447"/>
        <v>5.9511782270969942</v>
      </c>
      <c r="CY42" s="73">
        <f t="shared" si="448"/>
        <v>1.2743381495202033</v>
      </c>
      <c r="CZ42" s="190"/>
      <c r="DA42" s="66">
        <v>2020</v>
      </c>
      <c r="DB42" s="218">
        <f t="shared" si="242"/>
        <v>29.70160234048361</v>
      </c>
      <c r="DC42" s="218">
        <f t="shared" si="243"/>
        <v>4226.1373774455706</v>
      </c>
      <c r="DD42" s="73">
        <f t="shared" si="244"/>
        <v>3994.5457739889075</v>
      </c>
      <c r="DE42" s="73">
        <f t="shared" si="245"/>
        <v>2089.5291469718022</v>
      </c>
      <c r="DF42" s="73">
        <f t="shared" si="246"/>
        <v>87.475445658938725</v>
      </c>
      <c r="DG42" s="73">
        <f t="shared" si="247"/>
        <v>183.95621956629319</v>
      </c>
      <c r="DH42" s="72">
        <f t="shared" si="275"/>
        <v>0.95597555778362153</v>
      </c>
      <c r="DI42" s="72">
        <f t="shared" si="276"/>
        <v>0.95981843770332531</v>
      </c>
      <c r="DJ42" s="73">
        <f>SUM(AV26:AV42,BB26:BB42,BI26:BI42)</f>
        <v>6738.2226225544309</v>
      </c>
      <c r="DK42" s="73">
        <f>SUM(AV32:AV42,BB32:BB42,BI32:BI42)</f>
        <v>4762.5434471827903</v>
      </c>
      <c r="DL42" s="190"/>
    </row>
    <row r="43" spans="1:120" s="127" customFormat="1" x14ac:dyDescent="0.25">
      <c r="A43" s="190"/>
      <c r="B43" s="178"/>
      <c r="C43" s="182"/>
      <c r="D43" s="183"/>
      <c r="E43" s="183"/>
      <c r="F43" s="183"/>
      <c r="G43" s="183"/>
      <c r="H43" s="183"/>
      <c r="I43" s="183"/>
      <c r="J43" s="183"/>
      <c r="K43" s="183"/>
      <c r="L43" s="183"/>
      <c r="M43" s="183"/>
      <c r="N43" s="183"/>
      <c r="O43" s="183"/>
      <c r="P43" s="183"/>
      <c r="Q43" s="183"/>
      <c r="R43" s="183"/>
      <c r="S43" s="183"/>
      <c r="T43" s="183"/>
      <c r="U43" s="178"/>
      <c r="V43" s="190"/>
      <c r="W43" s="66">
        <v>17</v>
      </c>
      <c r="X43" s="66">
        <v>2021</v>
      </c>
      <c r="Y43" s="70">
        <f t="shared" si="449"/>
        <v>7.1519652431950716E-4</v>
      </c>
      <c r="Z43" s="70">
        <f t="shared" si="397"/>
        <v>2.6982115382082717E-4</v>
      </c>
      <c r="AA43" s="70">
        <f t="shared" si="398"/>
        <v>1.9459639844030005E-3</v>
      </c>
      <c r="AB43" s="70">
        <f t="shared" si="399"/>
        <v>7.8529111245739434E-5</v>
      </c>
      <c r="AC43" s="70">
        <f t="shared" si="400"/>
        <v>8.9032133474895622E-4</v>
      </c>
      <c r="AD43" s="70">
        <f t="shared" si="401"/>
        <v>5.3875351236164204E-4</v>
      </c>
      <c r="AE43" s="70">
        <f t="shared" si="402"/>
        <v>0.12190580545455587</v>
      </c>
      <c r="AF43" s="70">
        <f t="shared" si="403"/>
        <v>5.113768229475394E-2</v>
      </c>
      <c r="AG43" s="70">
        <f t="shared" si="404"/>
        <v>5.8228445260515493E-3</v>
      </c>
      <c r="AH43" s="70">
        <f t="shared" si="405"/>
        <v>1.1226117362497445E-3</v>
      </c>
      <c r="AI43" s="70">
        <f t="shared" si="406"/>
        <v>4.7111429270406386E-4</v>
      </c>
      <c r="AJ43" s="70">
        <f t="shared" si="407"/>
        <v>9.1603693503666773E-4</v>
      </c>
      <c r="AK43" s="70">
        <f t="shared" si="408"/>
        <v>1.9660365862145465E-3</v>
      </c>
      <c r="AL43" s="70">
        <f t="shared" si="409"/>
        <v>0.13652557981099017</v>
      </c>
      <c r="AM43" s="70">
        <f t="shared" si="410"/>
        <v>4.4334324535496045E-2</v>
      </c>
      <c r="AN43" s="70">
        <f t="shared" si="411"/>
        <v>5.3426925050496744E-3</v>
      </c>
      <c r="AO43" s="70">
        <f t="shared" si="412"/>
        <v>1.1459828525251681E-2</v>
      </c>
      <c r="AP43" s="190"/>
      <c r="AQ43" s="66">
        <v>17</v>
      </c>
      <c r="AR43" s="66">
        <v>2021</v>
      </c>
      <c r="AS43" s="215">
        <f t="shared" si="225"/>
        <v>7.8416721633878321</v>
      </c>
      <c r="AT43" s="215">
        <f t="shared" si="226"/>
        <v>2.9584162661069247</v>
      </c>
      <c r="AU43" s="215">
        <f t="shared" si="227"/>
        <v>21.336249672028885</v>
      </c>
      <c r="AV43" s="215">
        <f t="shared" si="228"/>
        <v>0.86102144617833565</v>
      </c>
      <c r="AW43" s="215">
        <f t="shared" si="229"/>
        <v>9.7618036298680657</v>
      </c>
      <c r="AX43" s="215">
        <f t="shared" si="230"/>
        <v>5.9070874607974941</v>
      </c>
      <c r="AY43" s="215">
        <f t="shared" si="231"/>
        <v>1336.6191370937142</v>
      </c>
      <c r="AZ43" s="215">
        <f t="shared" si="232"/>
        <v>560.69195824530834</v>
      </c>
      <c r="BA43" s="215">
        <f t="shared" si="233"/>
        <v>63.843763607658566</v>
      </c>
      <c r="BB43" s="215">
        <f t="shared" si="234"/>
        <v>12.308719216467249</v>
      </c>
      <c r="BC43" s="215">
        <f t="shared" si="235"/>
        <v>5.1654667063527295</v>
      </c>
      <c r="BD43" s="215">
        <f t="shared" si="236"/>
        <v>10.043758729038638</v>
      </c>
      <c r="BE43" s="215">
        <f t="shared" si="237"/>
        <v>21.556332904427325</v>
      </c>
      <c r="BF43" s="215">
        <f t="shared" si="238"/>
        <v>1496.9156062564282</v>
      </c>
      <c r="BG43" s="215">
        <f t="shared" si="239"/>
        <v>486.09749456401141</v>
      </c>
      <c r="BH43" s="215">
        <f t="shared" si="240"/>
        <v>58.57920399466645</v>
      </c>
      <c r="BI43" s="215">
        <f t="shared" si="241"/>
        <v>125.64968548912853</v>
      </c>
      <c r="BJ43" s="194"/>
      <c r="BK43" s="66">
        <v>17</v>
      </c>
      <c r="BL43" s="66">
        <v>2021</v>
      </c>
      <c r="BM43" s="215">
        <f t="shared" si="413"/>
        <v>4.4824207938532643</v>
      </c>
      <c r="BN43" s="219">
        <f t="shared" si="414"/>
        <v>13.904454881760572</v>
      </c>
      <c r="BO43" s="219">
        <f t="shared" si="415"/>
        <v>32.661227035743075</v>
      </c>
      <c r="BP43" s="219">
        <f t="shared" si="416"/>
        <v>12.795660896301658</v>
      </c>
      <c r="BQ43" s="219">
        <f t="shared" si="417"/>
        <v>1.1981421414327902</v>
      </c>
      <c r="BR43" s="220">
        <f t="shared" si="418"/>
        <v>5.8781645312347397</v>
      </c>
      <c r="BS43" s="219">
        <f t="shared" si="419"/>
        <v>2.1708660725301971</v>
      </c>
      <c r="BT43" s="219">
        <f t="shared" si="420"/>
        <v>1.0812253988628495</v>
      </c>
      <c r="BU43" s="219">
        <f t="shared" si="421"/>
        <v>20.134167246776169</v>
      </c>
      <c r="BV43" s="219">
        <f t="shared" si="422"/>
        <v>9.2677594994566146</v>
      </c>
      <c r="BW43" s="219">
        <f t="shared" si="423"/>
        <v>15.400619776233118</v>
      </c>
      <c r="BX43" s="220">
        <f t="shared" si="424"/>
        <v>3.4482593281399856</v>
      </c>
      <c r="BY43" s="195"/>
      <c r="BZ43" s="192">
        <v>17</v>
      </c>
      <c r="CA43" s="66">
        <v>2021</v>
      </c>
      <c r="CB43" s="218">
        <f t="shared" si="425"/>
        <v>0.22500810601399415</v>
      </c>
      <c r="CC43" s="218">
        <f t="shared" si="426"/>
        <v>7.9541916407249877E-2</v>
      </c>
      <c r="CD43" s="73">
        <f t="shared" si="427"/>
        <v>0.55647142375709169</v>
      </c>
      <c r="CE43" s="73">
        <f t="shared" si="428"/>
        <v>0.42811444518845648</v>
      </c>
      <c r="CF43" s="73">
        <f t="shared" si="429"/>
        <v>0.24302962873420059</v>
      </c>
      <c r="CG43" s="73">
        <f t="shared" si="430"/>
        <v>6.8665322550744143</v>
      </c>
      <c r="CH43" s="73">
        <f t="shared" si="431"/>
        <v>2.7674592387419983</v>
      </c>
      <c r="CI43" s="73">
        <f t="shared" si="432"/>
        <v>0.19511715461837029</v>
      </c>
      <c r="CJ43" s="73">
        <f t="shared" si="433"/>
        <v>0.54487654186793411</v>
      </c>
      <c r="CK43" s="73">
        <f t="shared" si="434"/>
        <v>0.91896984895892153</v>
      </c>
      <c r="CL43" s="73">
        <f t="shared" si="435"/>
        <v>0.34462010328295378</v>
      </c>
      <c r="CM43" s="73">
        <f t="shared" si="436"/>
        <v>3.3300908122534238</v>
      </c>
      <c r="CN43" s="73">
        <f t="shared" si="437"/>
        <v>6.0677251649606943</v>
      </c>
      <c r="CO43" s="73">
        <f t="shared" si="438"/>
        <v>4.0651667536462028</v>
      </c>
      <c r="CP43" s="73">
        <f t="shared" si="439"/>
        <v>40.705388421526507</v>
      </c>
      <c r="CQ43" s="73">
        <f t="shared" si="440"/>
        <v>45.368142212013751</v>
      </c>
      <c r="CR43" s="73">
        <f t="shared" si="441"/>
        <v>0.76905000689033309</v>
      </c>
      <c r="CS43" s="73">
        <f t="shared" si="442"/>
        <v>3.3434278358119638</v>
      </c>
      <c r="CT43" s="73">
        <f t="shared" si="443"/>
        <v>1.3838070490094034</v>
      </c>
      <c r="CU43" s="73">
        <f t="shared" si="444"/>
        <v>0.59196972139972281</v>
      </c>
      <c r="CV43" s="73">
        <f t="shared" si="445"/>
        <v>8.6829943016999014</v>
      </c>
      <c r="CW43" s="73">
        <f t="shared" si="446"/>
        <v>3.8106495950718529</v>
      </c>
      <c r="CX43" s="73">
        <f t="shared" si="447"/>
        <v>6.1792578891478032</v>
      </c>
      <c r="CY43" s="73">
        <f t="shared" si="448"/>
        <v>1.3520157256969783</v>
      </c>
      <c r="CZ43" s="190"/>
      <c r="DA43" s="66">
        <v>2021</v>
      </c>
      <c r="DB43" s="218">
        <f t="shared" si="242"/>
        <v>18.909262455943058</v>
      </c>
      <c r="DC43" s="218">
        <f t="shared" si="243"/>
        <v>4087.317951293795</v>
      </c>
      <c r="DD43" s="73">
        <f t="shared" si="244"/>
        <v>3901.8805290638898</v>
      </c>
      <c r="DE43" s="73">
        <f t="shared" si="245"/>
        <v>2004.5694337248669</v>
      </c>
      <c r="DF43" s="73">
        <f t="shared" si="246"/>
        <v>73.788429430057818</v>
      </c>
      <c r="DG43" s="73">
        <f t="shared" si="247"/>
        <v>153.30108412838194</v>
      </c>
      <c r="DH43" s="72">
        <f t="shared" si="275"/>
        <v>0.96219624698690087</v>
      </c>
      <c r="DI43" s="72">
        <f t="shared" si="276"/>
        <v>0.96449676413375318</v>
      </c>
      <c r="DJ43" s="73">
        <f>SUM(AV26:AV43,BB26:BB43,BI26:BI43)</f>
        <v>6877.0420487062056</v>
      </c>
      <c r="DK43" s="73">
        <f>SUM(AV32:AV43,BB32:BB43,BI32:BI43)</f>
        <v>4901.3628733345631</v>
      </c>
      <c r="DL43" s="190"/>
      <c r="DM43"/>
      <c r="DN43"/>
      <c r="DO43"/>
      <c r="DP43"/>
    </row>
    <row r="44" spans="1:120" x14ac:dyDescent="0.25">
      <c r="A44" s="190"/>
      <c r="B44" s="178"/>
      <c r="C44" s="182"/>
      <c r="D44" s="183"/>
      <c r="E44" s="183"/>
      <c r="F44" s="183"/>
      <c r="G44" s="183"/>
      <c r="H44" s="183"/>
      <c r="I44" s="183"/>
      <c r="J44" s="183"/>
      <c r="K44" s="183"/>
      <c r="L44" s="183"/>
      <c r="M44" s="183"/>
      <c r="N44" s="183"/>
      <c r="O44" s="183"/>
      <c r="P44" s="183"/>
      <c r="Q44" s="183"/>
      <c r="R44" s="183"/>
      <c r="S44" s="183"/>
      <c r="T44" s="183"/>
      <c r="U44" s="178"/>
      <c r="V44" s="190"/>
      <c r="W44" s="66">
        <v>18</v>
      </c>
      <c r="X44" s="66">
        <v>2022</v>
      </c>
      <c r="Y44" s="70">
        <f t="shared" si="449"/>
        <v>4.5326301058702423E-4</v>
      </c>
      <c r="Z44" s="70">
        <f t="shared" si="397"/>
        <v>1.7116403681310109E-4</v>
      </c>
      <c r="AA44" s="70">
        <f t="shared" si="398"/>
        <v>1.3486585378481746E-3</v>
      </c>
      <c r="AB44" s="70">
        <f t="shared" si="399"/>
        <v>5.2997305634178089E-5</v>
      </c>
      <c r="AC44" s="70">
        <f t="shared" si="400"/>
        <v>5.6567926695160115E-4</v>
      </c>
      <c r="AD44" s="70">
        <f t="shared" si="401"/>
        <v>3.4234018830763121E-4</v>
      </c>
      <c r="AE44" s="70">
        <f t="shared" si="402"/>
        <v>0.1197555840901284</v>
      </c>
      <c r="AF44" s="70">
        <f t="shared" si="403"/>
        <v>5.2199190702335099E-2</v>
      </c>
      <c r="AG44" s="70">
        <f t="shared" si="404"/>
        <v>5.2968205966357519E-3</v>
      </c>
      <c r="AH44" s="70">
        <f t="shared" si="405"/>
        <v>1.0764286377761677E-3</v>
      </c>
      <c r="AI44" s="70">
        <f t="shared" si="406"/>
        <v>2.9963036811964631E-4</v>
      </c>
      <c r="AJ44" s="70">
        <f t="shared" si="407"/>
        <v>5.8314524810737479E-4</v>
      </c>
      <c r="AK44" s="70">
        <f t="shared" si="408"/>
        <v>1.6019965089312349E-3</v>
      </c>
      <c r="AL44" s="70">
        <f t="shared" si="409"/>
        <v>0.12897144072484623</v>
      </c>
      <c r="AM44" s="70">
        <f t="shared" si="410"/>
        <v>4.435864754330205E-2</v>
      </c>
      <c r="AN44" s="70">
        <f t="shared" si="411"/>
        <v>4.9820199568637565E-3</v>
      </c>
      <c r="AO44" s="70">
        <f t="shared" si="412"/>
        <v>1.0723166727319032E-2</v>
      </c>
      <c r="AP44" s="190"/>
      <c r="AQ44" s="66">
        <v>18</v>
      </c>
      <c r="AR44" s="66">
        <v>2022</v>
      </c>
      <c r="AS44" s="215">
        <f t="shared" si="225"/>
        <v>4.9697388227599451</v>
      </c>
      <c r="AT44" s="215">
        <f t="shared" si="226"/>
        <v>1.8767041186720932</v>
      </c>
      <c r="AU44" s="215">
        <f t="shared" si="227"/>
        <v>14.787177726041012</v>
      </c>
      <c r="AV44" s="215">
        <f t="shared" si="228"/>
        <v>0.58108153800315687</v>
      </c>
      <c r="AW44" s="215">
        <f t="shared" si="229"/>
        <v>6.2023111273934584</v>
      </c>
      <c r="AX44" s="215">
        <f t="shared" si="230"/>
        <v>3.7535410670726597</v>
      </c>
      <c r="AY44" s="215">
        <f t="shared" si="231"/>
        <v>1313.0433359744404</v>
      </c>
      <c r="AZ44" s="215">
        <f t="shared" si="232"/>
        <v>572.33071856905485</v>
      </c>
      <c r="BA44" s="215">
        <f t="shared" si="233"/>
        <v>58.076247876929173</v>
      </c>
      <c r="BB44" s="215">
        <f t="shared" si="234"/>
        <v>11.802351098887502</v>
      </c>
      <c r="BC44" s="215">
        <f t="shared" si="235"/>
        <v>3.2852552229963252</v>
      </c>
      <c r="BD44" s="215">
        <f t="shared" si="236"/>
        <v>6.3938144325385764</v>
      </c>
      <c r="BE44" s="215">
        <f t="shared" si="237"/>
        <v>17.564866442665277</v>
      </c>
      <c r="BF44" s="215">
        <f t="shared" si="238"/>
        <v>1414.089305825875</v>
      </c>
      <c r="BG44" s="215">
        <f t="shared" si="239"/>
        <v>486.36418077787931</v>
      </c>
      <c r="BH44" s="215">
        <f t="shared" si="240"/>
        <v>54.624660334238698</v>
      </c>
      <c r="BI44" s="215">
        <f t="shared" si="241"/>
        <v>117.57266033834772</v>
      </c>
      <c r="BJ44" s="194"/>
      <c r="BK44" s="66">
        <v>18</v>
      </c>
      <c r="BL44" s="66">
        <v>2022</v>
      </c>
      <c r="BM44" s="215">
        <f t="shared" si="413"/>
        <v>2.8639374853035333</v>
      </c>
      <c r="BN44" s="219">
        <f t="shared" si="414"/>
        <v>9.8071794342259491</v>
      </c>
      <c r="BO44" s="219">
        <f t="shared" si="415"/>
        <v>32.24112817510251</v>
      </c>
      <c r="BP44" s="219">
        <f t="shared" si="416"/>
        <v>13.164002782297175</v>
      </c>
      <c r="BQ44" s="219">
        <f t="shared" si="417"/>
        <v>0.76446078812879614</v>
      </c>
      <c r="BR44" s="220">
        <f t="shared" si="418"/>
        <v>4.1952306997033526</v>
      </c>
      <c r="BS44" s="219">
        <f t="shared" si="419"/>
        <v>1.3924587789155813</v>
      </c>
      <c r="BT44" s="219">
        <f t="shared" si="420"/>
        <v>0.84031988909494726</v>
      </c>
      <c r="BU44" s="219">
        <f t="shared" si="421"/>
        <v>19.084348078484847</v>
      </c>
      <c r="BV44" s="219">
        <f t="shared" si="422"/>
        <v>9.1958215937369285</v>
      </c>
      <c r="BW44" s="219">
        <f t="shared" si="423"/>
        <v>15.575868549694217</v>
      </c>
      <c r="BX44" s="220">
        <f t="shared" si="424"/>
        <v>3.5761519564800306</v>
      </c>
      <c r="BY44" s="195"/>
      <c r="BZ44" s="192">
        <v>18</v>
      </c>
      <c r="CA44" s="66">
        <v>2022</v>
      </c>
      <c r="CB44" s="218">
        <f t="shared" si="425"/>
        <v>0.14260115656382191</v>
      </c>
      <c r="CC44" s="218">
        <f t="shared" si="426"/>
        <v>5.0479733545467476E-2</v>
      </c>
      <c r="CD44" s="73">
        <f t="shared" si="427"/>
        <v>0.38800064789386757</v>
      </c>
      <c r="CE44" s="73">
        <f t="shared" si="428"/>
        <v>0.27224242524584658</v>
      </c>
      <c r="CF44" s="73">
        <f t="shared" si="429"/>
        <v>0.15457617096756698</v>
      </c>
      <c r="CG44" s="73">
        <f t="shared" si="430"/>
        <v>6.7595091898992941</v>
      </c>
      <c r="CH44" s="73">
        <f t="shared" si="431"/>
        <v>2.8355141261126988</v>
      </c>
      <c r="CI44" s="73">
        <f t="shared" si="432"/>
        <v>0.12500815977871893</v>
      </c>
      <c r="CJ44" s="73">
        <f t="shared" si="433"/>
        <v>0.38777490945934029</v>
      </c>
      <c r="CK44" s="73">
        <f t="shared" si="434"/>
        <v>0.91087385045421998</v>
      </c>
      <c r="CL44" s="73">
        <f t="shared" si="435"/>
        <v>0.35685226696981687</v>
      </c>
      <c r="CM44" s="73">
        <f t="shared" si="436"/>
        <v>2.1205002131704807</v>
      </c>
      <c r="CN44" s="73">
        <f t="shared" si="437"/>
        <v>3.8687300909844238</v>
      </c>
      <c r="CO44" s="73">
        <f t="shared" si="438"/>
        <v>3.1861319194108542</v>
      </c>
      <c r="CP44" s="73">
        <f t="shared" si="439"/>
        <v>38.553355561623462</v>
      </c>
      <c r="CQ44" s="73">
        <f t="shared" si="440"/>
        <v>45.796315955298674</v>
      </c>
      <c r="CR44" s="73">
        <f t="shared" si="441"/>
        <v>0.49185500763989937</v>
      </c>
      <c r="CS44" s="73">
        <f t="shared" si="442"/>
        <v>2.4130731742409299</v>
      </c>
      <c r="CT44" s="73">
        <f t="shared" si="443"/>
        <v>0.89117251765527183</v>
      </c>
      <c r="CU44" s="73">
        <f t="shared" si="444"/>
        <v>0.44385896166057837</v>
      </c>
      <c r="CV44" s="73">
        <f t="shared" si="445"/>
        <v>8.2653723982561527</v>
      </c>
      <c r="CW44" s="73">
        <f t="shared" si="446"/>
        <v>3.8045518655731936</v>
      </c>
      <c r="CX44" s="73">
        <f t="shared" si="447"/>
        <v>6.3221813971420504</v>
      </c>
      <c r="CY44" s="73">
        <f t="shared" si="448"/>
        <v>1.4155612756917511</v>
      </c>
      <c r="CZ44" s="190"/>
      <c r="DA44" s="66">
        <v>2022</v>
      </c>
      <c r="DB44" s="218">
        <f t="shared" si="242"/>
        <v>12.02405961828333</v>
      </c>
      <c r="DC44" s="218">
        <f t="shared" si="243"/>
        <v>3957.3618583185571</v>
      </c>
      <c r="DD44" s="73">
        <f t="shared" si="244"/>
        <v>3803.3924075899149</v>
      </c>
      <c r="DE44" s="73">
        <f t="shared" si="245"/>
        <v>1918.0183530464196</v>
      </c>
      <c r="DF44" s="73">
        <f t="shared" si="246"/>
        <v>64.303729989773601</v>
      </c>
      <c r="DG44" s="73">
        <f t="shared" si="247"/>
        <v>132.33583006116891</v>
      </c>
      <c r="DH44" s="72">
        <f t="shared" si="275"/>
        <v>0.9663757703605701</v>
      </c>
      <c r="DI44" s="72">
        <f t="shared" si="276"/>
        <v>0.96756141166964971</v>
      </c>
      <c r="DJ44" s="73">
        <f>SUM(AV26:AV44,BB26:BB44,BI26:BI44)</f>
        <v>7006.9981416814435</v>
      </c>
      <c r="DK44" s="73">
        <f>SUM(AV32:AV44,BB32:BB44,BI32:BI44)</f>
        <v>5031.318966309801</v>
      </c>
      <c r="DL44" s="190"/>
      <c r="DM44" s="127"/>
      <c r="DN44" s="127"/>
      <c r="DO44" s="127"/>
      <c r="DP44" s="127"/>
    </row>
    <row r="45" spans="1:120" x14ac:dyDescent="0.25">
      <c r="A45" s="190"/>
      <c r="B45" s="178"/>
      <c r="C45" s="182"/>
      <c r="D45" s="183"/>
      <c r="E45" s="183"/>
      <c r="F45" s="183"/>
      <c r="G45" s="183"/>
      <c r="H45" s="183"/>
      <c r="I45" s="183"/>
      <c r="J45" s="183"/>
      <c r="K45" s="183"/>
      <c r="L45" s="183"/>
      <c r="M45" s="183"/>
      <c r="N45" s="183"/>
      <c r="O45" s="183"/>
      <c r="P45" s="183"/>
      <c r="Q45" s="183"/>
      <c r="R45" s="183"/>
      <c r="S45" s="183"/>
      <c r="T45" s="183"/>
      <c r="U45" s="178"/>
      <c r="V45" s="190"/>
      <c r="W45" s="66">
        <v>19</v>
      </c>
      <c r="X45" s="66">
        <v>2023</v>
      </c>
      <c r="Y45" s="70">
        <f t="shared" si="449"/>
        <v>2.8726000446085948E-4</v>
      </c>
      <c r="Z45" s="70">
        <f t="shared" si="397"/>
        <v>1.0854798335349563E-4</v>
      </c>
      <c r="AA45" s="70">
        <f t="shared" si="398"/>
        <v>9.2983487158888661E-4</v>
      </c>
      <c r="AB45" s="70">
        <f t="shared" si="399"/>
        <v>3.5688611361815049E-5</v>
      </c>
      <c r="AC45" s="70">
        <f t="shared" si="400"/>
        <v>3.5918336130182391E-4</v>
      </c>
      <c r="AD45" s="70">
        <f t="shared" si="401"/>
        <v>2.1738145472573482E-4</v>
      </c>
      <c r="AE45" s="70">
        <f t="shared" si="402"/>
        <v>0.11747338341635404</v>
      </c>
      <c r="AF45" s="70">
        <f t="shared" si="403"/>
        <v>5.3131116431429239E-2</v>
      </c>
      <c r="AG45" s="70">
        <f t="shared" si="404"/>
        <v>4.9162704894639532E-3</v>
      </c>
      <c r="AH45" s="70">
        <f t="shared" si="405"/>
        <v>1.0420592742030022E-3</v>
      </c>
      <c r="AI45" s="70">
        <f t="shared" si="406"/>
        <v>1.903954994151607E-4</v>
      </c>
      <c r="AJ45" s="70">
        <f t="shared" si="407"/>
        <v>3.7080045617809412E-4</v>
      </c>
      <c r="AK45" s="70">
        <f t="shared" si="408"/>
        <v>1.3550595231772598E-3</v>
      </c>
      <c r="AL45" s="70">
        <f t="shared" si="409"/>
        <v>0.12162584653099041</v>
      </c>
      <c r="AM45" s="70">
        <f t="shared" si="410"/>
        <v>4.4065116484188031E-2</v>
      </c>
      <c r="AN45" s="70">
        <f t="shared" si="411"/>
        <v>4.6912271690483292E-3</v>
      </c>
      <c r="AO45" s="70">
        <f t="shared" si="412"/>
        <v>1.0130409218536949E-2</v>
      </c>
      <c r="AP45" s="190"/>
      <c r="AQ45" s="66">
        <v>19</v>
      </c>
      <c r="AR45" s="66">
        <v>2023</v>
      </c>
      <c r="AS45" s="215">
        <f t="shared" si="225"/>
        <v>3.1496221025104694</v>
      </c>
      <c r="AT45" s="215">
        <f t="shared" si="226"/>
        <v>1.1901591667617333</v>
      </c>
      <c r="AU45" s="215">
        <f t="shared" si="227"/>
        <v>10.195044272654325</v>
      </c>
      <c r="AV45" s="215">
        <f t="shared" si="228"/>
        <v>0.39130278287103049</v>
      </c>
      <c r="AW45" s="215">
        <f t="shared" si="229"/>
        <v>3.9382156793232661</v>
      </c>
      <c r="AX45" s="215">
        <f t="shared" si="230"/>
        <v>2.3834485269366579</v>
      </c>
      <c r="AY45" s="215">
        <f t="shared" si="231"/>
        <v>1288.0204661949356</v>
      </c>
      <c r="AZ45" s="215">
        <f t="shared" si="232"/>
        <v>582.54868775610555</v>
      </c>
      <c r="BA45" s="215">
        <f t="shared" si="233"/>
        <v>53.903759503858993</v>
      </c>
      <c r="BB45" s="215">
        <f t="shared" si="234"/>
        <v>11.425513023700431</v>
      </c>
      <c r="BC45" s="215">
        <f t="shared" si="235"/>
        <v>2.0875647979676115</v>
      </c>
      <c r="BD45" s="215">
        <f t="shared" si="236"/>
        <v>4.0655896897008486</v>
      </c>
      <c r="BE45" s="215">
        <f t="shared" si="237"/>
        <v>14.857360433543821</v>
      </c>
      <c r="BF45" s="215">
        <f t="shared" si="238"/>
        <v>1333.5495666705301</v>
      </c>
      <c r="BG45" s="215">
        <f t="shared" si="239"/>
        <v>483.14580057457192</v>
      </c>
      <c r="BH45" s="215">
        <f t="shared" si="240"/>
        <v>51.436303523226741</v>
      </c>
      <c r="BI45" s="215">
        <f t="shared" si="241"/>
        <v>111.07345361935779</v>
      </c>
      <c r="BJ45" s="194"/>
      <c r="BK45" s="66">
        <v>19</v>
      </c>
      <c r="BL45" s="66">
        <v>2023</v>
      </c>
      <c r="BM45" s="215">
        <f t="shared" si="413"/>
        <v>1.8260763886549882</v>
      </c>
      <c r="BN45" s="219">
        <f t="shared" si="414"/>
        <v>6.8648942064584073</v>
      </c>
      <c r="BO45" s="219">
        <f t="shared" si="415"/>
        <v>31.734598584153638</v>
      </c>
      <c r="BP45" s="219">
        <f t="shared" si="416"/>
        <v>13.47819032459196</v>
      </c>
      <c r="BQ45" s="219">
        <f t="shared" si="417"/>
        <v>0.48690330045595687</v>
      </c>
      <c r="BR45" s="220">
        <f t="shared" si="418"/>
        <v>2.9661461214336269</v>
      </c>
      <c r="BS45" s="219">
        <f t="shared" si="419"/>
        <v>0.89046735384646647</v>
      </c>
      <c r="BT45" s="219">
        <f t="shared" si="420"/>
        <v>0.67881740531317336</v>
      </c>
      <c r="BU45" s="219">
        <f t="shared" si="421"/>
        <v>18.037705035048454</v>
      </c>
      <c r="BV45" s="219">
        <f t="shared" si="422"/>
        <v>9.0843998067349823</v>
      </c>
      <c r="BW45" s="219">
        <f t="shared" si="423"/>
        <v>15.608614052203233</v>
      </c>
      <c r="BX45" s="220">
        <f t="shared" si="424"/>
        <v>3.6832504481908419</v>
      </c>
      <c r="BY45" s="195"/>
      <c r="BZ45" s="192">
        <v>19</v>
      </c>
      <c r="CA45" s="66">
        <v>2023</v>
      </c>
      <c r="CB45" s="218">
        <f t="shared" si="425"/>
        <v>9.0374921213171436E-2</v>
      </c>
      <c r="CC45" s="218">
        <f t="shared" si="426"/>
        <v>3.2022377966071075E-2</v>
      </c>
      <c r="CD45" s="73">
        <f t="shared" si="427"/>
        <v>0.26890548369178796</v>
      </c>
      <c r="CE45" s="73">
        <f t="shared" si="428"/>
        <v>0.17297338560309852</v>
      </c>
      <c r="CF45" s="73">
        <f t="shared" si="429"/>
        <v>9.8222348927143779E-2</v>
      </c>
      <c r="CG45" s="73">
        <f t="shared" si="430"/>
        <v>6.6402823735965759</v>
      </c>
      <c r="CH45" s="73">
        <f t="shared" si="431"/>
        <v>2.8943733068501989</v>
      </c>
      <c r="CI45" s="73">
        <f t="shared" si="432"/>
        <v>7.9871027559490326E-2</v>
      </c>
      <c r="CJ45" s="73">
        <f t="shared" si="433"/>
        <v>0.27350789006098319</v>
      </c>
      <c r="CK45" s="73">
        <f t="shared" si="434"/>
        <v>0.89915790768378034</v>
      </c>
      <c r="CL45" s="73">
        <f t="shared" si="435"/>
        <v>0.36712478341915705</v>
      </c>
      <c r="CM45" s="73">
        <f t="shared" si="436"/>
        <v>1.3486456881264108</v>
      </c>
      <c r="CN45" s="73">
        <f t="shared" si="437"/>
        <v>2.4628172538449804</v>
      </c>
      <c r="CO45" s="73">
        <f t="shared" si="438"/>
        <v>2.5961735644595798</v>
      </c>
      <c r="CP45" s="73">
        <f t="shared" si="439"/>
        <v>36.420147919852141</v>
      </c>
      <c r="CQ45" s="73">
        <f t="shared" si="440"/>
        <v>45.821441051082537</v>
      </c>
      <c r="CR45" s="73">
        <f t="shared" si="441"/>
        <v>0.313822420381484</v>
      </c>
      <c r="CS45" s="73">
        <f t="shared" si="442"/>
        <v>1.7222040328088084</v>
      </c>
      <c r="CT45" s="73">
        <f t="shared" si="443"/>
        <v>0.57162485122403739</v>
      </c>
      <c r="CU45" s="73">
        <f t="shared" si="444"/>
        <v>0.34496369936249305</v>
      </c>
      <c r="CV45" s="73">
        <f t="shared" si="445"/>
        <v>7.8344061571197248</v>
      </c>
      <c r="CW45" s="73">
        <f t="shared" si="446"/>
        <v>3.7750202950326215</v>
      </c>
      <c r="CX45" s="73">
        <f t="shared" si="447"/>
        <v>6.3941236015173288</v>
      </c>
      <c r="CY45" s="73">
        <f t="shared" si="448"/>
        <v>1.4680630845456284</v>
      </c>
      <c r="CZ45" s="190"/>
      <c r="DA45" s="66">
        <v>2023</v>
      </c>
      <c r="DB45" s="218">
        <f t="shared" si="242"/>
        <v>7.6391973833992397</v>
      </c>
      <c r="DC45" s="218">
        <f t="shared" si="243"/>
        <v>3834.471588892628</v>
      </c>
      <c r="DD45" s="73">
        <f t="shared" si="244"/>
        <v>3702.1218816296869</v>
      </c>
      <c r="DE45" s="73">
        <f t="shared" si="245"/>
        <v>1831.5527276786459</v>
      </c>
      <c r="DF45" s="73">
        <f t="shared" si="246"/>
        <v>57.5894580108952</v>
      </c>
      <c r="DG45" s="73">
        <f t="shared" si="247"/>
        <v>117.81488172101412</v>
      </c>
      <c r="DH45" s="72">
        <f t="shared" si="275"/>
        <v>0.96915789736328739</v>
      </c>
      <c r="DI45" s="72">
        <f t="shared" si="276"/>
        <v>0.96951555131893108</v>
      </c>
      <c r="DJ45" s="73">
        <f>SUM(AV26:AV45,BB26:BB45,BI26:BI45)</f>
        <v>7129.8884111073721</v>
      </c>
      <c r="DK45" s="73">
        <f>SUM(AV32:AV45,BB32:BB45,BI32:BI45)</f>
        <v>5154.2092357357315</v>
      </c>
      <c r="DL45" s="190"/>
    </row>
    <row r="46" spans="1:120" x14ac:dyDescent="0.25">
      <c r="A46" s="190"/>
      <c r="B46" s="190" t="s">
        <v>576</v>
      </c>
      <c r="C46" s="182"/>
      <c r="D46" s="183"/>
      <c r="E46" s="183"/>
      <c r="F46" s="183"/>
      <c r="G46" s="183"/>
      <c r="H46" s="183"/>
      <c r="I46" s="183"/>
      <c r="J46" s="183"/>
      <c r="K46" s="183"/>
      <c r="L46" s="183"/>
      <c r="M46" s="183"/>
      <c r="N46" s="183"/>
      <c r="O46" s="183"/>
      <c r="P46" s="183"/>
      <c r="Q46" s="183"/>
      <c r="R46" s="183"/>
      <c r="S46" s="183"/>
      <c r="T46" s="183"/>
      <c r="U46" s="178"/>
      <c r="V46" s="190"/>
      <c r="W46" s="197" t="s">
        <v>577</v>
      </c>
      <c r="X46" s="190"/>
      <c r="Y46" s="190"/>
      <c r="Z46" s="190"/>
      <c r="AA46" s="190"/>
      <c r="AB46" s="190"/>
      <c r="AC46" s="190"/>
      <c r="AD46" s="190"/>
      <c r="AE46" s="190"/>
      <c r="AF46" s="190"/>
      <c r="AG46" s="190"/>
      <c r="AH46" s="190"/>
      <c r="AI46" s="190"/>
      <c r="AJ46" s="190"/>
      <c r="AK46" s="190"/>
      <c r="AL46" s="190"/>
      <c r="AM46" s="190"/>
      <c r="AN46" s="190"/>
      <c r="AO46" s="190"/>
      <c r="AP46" s="190"/>
      <c r="AQ46" s="193" t="s">
        <v>90</v>
      </c>
      <c r="AR46" s="25"/>
      <c r="AS46" s="213"/>
      <c r="AT46" s="213"/>
      <c r="AU46" s="213"/>
      <c r="AV46" s="213"/>
      <c r="AW46" s="213"/>
      <c r="AX46" s="213"/>
      <c r="AY46" s="213"/>
      <c r="AZ46" s="213"/>
      <c r="BA46" s="213"/>
      <c r="BB46" s="213"/>
      <c r="BC46" s="213"/>
      <c r="BD46" s="213"/>
      <c r="BE46" s="213"/>
      <c r="BF46" s="213"/>
      <c r="BG46" s="213"/>
      <c r="BH46" s="213"/>
      <c r="BI46" s="213"/>
      <c r="BJ46" s="25"/>
      <c r="BK46" s="25"/>
      <c r="BL46" s="25"/>
      <c r="BM46" s="348" t="s">
        <v>570</v>
      </c>
      <c r="BN46" s="349"/>
      <c r="BO46" s="349"/>
      <c r="BP46" s="349"/>
      <c r="BQ46" s="350" t="s">
        <v>570</v>
      </c>
      <c r="BR46" s="350"/>
      <c r="BS46" s="350"/>
      <c r="BT46" s="350"/>
      <c r="BU46" s="350"/>
      <c r="BV46" s="350"/>
      <c r="BW46" s="350"/>
      <c r="BX46" s="351"/>
      <c r="BY46" s="199"/>
      <c r="BZ46" s="25"/>
      <c r="CA46" s="25"/>
      <c r="CB46" s="350" t="s">
        <v>302</v>
      </c>
      <c r="CC46" s="350"/>
      <c r="CD46" s="350"/>
      <c r="CE46" s="350" t="s">
        <v>302</v>
      </c>
      <c r="CF46" s="350"/>
      <c r="CG46" s="350"/>
      <c r="CH46" s="350"/>
      <c r="CI46" s="350"/>
      <c r="CJ46" s="350"/>
      <c r="CK46" s="350"/>
      <c r="CL46" s="350"/>
      <c r="CM46" s="350" t="s">
        <v>302</v>
      </c>
      <c r="CN46" s="350"/>
      <c r="CO46" s="350"/>
      <c r="CP46" s="350"/>
      <c r="CQ46" s="350"/>
      <c r="CR46" s="350"/>
      <c r="CS46" s="350"/>
      <c r="CT46" s="350"/>
      <c r="CU46" s="350"/>
      <c r="CV46" s="350"/>
      <c r="CW46" s="350"/>
      <c r="CX46" s="350"/>
      <c r="CY46" s="350"/>
      <c r="CZ46" s="190"/>
      <c r="DA46" s="190" t="s">
        <v>100</v>
      </c>
      <c r="DB46" s="217"/>
      <c r="DC46" s="217"/>
      <c r="DD46" s="217"/>
      <c r="DE46" s="217"/>
      <c r="DF46" s="217"/>
      <c r="DG46" s="217"/>
      <c r="DH46" s="222"/>
      <c r="DI46" s="222"/>
      <c r="DJ46" s="217"/>
      <c r="DK46" s="217"/>
      <c r="DL46" s="190"/>
    </row>
    <row r="47" spans="1:120" x14ac:dyDescent="0.25">
      <c r="A47" s="190"/>
      <c r="B47" s="188">
        <v>2006</v>
      </c>
      <c r="C47" s="187"/>
      <c r="D47" s="181" t="s">
        <v>320</v>
      </c>
      <c r="E47" s="181" t="s">
        <v>319</v>
      </c>
      <c r="F47" s="181" t="s">
        <v>318</v>
      </c>
      <c r="G47" s="181" t="s">
        <v>317</v>
      </c>
      <c r="H47" s="181" t="s">
        <v>321</v>
      </c>
      <c r="I47" s="181" t="s">
        <v>322</v>
      </c>
      <c r="J47" s="181" t="s">
        <v>323</v>
      </c>
      <c r="K47" s="181" t="s">
        <v>324</v>
      </c>
      <c r="L47" s="181" t="s">
        <v>325</v>
      </c>
      <c r="M47" s="181" t="s">
        <v>326</v>
      </c>
      <c r="N47" s="181" t="s">
        <v>327</v>
      </c>
      <c r="O47" s="181" t="s">
        <v>328</v>
      </c>
      <c r="P47" s="181" t="s">
        <v>329</v>
      </c>
      <c r="Q47" s="181" t="s">
        <v>330</v>
      </c>
      <c r="R47" s="181" t="s">
        <v>331</v>
      </c>
      <c r="S47" s="181" t="s">
        <v>332</v>
      </c>
      <c r="T47" s="181" t="s">
        <v>333</v>
      </c>
      <c r="U47" s="181" t="s">
        <v>87</v>
      </c>
      <c r="V47" s="190"/>
      <c r="W47" s="66" t="s">
        <v>88</v>
      </c>
      <c r="X47" s="66" t="s">
        <v>89</v>
      </c>
      <c r="Y47" s="61" t="s">
        <v>320</v>
      </c>
      <c r="Z47" s="61" t="s">
        <v>319</v>
      </c>
      <c r="AA47" s="61" t="s">
        <v>318</v>
      </c>
      <c r="AB47" s="61" t="s">
        <v>317</v>
      </c>
      <c r="AC47" s="61" t="s">
        <v>321</v>
      </c>
      <c r="AD47" s="61" t="s">
        <v>322</v>
      </c>
      <c r="AE47" s="61" t="s">
        <v>323</v>
      </c>
      <c r="AF47" s="61" t="s">
        <v>324</v>
      </c>
      <c r="AG47" s="61" t="s">
        <v>325</v>
      </c>
      <c r="AH47" s="61" t="s">
        <v>326</v>
      </c>
      <c r="AI47" s="61" t="s">
        <v>327</v>
      </c>
      <c r="AJ47" s="61" t="s">
        <v>328</v>
      </c>
      <c r="AK47" s="61" t="s">
        <v>329</v>
      </c>
      <c r="AL47" s="61" t="s">
        <v>330</v>
      </c>
      <c r="AM47" s="61" t="s">
        <v>331</v>
      </c>
      <c r="AN47" s="61" t="s">
        <v>332</v>
      </c>
      <c r="AO47" s="61" t="s">
        <v>333</v>
      </c>
      <c r="AP47" s="190"/>
      <c r="AQ47" s="66" t="s">
        <v>88</v>
      </c>
      <c r="AR47" s="66" t="s">
        <v>89</v>
      </c>
      <c r="AS47" s="214" t="s">
        <v>320</v>
      </c>
      <c r="AT47" s="214" t="s">
        <v>319</v>
      </c>
      <c r="AU47" s="214" t="s">
        <v>318</v>
      </c>
      <c r="AV47" s="214" t="s">
        <v>317</v>
      </c>
      <c r="AW47" s="214" t="s">
        <v>321</v>
      </c>
      <c r="AX47" s="214" t="s">
        <v>322</v>
      </c>
      <c r="AY47" s="214" t="s">
        <v>323</v>
      </c>
      <c r="AZ47" s="214" t="s">
        <v>324</v>
      </c>
      <c r="BA47" s="214" t="s">
        <v>325</v>
      </c>
      <c r="BB47" s="214" t="s">
        <v>326</v>
      </c>
      <c r="BC47" s="214" t="s">
        <v>327</v>
      </c>
      <c r="BD47" s="214" t="s">
        <v>328</v>
      </c>
      <c r="BE47" s="214" t="s">
        <v>329</v>
      </c>
      <c r="BF47" s="214" t="s">
        <v>330</v>
      </c>
      <c r="BG47" s="214" t="s">
        <v>331</v>
      </c>
      <c r="BH47" s="214" t="s">
        <v>332</v>
      </c>
      <c r="BI47" s="214" t="s">
        <v>333</v>
      </c>
      <c r="BJ47" s="189"/>
      <c r="BK47" s="66" t="s">
        <v>88</v>
      </c>
      <c r="BL47" s="66" t="s">
        <v>89</v>
      </c>
      <c r="BM47" s="122" t="s">
        <v>627</v>
      </c>
      <c r="BN47" s="122" t="s">
        <v>715</v>
      </c>
      <c r="BO47" s="122" t="s">
        <v>628</v>
      </c>
      <c r="BP47" s="122" t="s">
        <v>629</v>
      </c>
      <c r="BQ47" s="122" t="s">
        <v>627</v>
      </c>
      <c r="BR47" s="122" t="s">
        <v>716</v>
      </c>
      <c r="BS47" s="122" t="s">
        <v>717</v>
      </c>
      <c r="BT47" s="122" t="s">
        <v>721</v>
      </c>
      <c r="BU47" s="122" t="s">
        <v>720</v>
      </c>
      <c r="BV47" s="122" t="s">
        <v>719</v>
      </c>
      <c r="BW47" s="122" t="s">
        <v>629</v>
      </c>
      <c r="BX47" s="122" t="s">
        <v>722</v>
      </c>
      <c r="BY47" s="182"/>
      <c r="BZ47" s="192" t="s">
        <v>88</v>
      </c>
      <c r="CA47" s="66" t="s">
        <v>89</v>
      </c>
      <c r="CB47" s="218" t="s">
        <v>124</v>
      </c>
      <c r="CC47" s="218" t="s">
        <v>630</v>
      </c>
      <c r="CD47" s="218" t="s">
        <v>570</v>
      </c>
      <c r="CE47" s="218" t="s">
        <v>124</v>
      </c>
      <c r="CF47" s="218" t="s">
        <v>630</v>
      </c>
      <c r="CG47" s="218" t="s">
        <v>631</v>
      </c>
      <c r="CH47" s="218" t="s">
        <v>632</v>
      </c>
      <c r="CI47" s="227" t="s">
        <v>624</v>
      </c>
      <c r="CJ47" s="227" t="s">
        <v>725</v>
      </c>
      <c r="CK47" s="227" t="s">
        <v>625</v>
      </c>
      <c r="CL47" s="227" t="s">
        <v>626</v>
      </c>
      <c r="CM47" s="218" t="s">
        <v>124</v>
      </c>
      <c r="CN47" s="218" t="s">
        <v>633</v>
      </c>
      <c r="CO47" s="218" t="s">
        <v>634</v>
      </c>
      <c r="CP47" s="218" t="s">
        <v>635</v>
      </c>
      <c r="CQ47" s="218" t="s">
        <v>632</v>
      </c>
      <c r="CR47" s="122" t="s">
        <v>624</v>
      </c>
      <c r="CS47" s="122" t="s">
        <v>726</v>
      </c>
      <c r="CT47" s="122" t="s">
        <v>727</v>
      </c>
      <c r="CU47" s="122" t="s">
        <v>637</v>
      </c>
      <c r="CV47" s="122" t="s">
        <v>638</v>
      </c>
      <c r="CW47" s="122" t="s">
        <v>728</v>
      </c>
      <c r="CX47" s="122" t="s">
        <v>626</v>
      </c>
      <c r="CY47" s="122" t="s">
        <v>729</v>
      </c>
      <c r="CZ47" s="190"/>
      <c r="DA47" s="67" t="s">
        <v>89</v>
      </c>
      <c r="DB47" s="219" t="s">
        <v>91</v>
      </c>
      <c r="DC47" s="219" t="s">
        <v>99</v>
      </c>
      <c r="DD47" s="215" t="s">
        <v>92</v>
      </c>
      <c r="DE47" s="215" t="s">
        <v>97</v>
      </c>
      <c r="DF47" s="215" t="s">
        <v>93</v>
      </c>
      <c r="DG47" s="215" t="s">
        <v>94</v>
      </c>
      <c r="DH47" s="223" t="s">
        <v>96</v>
      </c>
      <c r="DI47" s="223" t="s">
        <v>98</v>
      </c>
      <c r="DJ47" s="219" t="s">
        <v>95</v>
      </c>
      <c r="DK47" s="219" t="s">
        <v>102</v>
      </c>
      <c r="DL47" s="190"/>
    </row>
    <row r="48" spans="1:120" x14ac:dyDescent="0.25">
      <c r="A48" s="190"/>
      <c r="B48" s="68">
        <v>2006</v>
      </c>
      <c r="C48" s="185" t="s">
        <v>320</v>
      </c>
      <c r="D48" s="172">
        <f>pAsympt_NoCare_2004_2006</f>
        <v>0.66919415315145225</v>
      </c>
      <c r="E48" s="172">
        <f>pAsympt_NoCare_Asympt_InCare_2004_2006</f>
        <v>5.6310401217746525E-2</v>
      </c>
      <c r="F48" s="169">
        <v>0</v>
      </c>
      <c r="G48" s="170">
        <f>pAsympt_NoCare_Asympt_Dead_2004_2006</f>
        <v>1.818504441305463E-2</v>
      </c>
      <c r="H48" s="170">
        <f>pAsympt_NoCare_Int_NoCare_2004_2006</f>
        <v>0.2</v>
      </c>
      <c r="I48" s="172">
        <f>pAsympt_NoCare_Int_InCare_2004_2006</f>
        <v>5.6310401217746525E-2</v>
      </c>
      <c r="J48" s="171">
        <f>pAsympt_NoCare_Int_ART1_2004_2006</f>
        <v>0</v>
      </c>
      <c r="K48" s="169">
        <v>0</v>
      </c>
      <c r="L48" s="169">
        <v>0</v>
      </c>
      <c r="M48" s="169">
        <v>0</v>
      </c>
      <c r="N48" s="169">
        <v>0</v>
      </c>
      <c r="O48" s="169">
        <v>0</v>
      </c>
      <c r="P48" s="169">
        <v>0</v>
      </c>
      <c r="Q48" s="169">
        <v>0</v>
      </c>
      <c r="R48" s="169">
        <v>0</v>
      </c>
      <c r="S48" s="169">
        <v>0</v>
      </c>
      <c r="T48" s="169">
        <v>0</v>
      </c>
      <c r="U48" s="61">
        <f>SUM(D48:T48)</f>
        <v>0.99999999999999989</v>
      </c>
      <c r="V48" s="190"/>
      <c r="W48" s="66">
        <v>0</v>
      </c>
      <c r="X48" s="66">
        <v>2004</v>
      </c>
      <c r="Y48" s="69">
        <v>0</v>
      </c>
      <c r="Z48" s="69">
        <v>0</v>
      </c>
      <c r="AA48" s="69">
        <v>0</v>
      </c>
      <c r="AB48" s="69">
        <v>0</v>
      </c>
      <c r="AC48" s="69">
        <v>0</v>
      </c>
      <c r="AD48" s="69">
        <v>0</v>
      </c>
      <c r="AE48" s="69">
        <v>0</v>
      </c>
      <c r="AF48" s="69">
        <v>0</v>
      </c>
      <c r="AG48" s="69">
        <v>0</v>
      </c>
      <c r="AH48" s="69">
        <v>0</v>
      </c>
      <c r="AI48" s="69">
        <v>0</v>
      </c>
      <c r="AJ48" s="69">
        <v>0</v>
      </c>
      <c r="AK48" s="69">
        <v>0</v>
      </c>
      <c r="AL48" s="69">
        <v>0</v>
      </c>
      <c r="AM48" s="69">
        <v>0</v>
      </c>
      <c r="AN48" s="69">
        <v>0</v>
      </c>
      <c r="AO48" s="69">
        <v>0</v>
      </c>
      <c r="AP48" s="190"/>
      <c r="AQ48" s="66">
        <v>0</v>
      </c>
      <c r="AR48" s="66">
        <v>2004</v>
      </c>
      <c r="AS48" s="215">
        <f t="shared" ref="AS48:AS67" si="450">Inc_2006*Y48</f>
        <v>0</v>
      </c>
      <c r="AT48" s="215">
        <f t="shared" ref="AT48:AT67" si="451">Inc_2006*Z48</f>
        <v>0</v>
      </c>
      <c r="AU48" s="215">
        <f t="shared" ref="AU48:AU67" si="452">Inc_2006*AA48</f>
        <v>0</v>
      </c>
      <c r="AV48" s="215">
        <f t="shared" ref="AV48:AV67" si="453">Inc_2006*AB48</f>
        <v>0</v>
      </c>
      <c r="AW48" s="215">
        <f t="shared" ref="AW48:AW67" si="454">Inc_2006*AC48</f>
        <v>0</v>
      </c>
      <c r="AX48" s="215">
        <f t="shared" ref="AX48:AX67" si="455">Inc_2006*AD48</f>
        <v>0</v>
      </c>
      <c r="AY48" s="215">
        <f t="shared" ref="AY48:AY67" si="456">Inc_2006*AE48</f>
        <v>0</v>
      </c>
      <c r="AZ48" s="215">
        <f t="shared" ref="AZ48:AZ67" si="457">Inc_2006*AF48</f>
        <v>0</v>
      </c>
      <c r="BA48" s="215">
        <f t="shared" ref="BA48:BA67" si="458">Inc_2006*AG48</f>
        <v>0</v>
      </c>
      <c r="BB48" s="215">
        <f t="shared" ref="BB48:BB67" si="459">Inc_2006*AH48</f>
        <v>0</v>
      </c>
      <c r="BC48" s="215">
        <f t="shared" ref="BC48:BC67" si="460">Inc_2006*AI48</f>
        <v>0</v>
      </c>
      <c r="BD48" s="215">
        <f t="shared" ref="BD48:BD67" si="461">Inc_2006*AJ48</f>
        <v>0</v>
      </c>
      <c r="BE48" s="215">
        <f t="shared" ref="BE48:BE67" si="462">Inc_2006*AK48</f>
        <v>0</v>
      </c>
      <c r="BF48" s="215">
        <f t="shared" ref="BF48:BF67" si="463">Inc_2006*AL48</f>
        <v>0</v>
      </c>
      <c r="BG48" s="215">
        <f t="shared" ref="BG48:BG67" si="464">Inc_2006*AM48</f>
        <v>0</v>
      </c>
      <c r="BH48" s="215">
        <f t="shared" ref="BH48:BH67" si="465">Inc_2006*AN48</f>
        <v>0</v>
      </c>
      <c r="BI48" s="215">
        <f t="shared" ref="BI48:BI67" si="466">Inc_2006*AO48</f>
        <v>0</v>
      </c>
      <c r="BJ48" s="194"/>
      <c r="BK48" s="66">
        <v>0</v>
      </c>
      <c r="BL48" s="66">
        <v>2004</v>
      </c>
      <c r="BM48" s="215">
        <f>BA48</f>
        <v>0</v>
      </c>
      <c r="BN48" s="219">
        <v>0</v>
      </c>
      <c r="BO48" s="219">
        <v>0</v>
      </c>
      <c r="BP48" s="219">
        <v>0</v>
      </c>
      <c r="BQ48" s="219">
        <f>BH48</f>
        <v>0</v>
      </c>
      <c r="BR48" s="219">
        <v>0</v>
      </c>
      <c r="BS48" s="219">
        <v>0</v>
      </c>
      <c r="BT48" s="219">
        <v>0</v>
      </c>
      <c r="BU48" s="219">
        <v>0</v>
      </c>
      <c r="BV48" s="219">
        <v>0</v>
      </c>
      <c r="BW48" s="219">
        <v>0</v>
      </c>
      <c r="BX48" s="219">
        <v>0</v>
      </c>
      <c r="BY48" s="195"/>
      <c r="BZ48" s="192">
        <v>0</v>
      </c>
      <c r="CA48" s="66">
        <v>2004</v>
      </c>
      <c r="CB48" s="218">
        <v>0</v>
      </c>
      <c r="CC48" s="218">
        <v>0</v>
      </c>
      <c r="CD48" s="218">
        <v>0</v>
      </c>
      <c r="CE48" s="218">
        <v>0</v>
      </c>
      <c r="CF48" s="218">
        <v>0</v>
      </c>
      <c r="CG48" s="218">
        <v>0</v>
      </c>
      <c r="CH48" s="218">
        <v>0</v>
      </c>
      <c r="CI48" s="218">
        <v>0</v>
      </c>
      <c r="CJ48" s="218">
        <v>0</v>
      </c>
      <c r="CK48" s="218">
        <v>0</v>
      </c>
      <c r="CL48" s="218">
        <v>0</v>
      </c>
      <c r="CM48" s="218">
        <v>0</v>
      </c>
      <c r="CN48" s="218">
        <v>0</v>
      </c>
      <c r="CO48" s="218">
        <v>0</v>
      </c>
      <c r="CP48" s="218">
        <v>0</v>
      </c>
      <c r="CQ48" s="218">
        <v>0</v>
      </c>
      <c r="CR48" s="218">
        <v>0</v>
      </c>
      <c r="CS48" s="218">
        <v>0</v>
      </c>
      <c r="CT48" s="218">
        <v>0</v>
      </c>
      <c r="CU48" s="218">
        <v>0</v>
      </c>
      <c r="CV48" s="218">
        <v>0</v>
      </c>
      <c r="CW48" s="218">
        <v>0</v>
      </c>
      <c r="CX48" s="218">
        <v>0</v>
      </c>
      <c r="CY48" s="218">
        <v>0</v>
      </c>
      <c r="CZ48" s="190"/>
      <c r="DA48" s="67">
        <v>2004</v>
      </c>
      <c r="DB48" s="218">
        <f t="shared" ref="DB48:DB67" si="467">SUM(AT48,AX48,BD48)</f>
        <v>0</v>
      </c>
      <c r="DC48" s="218">
        <f t="shared" ref="DC48:DC67" si="468">SUM(AS48:AU48,AW48:BA48,BC48:BH48)</f>
        <v>0</v>
      </c>
      <c r="DD48" s="73">
        <f t="shared" ref="DD48:DD67" si="469">SUM(AY48:AZ48,BE48:BG48)</f>
        <v>0</v>
      </c>
      <c r="DE48" s="73">
        <f t="shared" ref="DE48:DE67" si="470">SUM(BE48:BG48)</f>
        <v>0</v>
      </c>
      <c r="DF48" s="73">
        <f t="shared" ref="DF48:DF67" si="471">SUM(BC48,BD48,BH48)</f>
        <v>0</v>
      </c>
      <c r="DG48" s="73">
        <f t="shared" ref="DG48:DG67" si="472">SUM(BC48,BD48,BH48,AW48,AX48,BA48)</f>
        <v>0</v>
      </c>
      <c r="DH48" s="72" t="e">
        <f>DD48/(DD48+DG48)</f>
        <v>#DIV/0!</v>
      </c>
      <c r="DI48" s="72" t="e">
        <f>DE48/(DE48+DF48)</f>
        <v>#DIV/0!</v>
      </c>
      <c r="DJ48" s="73">
        <f>SUM(AV48,BB48,BI48)</f>
        <v>0</v>
      </c>
      <c r="DK48" s="73">
        <v>0</v>
      </c>
      <c r="DL48" s="190"/>
    </row>
    <row r="49" spans="1:116" x14ac:dyDescent="0.25">
      <c r="A49" s="190"/>
      <c r="B49" s="68">
        <v>2006</v>
      </c>
      <c r="C49" s="185" t="s">
        <v>319</v>
      </c>
      <c r="D49" s="169">
        <v>0</v>
      </c>
      <c r="E49" s="172">
        <f>pAsympt_InCare_2004_2012</f>
        <v>0.43814160225821164</v>
      </c>
      <c r="F49" s="170">
        <f>pAsympt_InCare_Asympt_LTFU_2004_2012</f>
        <v>0.30679530417926698</v>
      </c>
      <c r="G49" s="170">
        <f>pAsympt_InCare_Asympt_Dead_2004_2012</f>
        <v>1.7063093562521336E-2</v>
      </c>
      <c r="H49" s="169">
        <v>0</v>
      </c>
      <c r="I49" s="170">
        <f>pAsympt_InCare_Int_InCare_2004_2012</f>
        <v>0.2</v>
      </c>
      <c r="J49" s="170">
        <f>pAsympt_InCare_Int_ART1_2004_2012</f>
        <v>3.7999999999999999E-2</v>
      </c>
      <c r="K49" s="169">
        <v>0</v>
      </c>
      <c r="L49" s="169">
        <v>0</v>
      </c>
      <c r="M49" s="169">
        <v>0</v>
      </c>
      <c r="N49" s="169">
        <v>0</v>
      </c>
      <c r="O49" s="169">
        <v>0</v>
      </c>
      <c r="P49" s="169">
        <v>0</v>
      </c>
      <c r="Q49" s="169">
        <v>0</v>
      </c>
      <c r="R49" s="169">
        <v>0</v>
      </c>
      <c r="S49" s="169">
        <v>0</v>
      </c>
      <c r="T49" s="169">
        <v>0</v>
      </c>
      <c r="U49" s="61">
        <f t="shared" ref="U49:U64" si="473">SUM(D49:T49)</f>
        <v>1</v>
      </c>
      <c r="V49" s="190"/>
      <c r="W49" s="66">
        <v>1</v>
      </c>
      <c r="X49" s="66">
        <v>2005</v>
      </c>
      <c r="Y49" s="69">
        <v>0</v>
      </c>
      <c r="Z49" s="69">
        <v>0</v>
      </c>
      <c r="AA49" s="69">
        <v>0</v>
      </c>
      <c r="AB49" s="69">
        <v>0</v>
      </c>
      <c r="AC49" s="69">
        <v>0</v>
      </c>
      <c r="AD49" s="69">
        <v>0</v>
      </c>
      <c r="AE49" s="69">
        <v>0</v>
      </c>
      <c r="AF49" s="69">
        <v>0</v>
      </c>
      <c r="AG49" s="69">
        <v>0</v>
      </c>
      <c r="AH49" s="69">
        <v>0</v>
      </c>
      <c r="AI49" s="69">
        <v>0</v>
      </c>
      <c r="AJ49" s="69">
        <v>0</v>
      </c>
      <c r="AK49" s="69">
        <v>0</v>
      </c>
      <c r="AL49" s="69">
        <v>0</v>
      </c>
      <c r="AM49" s="69">
        <v>0</v>
      </c>
      <c r="AN49" s="69">
        <v>0</v>
      </c>
      <c r="AO49" s="69">
        <v>0</v>
      </c>
      <c r="AP49" s="190"/>
      <c r="AQ49" s="66">
        <v>1</v>
      </c>
      <c r="AR49" s="66">
        <v>2005</v>
      </c>
      <c r="AS49" s="215">
        <f t="shared" si="450"/>
        <v>0</v>
      </c>
      <c r="AT49" s="215">
        <f t="shared" si="451"/>
        <v>0</v>
      </c>
      <c r="AU49" s="215">
        <f t="shared" si="452"/>
        <v>0</v>
      </c>
      <c r="AV49" s="215">
        <f t="shared" si="453"/>
        <v>0</v>
      </c>
      <c r="AW49" s="215">
        <f t="shared" si="454"/>
        <v>0</v>
      </c>
      <c r="AX49" s="215">
        <f t="shared" si="455"/>
        <v>0</v>
      </c>
      <c r="AY49" s="215">
        <f t="shared" si="456"/>
        <v>0</v>
      </c>
      <c r="AZ49" s="215">
        <f t="shared" si="457"/>
        <v>0</v>
      </c>
      <c r="BA49" s="215">
        <f t="shared" si="458"/>
        <v>0</v>
      </c>
      <c r="BB49" s="215">
        <f t="shared" si="459"/>
        <v>0</v>
      </c>
      <c r="BC49" s="215">
        <f t="shared" si="460"/>
        <v>0</v>
      </c>
      <c r="BD49" s="215">
        <f t="shared" si="461"/>
        <v>0</v>
      </c>
      <c r="BE49" s="215">
        <f t="shared" si="462"/>
        <v>0</v>
      </c>
      <c r="BF49" s="215">
        <f t="shared" si="463"/>
        <v>0</v>
      </c>
      <c r="BG49" s="215">
        <f t="shared" si="464"/>
        <v>0</v>
      </c>
      <c r="BH49" s="215">
        <f t="shared" si="465"/>
        <v>0</v>
      </c>
      <c r="BI49" s="215">
        <f t="shared" si="466"/>
        <v>0</v>
      </c>
      <c r="BJ49" s="194"/>
      <c r="BK49" s="66">
        <v>1</v>
      </c>
      <c r="BL49" s="66">
        <v>2005</v>
      </c>
      <c r="BM49" s="215">
        <f t="shared" ref="BM49:BM56" si="474">(AX48*pInt_InCare_Int_LTFU_2004_2012)+(BM48*pInt_LTFU_2004_2012)</f>
        <v>0</v>
      </c>
      <c r="BN49" s="219">
        <f t="shared" ref="BN49:BN56" si="475">(AU48*pAsympt_LTFU_Int_LTFU_2004_2012)+(BN48*pInt_LTFU_2004_2012)</f>
        <v>0</v>
      </c>
      <c r="BO49" s="219">
        <f t="shared" ref="BO49:BO56" si="476">(AY48*pInt_ART1_Int_LTFU_2004_2012)+(BO48*pInt_LTFU_2004_2012)</f>
        <v>0</v>
      </c>
      <c r="BP49" s="219">
        <v>0</v>
      </c>
      <c r="BQ49" s="219">
        <f t="shared" ref="BQ49:BQ56" si="477">(BD48*pAIDS_InCare_AIDS_LTFU_2004_2012)+(BQ48*pAIDS_LTFU_2004_2012)</f>
        <v>0</v>
      </c>
      <c r="BR49" s="220">
        <f>(BN48*pInt_LTFU_AIDS_LTFU_2004_2012)</f>
        <v>0</v>
      </c>
      <c r="BS49" s="219">
        <f>(BM48*pInt_LTFU_AIDS_LTFU_2004_2012)</f>
        <v>0</v>
      </c>
      <c r="BT49" s="219">
        <f>(BE48*pAIDS_ART1ear_AIDS_LTFU_2004_2012)</f>
        <v>0</v>
      </c>
      <c r="BU49" s="219">
        <f>(BF48*pAIDS_ART1late_AIDS_LTFU_2004_2012)</f>
        <v>0</v>
      </c>
      <c r="BV49" s="219">
        <f>(BO48*pInt_LTFU_AIDS_LTFU_2004_2012)</f>
        <v>0</v>
      </c>
      <c r="BW49" s="219">
        <f>(BG48*pAIDS_ART2_AIDS_LTFU_2004_2012)</f>
        <v>0</v>
      </c>
      <c r="BX49" s="220">
        <f>(BP48*pInt_LTFU_AIDS_LTFU_2004_2012)</f>
        <v>0</v>
      </c>
      <c r="BY49" s="195"/>
      <c r="BZ49" s="192">
        <v>1</v>
      </c>
      <c r="CA49" s="66">
        <v>2005</v>
      </c>
      <c r="CB49" s="218">
        <f>pAsympt_NoCare_Asympt_Dead_2004_2006*AS48</f>
        <v>0</v>
      </c>
      <c r="CC49" s="218">
        <f t="shared" ref="CC49:CC56" si="478">pAsympt_InCare_Asympt_Dead_2004_2012*AT48</f>
        <v>0</v>
      </c>
      <c r="CD49" s="73">
        <f t="shared" ref="CD49:CD56" si="479">pAsympt_LTFU_Asympt_Dead_2004_2012*AU48</f>
        <v>0</v>
      </c>
      <c r="CE49" s="73">
        <f>pInt_NoCare_Int_Dead_2004_2006*AW48</f>
        <v>0</v>
      </c>
      <c r="CF49" s="73">
        <f t="shared" ref="CF49:CF56" si="480">pInt_InCare_Int_Dead_2004_2012*AX48</f>
        <v>0</v>
      </c>
      <c r="CG49" s="73">
        <f t="shared" ref="CG49:CG56" si="481">pInt_ART1_Int_Dead_2004_2012*AY48</f>
        <v>0</v>
      </c>
      <c r="CH49" s="73">
        <f t="shared" ref="CH49:CH56" si="482">pInt_ART2_Int_Dead_2004_2012*AZ48</f>
        <v>0</v>
      </c>
      <c r="CI49" s="73">
        <f t="shared" ref="CI49:CI56" si="483">(BM48*pInt_LTFU_Int_Dead_2004_2012)</f>
        <v>0</v>
      </c>
      <c r="CJ49" s="73">
        <f t="shared" ref="CJ49:CJ56" si="484">(BN48*pInt_LTFU_Int_Dead_2004_2012)</f>
        <v>0</v>
      </c>
      <c r="CK49" s="73">
        <f t="shared" ref="CK49:CK56" si="485">(BO48*pInt_LTFU_Int_Dead_2004_2012)</f>
        <v>0</v>
      </c>
      <c r="CL49" s="73">
        <f t="shared" ref="CL49:CL56" si="486">(BP48*pInt_LTFU_Int_Dead_2004_2012)</f>
        <v>0</v>
      </c>
      <c r="CM49" s="73">
        <f t="shared" ref="CM49:CM50" si="487">pAIDS_NoCare_AIDS_Dead_2004_2006*BC48</f>
        <v>0</v>
      </c>
      <c r="CN49" s="73">
        <f t="shared" ref="CN49:CN56" si="488">pAIDS_InCare_AIDS_Dead_2004_2012*BD48</f>
        <v>0</v>
      </c>
      <c r="CO49" s="73">
        <f t="shared" ref="CO49:CO56" si="489">pAIDS_ART1ear_AIDS_Dead_2004_2012*BE48</f>
        <v>0</v>
      </c>
      <c r="CP49" s="73">
        <f t="shared" ref="CP49:CP56" si="490">pAIDS_ART1late_AIDS_Dead_2004_2012*BF48</f>
        <v>0</v>
      </c>
      <c r="CQ49" s="73">
        <f t="shared" ref="CQ49:CQ56" si="491">pAIDS_ART2_AIDS_Dead_2004_2012*BG48</f>
        <v>0</v>
      </c>
      <c r="CR49" s="73">
        <f t="shared" ref="CR49:CR56" si="492">(BQ48*pAIDS_LTFU_AIDS_Dead_2004_2012)</f>
        <v>0</v>
      </c>
      <c r="CS49" s="73">
        <f t="shared" ref="CS49:CS56" si="493">(BR48*pAIDS_LTFU_AIDS_Dead_2004_2012)</f>
        <v>0</v>
      </c>
      <c r="CT49" s="73">
        <f t="shared" ref="CT49:CT56" si="494">(BS48*pAIDS_LTFU_AIDS_Dead_2004_2012)</f>
        <v>0</v>
      </c>
      <c r="CU49" s="73">
        <f t="shared" ref="CU49:CU56" si="495">(BT48*pAIDS_LTFU_AIDS_Dead_2004_2012)</f>
        <v>0</v>
      </c>
      <c r="CV49" s="73">
        <f t="shared" ref="CV49:CV56" si="496">(BU48*pAIDS_LTFU_AIDS_Dead_2004_2012)</f>
        <v>0</v>
      </c>
      <c r="CW49" s="73">
        <f t="shared" ref="CW49:CW56" si="497">(BV48*pAIDS_LTFU_AIDS_Dead_2004_2012)</f>
        <v>0</v>
      </c>
      <c r="CX49" s="73">
        <f t="shared" ref="CX49:CX56" si="498">(BW48*pAIDS_LTFU_AIDS_Dead_2004_2012)</f>
        <v>0</v>
      </c>
      <c r="CY49" s="73">
        <f t="shared" ref="CY49:CY56" si="499">(BX48*pAIDS_LTFU_AIDS_Dead_2004_2012)</f>
        <v>0</v>
      </c>
      <c r="CZ49" s="190"/>
      <c r="DA49" s="67">
        <v>2005</v>
      </c>
      <c r="DB49" s="218">
        <f t="shared" si="467"/>
        <v>0</v>
      </c>
      <c r="DC49" s="218">
        <f t="shared" si="468"/>
        <v>0</v>
      </c>
      <c r="DD49" s="73">
        <f t="shared" si="469"/>
        <v>0</v>
      </c>
      <c r="DE49" s="73">
        <f t="shared" si="470"/>
        <v>0</v>
      </c>
      <c r="DF49" s="73">
        <f t="shared" si="471"/>
        <v>0</v>
      </c>
      <c r="DG49" s="73">
        <f t="shared" si="472"/>
        <v>0</v>
      </c>
      <c r="DH49" s="72" t="e">
        <f t="shared" ref="DH49:DH67" si="500">DD49/(DD49+DG49)</f>
        <v>#DIV/0!</v>
      </c>
      <c r="DI49" s="72" t="e">
        <f t="shared" ref="DI49:DI67" si="501">DE49/(DE49+DF49)</f>
        <v>#DIV/0!</v>
      </c>
      <c r="DJ49" s="73">
        <f>SUM(AV48:AV49,BB48:BB49,BI48:BI49)</f>
        <v>0</v>
      </c>
      <c r="DK49" s="73">
        <v>0</v>
      </c>
      <c r="DL49" s="190"/>
    </row>
    <row r="50" spans="1:116" x14ac:dyDescent="0.25">
      <c r="A50" s="190"/>
      <c r="B50" s="68">
        <v>2006</v>
      </c>
      <c r="C50" s="185" t="s">
        <v>318</v>
      </c>
      <c r="D50" s="169">
        <v>0</v>
      </c>
      <c r="E50" s="169">
        <v>0</v>
      </c>
      <c r="F50" s="172">
        <f>pAsympt_LTFU_2004_2012</f>
        <v>0.66061495558694538</v>
      </c>
      <c r="G50" s="170">
        <f>pAsympt_LTFU_Asympt_Dead_2004_2012</f>
        <v>1.818504441305463E-2</v>
      </c>
      <c r="H50" s="169">
        <v>0</v>
      </c>
      <c r="I50" s="169">
        <v>0</v>
      </c>
      <c r="J50" s="171">
        <f>pAsympt_LTFU_Int_ART1_2004_2012</f>
        <v>0.1212</v>
      </c>
      <c r="K50" s="169">
        <v>0</v>
      </c>
      <c r="L50" s="170">
        <f>pAsympt_LTFU_Int_LTFU_2004_2012</f>
        <v>0.2</v>
      </c>
      <c r="M50" s="169">
        <v>0</v>
      </c>
      <c r="N50" s="169">
        <v>0</v>
      </c>
      <c r="O50" s="169">
        <v>0</v>
      </c>
      <c r="P50" s="169">
        <v>0</v>
      </c>
      <c r="Q50" s="169">
        <v>0</v>
      </c>
      <c r="R50" s="169">
        <v>0</v>
      </c>
      <c r="S50" s="169">
        <v>0</v>
      </c>
      <c r="T50" s="169">
        <v>0</v>
      </c>
      <c r="U50" s="61">
        <f t="shared" si="473"/>
        <v>1</v>
      </c>
      <c r="V50" s="190"/>
      <c r="W50" s="66">
        <v>2</v>
      </c>
      <c r="X50" s="66">
        <v>2006</v>
      </c>
      <c r="Y50" s="69">
        <v>1</v>
      </c>
      <c r="Z50" s="69">
        <v>0</v>
      </c>
      <c r="AA50" s="69">
        <v>0</v>
      </c>
      <c r="AB50" s="69">
        <v>0</v>
      </c>
      <c r="AC50" s="69">
        <v>0</v>
      </c>
      <c r="AD50" s="69">
        <v>0</v>
      </c>
      <c r="AE50" s="69">
        <v>0</v>
      </c>
      <c r="AF50" s="69">
        <v>0</v>
      </c>
      <c r="AG50" s="69">
        <v>0</v>
      </c>
      <c r="AH50" s="69">
        <v>0</v>
      </c>
      <c r="AI50" s="69">
        <v>0</v>
      </c>
      <c r="AJ50" s="69">
        <v>0</v>
      </c>
      <c r="AK50" s="69">
        <v>0</v>
      </c>
      <c r="AL50" s="69">
        <v>0</v>
      </c>
      <c r="AM50" s="69">
        <v>0</v>
      </c>
      <c r="AN50" s="69">
        <v>0</v>
      </c>
      <c r="AO50" s="69">
        <v>0</v>
      </c>
      <c r="AP50" s="190"/>
      <c r="AQ50" s="66">
        <v>2</v>
      </c>
      <c r="AR50" s="66">
        <v>2006</v>
      </c>
      <c r="AS50" s="215">
        <f t="shared" si="450"/>
        <v>10075.44</v>
      </c>
      <c r="AT50" s="215">
        <f t="shared" si="451"/>
        <v>0</v>
      </c>
      <c r="AU50" s="215">
        <f t="shared" si="452"/>
        <v>0</v>
      </c>
      <c r="AV50" s="215">
        <f t="shared" si="453"/>
        <v>0</v>
      </c>
      <c r="AW50" s="215">
        <f t="shared" si="454"/>
        <v>0</v>
      </c>
      <c r="AX50" s="215">
        <f t="shared" si="455"/>
        <v>0</v>
      </c>
      <c r="AY50" s="215">
        <f t="shared" si="456"/>
        <v>0</v>
      </c>
      <c r="AZ50" s="215">
        <f t="shared" si="457"/>
        <v>0</v>
      </c>
      <c r="BA50" s="215">
        <f t="shared" si="458"/>
        <v>0</v>
      </c>
      <c r="BB50" s="215">
        <f t="shared" si="459"/>
        <v>0</v>
      </c>
      <c r="BC50" s="215">
        <f t="shared" si="460"/>
        <v>0</v>
      </c>
      <c r="BD50" s="215">
        <f t="shared" si="461"/>
        <v>0</v>
      </c>
      <c r="BE50" s="215">
        <f t="shared" si="462"/>
        <v>0</v>
      </c>
      <c r="BF50" s="215">
        <f t="shared" si="463"/>
        <v>0</v>
      </c>
      <c r="BG50" s="215">
        <f t="shared" si="464"/>
        <v>0</v>
      </c>
      <c r="BH50" s="215">
        <f t="shared" si="465"/>
        <v>0</v>
      </c>
      <c r="BI50" s="215">
        <f t="shared" si="466"/>
        <v>0</v>
      </c>
      <c r="BJ50" s="194"/>
      <c r="BK50" s="66">
        <v>2</v>
      </c>
      <c r="BL50" s="66">
        <v>2006</v>
      </c>
      <c r="BM50" s="215">
        <f t="shared" si="474"/>
        <v>0</v>
      </c>
      <c r="BN50" s="219">
        <f t="shared" si="475"/>
        <v>0</v>
      </c>
      <c r="BO50" s="219">
        <f t="shared" si="476"/>
        <v>0</v>
      </c>
      <c r="BP50" s="219">
        <f t="shared" ref="BP50:BP56" si="502">(AZ49*pInt_ART2_Int_LTFU_2004_2012)+(BP49*pInt_LTFU_2004_2012)</f>
        <v>0</v>
      </c>
      <c r="BQ50" s="219">
        <f t="shared" si="477"/>
        <v>0</v>
      </c>
      <c r="BR50" s="220">
        <f t="shared" ref="BR50:BR56" si="503">(BN49*pInt_LTFU_AIDS_LTFU_2004_2012)+(BR49*pAIDS_LTFU_2004_2012)</f>
        <v>0</v>
      </c>
      <c r="BS50" s="219">
        <f t="shared" ref="BS50:BS56" si="504">(BM49*pInt_LTFU_AIDS_LTFU_2004_2012)+(BS49*pAIDS_LTFU_2004_2012)</f>
        <v>0</v>
      </c>
      <c r="BT50" s="219">
        <f t="shared" ref="BT50:BT56" si="505">(BE49*pAIDS_ART1ear_AIDS_LTFU_2004_2012)+(BT49*pAIDS_LTFU_2004_2012)</f>
        <v>0</v>
      </c>
      <c r="BU50" s="219">
        <f t="shared" ref="BU50:BU56" si="506">(BF49*pAIDS_ART1late_AIDS_LTFU_2004_2012)+(BU49*pAIDS_LTFU_2004_2012)</f>
        <v>0</v>
      </c>
      <c r="BV50" s="219">
        <f t="shared" ref="BV50:BV56" si="507">(BO49*pInt_LTFU_AIDS_LTFU_2004_2012)+(BV49*pAIDS_LTFU_2004_2012)</f>
        <v>0</v>
      </c>
      <c r="BW50" s="219">
        <f t="shared" ref="BW50:BW56" si="508">(BG49*pAIDS_ART2_AIDS_LTFU_2004_2012)+(BW49*pAIDS_LTFU_2004_2012)</f>
        <v>0</v>
      </c>
      <c r="BX50" s="220">
        <f t="shared" ref="BX50:BX56" si="509">(BP49*pInt_LTFU_AIDS_LTFU_2004_2012)+(BX49*pAIDS_LTFU_2004_2012)</f>
        <v>0</v>
      </c>
      <c r="BY50" s="195"/>
      <c r="BZ50" s="192">
        <v>2</v>
      </c>
      <c r="CA50" s="66">
        <v>2006</v>
      </c>
      <c r="CB50" s="218">
        <f>pAsympt_NoCare_Asympt_Dead_2004_2006*AS49</f>
        <v>0</v>
      </c>
      <c r="CC50" s="218">
        <f t="shared" si="478"/>
        <v>0</v>
      </c>
      <c r="CD50" s="73">
        <f t="shared" si="479"/>
        <v>0</v>
      </c>
      <c r="CE50" s="73">
        <f>pInt_NoCare_Int_Dead_2004_2006*AW49</f>
        <v>0</v>
      </c>
      <c r="CF50" s="73">
        <f t="shared" si="480"/>
        <v>0</v>
      </c>
      <c r="CG50" s="73">
        <f t="shared" si="481"/>
        <v>0</v>
      </c>
      <c r="CH50" s="73">
        <f t="shared" si="482"/>
        <v>0</v>
      </c>
      <c r="CI50" s="73">
        <f t="shared" si="483"/>
        <v>0</v>
      </c>
      <c r="CJ50" s="73">
        <f t="shared" si="484"/>
        <v>0</v>
      </c>
      <c r="CK50" s="73">
        <f t="shared" si="485"/>
        <v>0</v>
      </c>
      <c r="CL50" s="73">
        <f t="shared" si="486"/>
        <v>0</v>
      </c>
      <c r="CM50" s="73">
        <f t="shared" si="487"/>
        <v>0</v>
      </c>
      <c r="CN50" s="73">
        <f t="shared" si="488"/>
        <v>0</v>
      </c>
      <c r="CO50" s="73">
        <f t="shared" si="489"/>
        <v>0</v>
      </c>
      <c r="CP50" s="73">
        <f t="shared" si="490"/>
        <v>0</v>
      </c>
      <c r="CQ50" s="73">
        <f t="shared" si="491"/>
        <v>0</v>
      </c>
      <c r="CR50" s="73">
        <f t="shared" si="492"/>
        <v>0</v>
      </c>
      <c r="CS50" s="73">
        <f t="shared" si="493"/>
        <v>0</v>
      </c>
      <c r="CT50" s="73">
        <f t="shared" si="494"/>
        <v>0</v>
      </c>
      <c r="CU50" s="73">
        <f t="shared" si="495"/>
        <v>0</v>
      </c>
      <c r="CV50" s="73">
        <f t="shared" si="496"/>
        <v>0</v>
      </c>
      <c r="CW50" s="73">
        <f t="shared" si="497"/>
        <v>0</v>
      </c>
      <c r="CX50" s="73">
        <f t="shared" si="498"/>
        <v>0</v>
      </c>
      <c r="CY50" s="73">
        <f t="shared" si="499"/>
        <v>0</v>
      </c>
      <c r="CZ50" s="190"/>
      <c r="DA50" s="66">
        <v>2006</v>
      </c>
      <c r="DB50" s="218">
        <f t="shared" si="467"/>
        <v>0</v>
      </c>
      <c r="DC50" s="218">
        <f t="shared" si="468"/>
        <v>10075.44</v>
      </c>
      <c r="DD50" s="73">
        <f t="shared" si="469"/>
        <v>0</v>
      </c>
      <c r="DE50" s="73">
        <f t="shared" si="470"/>
        <v>0</v>
      </c>
      <c r="DF50" s="73">
        <f t="shared" si="471"/>
        <v>0</v>
      </c>
      <c r="DG50" s="73">
        <f t="shared" si="472"/>
        <v>0</v>
      </c>
      <c r="DH50" s="72" t="e">
        <f t="shared" si="500"/>
        <v>#DIV/0!</v>
      </c>
      <c r="DI50" s="72" t="e">
        <f t="shared" si="501"/>
        <v>#DIV/0!</v>
      </c>
      <c r="DJ50" s="73">
        <f>SUM(AV48:AV50,BB48:BB50,BI48:BI50)</f>
        <v>0</v>
      </c>
      <c r="DK50" s="73">
        <v>0</v>
      </c>
      <c r="DL50" s="190"/>
    </row>
    <row r="51" spans="1:116" x14ac:dyDescent="0.25">
      <c r="A51" s="190"/>
      <c r="B51" s="68">
        <v>2006</v>
      </c>
      <c r="C51" s="185" t="s">
        <v>317</v>
      </c>
      <c r="D51" s="169">
        <v>0</v>
      </c>
      <c r="E51" s="169">
        <v>0</v>
      </c>
      <c r="F51" s="169">
        <v>0</v>
      </c>
      <c r="G51" s="169">
        <v>0</v>
      </c>
      <c r="H51" s="169">
        <v>0</v>
      </c>
      <c r="I51" s="169">
        <v>0</v>
      </c>
      <c r="J51" s="169">
        <v>0</v>
      </c>
      <c r="K51" s="169">
        <v>0</v>
      </c>
      <c r="L51" s="169">
        <v>0</v>
      </c>
      <c r="M51" s="169">
        <v>0</v>
      </c>
      <c r="N51" s="169">
        <v>0</v>
      </c>
      <c r="O51" s="169">
        <v>0</v>
      </c>
      <c r="P51" s="169">
        <v>0</v>
      </c>
      <c r="Q51" s="169">
        <v>0</v>
      </c>
      <c r="R51" s="169">
        <v>0</v>
      </c>
      <c r="S51" s="169">
        <v>0</v>
      </c>
      <c r="T51" s="169">
        <v>0</v>
      </c>
      <c r="U51" s="61">
        <f t="shared" si="473"/>
        <v>0</v>
      </c>
      <c r="V51" s="190"/>
      <c r="W51" s="66">
        <v>3</v>
      </c>
      <c r="X51" s="66">
        <v>2007</v>
      </c>
      <c r="Y51" s="70">
        <f>MMULT($Y50:$AO50,D$70:D$86)</f>
        <v>0.63376008575865694</v>
      </c>
      <c r="Z51" s="70">
        <f t="shared" ref="Z51" si="510">MMULT($Y50:$AO50,E$70:E$86)</f>
        <v>7.4027434914144222E-2</v>
      </c>
      <c r="AA51" s="70">
        <f t="shared" ref="AA51" si="511">MMULT($Y50:$AO50,F$70:F$86)</f>
        <v>0</v>
      </c>
      <c r="AB51" s="70">
        <f t="shared" ref="AB51" si="512">MMULT($Y50:$AO50,G$70:G$86)</f>
        <v>1.818504441305463E-2</v>
      </c>
      <c r="AC51" s="70">
        <f t="shared" ref="AC51" si="513">MMULT($Y50:$AO50,H$70:H$86)</f>
        <v>0.2</v>
      </c>
      <c r="AD51" s="70">
        <f t="shared" ref="AD51" si="514">MMULT($Y50:$AO50,I$70:I$86)</f>
        <v>7.4027434914144222E-2</v>
      </c>
      <c r="AE51" s="70">
        <f t="shared" ref="AE51" si="515">MMULT($Y50:$AO50,J$70:J$86)</f>
        <v>0</v>
      </c>
      <c r="AF51" s="70">
        <f t="shared" ref="AF51" si="516">MMULT($Y50:$AO50,K$70:K$86)</f>
        <v>0</v>
      </c>
      <c r="AG51" s="70">
        <f t="shared" ref="AG51" si="517">MMULT($Y50:$AO50,L$70:L$86)</f>
        <v>0</v>
      </c>
      <c r="AH51" s="70">
        <f t="shared" ref="AH51" si="518">MMULT($Y50:$AO50,M$70:M$86)</f>
        <v>0</v>
      </c>
      <c r="AI51" s="70">
        <f t="shared" ref="AI51" si="519">MMULT($Y50:$AO50,N$70:N$86)</f>
        <v>0</v>
      </c>
      <c r="AJ51" s="70">
        <f t="shared" ref="AJ51" si="520">MMULT($Y50:$AO50,O$70:O$86)</f>
        <v>0</v>
      </c>
      <c r="AK51" s="70">
        <f t="shared" ref="AK51" si="521">MMULT($Y50:$AO50,P$70:P$86)</f>
        <v>0</v>
      </c>
      <c r="AL51" s="70">
        <f t="shared" ref="AL51" si="522">MMULT($Y50:$AO50,Q$70:Q$86)</f>
        <v>0</v>
      </c>
      <c r="AM51" s="70">
        <f t="shared" ref="AM51" si="523">MMULT($Y50:$AO50,R$70:R$86)</f>
        <v>0</v>
      </c>
      <c r="AN51" s="70">
        <f t="shared" ref="AN51" si="524">MMULT($Y50:$AO50,S$70:S$86)</f>
        <v>0</v>
      </c>
      <c r="AO51" s="70">
        <f t="shared" ref="AO51" si="525">MMULT($Y50:$AO50,T$70:T$86)</f>
        <v>0</v>
      </c>
      <c r="AP51" s="190"/>
      <c r="AQ51" s="66">
        <v>3</v>
      </c>
      <c r="AR51" s="66">
        <v>2007</v>
      </c>
      <c r="AS51" s="215">
        <f t="shared" si="450"/>
        <v>6385.4117184562028</v>
      </c>
      <c r="AT51" s="215">
        <f t="shared" si="451"/>
        <v>745.85897883136533</v>
      </c>
      <c r="AU51" s="215">
        <f t="shared" si="452"/>
        <v>0</v>
      </c>
      <c r="AV51" s="215">
        <f t="shared" si="453"/>
        <v>183.22232388106715</v>
      </c>
      <c r="AW51" s="215">
        <f t="shared" si="454"/>
        <v>2015.0880000000002</v>
      </c>
      <c r="AX51" s="215">
        <f t="shared" si="455"/>
        <v>745.85897883136533</v>
      </c>
      <c r="AY51" s="215">
        <f t="shared" si="456"/>
        <v>0</v>
      </c>
      <c r="AZ51" s="215">
        <f t="shared" si="457"/>
        <v>0</v>
      </c>
      <c r="BA51" s="215">
        <f t="shared" si="458"/>
        <v>0</v>
      </c>
      <c r="BB51" s="215">
        <f t="shared" si="459"/>
        <v>0</v>
      </c>
      <c r="BC51" s="215">
        <f t="shared" si="460"/>
        <v>0</v>
      </c>
      <c r="BD51" s="215">
        <f t="shared" si="461"/>
        <v>0</v>
      </c>
      <c r="BE51" s="215">
        <f t="shared" si="462"/>
        <v>0</v>
      </c>
      <c r="BF51" s="215">
        <f t="shared" si="463"/>
        <v>0</v>
      </c>
      <c r="BG51" s="215">
        <f t="shared" si="464"/>
        <v>0</v>
      </c>
      <c r="BH51" s="215">
        <f t="shared" si="465"/>
        <v>0</v>
      </c>
      <c r="BI51" s="215">
        <f t="shared" si="466"/>
        <v>0</v>
      </c>
      <c r="BJ51" s="194"/>
      <c r="BK51" s="66">
        <v>3</v>
      </c>
      <c r="BL51" s="66">
        <v>2007</v>
      </c>
      <c r="BM51" s="215">
        <f t="shared" si="474"/>
        <v>0</v>
      </c>
      <c r="BN51" s="219">
        <f t="shared" si="475"/>
        <v>0</v>
      </c>
      <c r="BO51" s="219">
        <f t="shared" si="476"/>
        <v>0</v>
      </c>
      <c r="BP51" s="219">
        <f t="shared" si="502"/>
        <v>0</v>
      </c>
      <c r="BQ51" s="219">
        <f t="shared" si="477"/>
        <v>0</v>
      </c>
      <c r="BR51" s="220">
        <f t="shared" si="503"/>
        <v>0</v>
      </c>
      <c r="BS51" s="219">
        <f t="shared" si="504"/>
        <v>0</v>
      </c>
      <c r="BT51" s="219">
        <f t="shared" si="505"/>
        <v>0</v>
      </c>
      <c r="BU51" s="219">
        <f t="shared" si="506"/>
        <v>0</v>
      </c>
      <c r="BV51" s="219">
        <f t="shared" si="507"/>
        <v>0</v>
      </c>
      <c r="BW51" s="219">
        <f t="shared" si="508"/>
        <v>0</v>
      </c>
      <c r="BX51" s="220">
        <f t="shared" si="509"/>
        <v>0</v>
      </c>
      <c r="BY51" s="195"/>
      <c r="BZ51" s="192">
        <v>3</v>
      </c>
      <c r="CA51" s="66">
        <v>2007</v>
      </c>
      <c r="CB51" s="218">
        <f>pAsympt_NoCare_Asympt_Dead_2007_2009*AS50</f>
        <v>183.22232388106715</v>
      </c>
      <c r="CC51" s="218">
        <f t="shared" si="478"/>
        <v>0</v>
      </c>
      <c r="CD51" s="73">
        <f t="shared" si="479"/>
        <v>0</v>
      </c>
      <c r="CE51" s="73">
        <f>pInt_NoCare_Int_Dead_2007_2009*AW50</f>
        <v>0</v>
      </c>
      <c r="CF51" s="73">
        <f t="shared" si="480"/>
        <v>0</v>
      </c>
      <c r="CG51" s="73">
        <f t="shared" si="481"/>
        <v>0</v>
      </c>
      <c r="CH51" s="73">
        <f t="shared" si="482"/>
        <v>0</v>
      </c>
      <c r="CI51" s="73">
        <f t="shared" si="483"/>
        <v>0</v>
      </c>
      <c r="CJ51" s="73">
        <f t="shared" si="484"/>
        <v>0</v>
      </c>
      <c r="CK51" s="73">
        <f t="shared" si="485"/>
        <v>0</v>
      </c>
      <c r="CL51" s="73">
        <f t="shared" si="486"/>
        <v>0</v>
      </c>
      <c r="CM51" s="73">
        <f>pAIDS_NoCare_AIDS_Dead_2007_2009*BC50</f>
        <v>0</v>
      </c>
      <c r="CN51" s="73">
        <f t="shared" si="488"/>
        <v>0</v>
      </c>
      <c r="CO51" s="73">
        <f t="shared" si="489"/>
        <v>0</v>
      </c>
      <c r="CP51" s="73">
        <f t="shared" si="490"/>
        <v>0</v>
      </c>
      <c r="CQ51" s="73">
        <f t="shared" si="491"/>
        <v>0</v>
      </c>
      <c r="CR51" s="73">
        <f t="shared" si="492"/>
        <v>0</v>
      </c>
      <c r="CS51" s="73">
        <f t="shared" si="493"/>
        <v>0</v>
      </c>
      <c r="CT51" s="73">
        <f t="shared" si="494"/>
        <v>0</v>
      </c>
      <c r="CU51" s="73">
        <f t="shared" si="495"/>
        <v>0</v>
      </c>
      <c r="CV51" s="73">
        <f t="shared" si="496"/>
        <v>0</v>
      </c>
      <c r="CW51" s="73">
        <f t="shared" si="497"/>
        <v>0</v>
      </c>
      <c r="CX51" s="73">
        <f t="shared" si="498"/>
        <v>0</v>
      </c>
      <c r="CY51" s="73">
        <f t="shared" si="499"/>
        <v>0</v>
      </c>
      <c r="CZ51" s="190"/>
      <c r="DA51" s="66">
        <v>2007</v>
      </c>
      <c r="DB51" s="218">
        <f t="shared" si="467"/>
        <v>1491.7179576627307</v>
      </c>
      <c r="DC51" s="218">
        <f t="shared" si="468"/>
        <v>9892.2176761189348</v>
      </c>
      <c r="DD51" s="73">
        <f t="shared" si="469"/>
        <v>0</v>
      </c>
      <c r="DE51" s="73">
        <f t="shared" si="470"/>
        <v>0</v>
      </c>
      <c r="DF51" s="73">
        <f t="shared" si="471"/>
        <v>0</v>
      </c>
      <c r="DG51" s="73">
        <f t="shared" si="472"/>
        <v>2760.9469788313654</v>
      </c>
      <c r="DH51" s="72">
        <f t="shared" si="500"/>
        <v>0</v>
      </c>
      <c r="DI51" s="72" t="e">
        <f t="shared" si="501"/>
        <v>#DIV/0!</v>
      </c>
      <c r="DJ51" s="73">
        <f>SUM(AV48:AV51,BB48:BB51,BI48:BI51)</f>
        <v>183.22232388106715</v>
      </c>
      <c r="DK51" s="218">
        <v>0</v>
      </c>
      <c r="DL51" s="190"/>
    </row>
    <row r="52" spans="1:116" x14ac:dyDescent="0.25">
      <c r="A52" s="190"/>
      <c r="B52" s="68">
        <v>2006</v>
      </c>
      <c r="C52" s="185" t="s">
        <v>321</v>
      </c>
      <c r="D52" s="169">
        <v>0</v>
      </c>
      <c r="E52" s="169">
        <v>0</v>
      </c>
      <c r="F52" s="169">
        <v>0</v>
      </c>
      <c r="G52" s="169">
        <v>0</v>
      </c>
      <c r="H52" s="172">
        <f>pInt_NoCare_2004_2006</f>
        <v>0.52195039272464816</v>
      </c>
      <c r="I52" s="172">
        <f>pInt_NoCare_Int_InCare_2004_2006</f>
        <v>7.5080534956995348E-2</v>
      </c>
      <c r="J52" s="170">
        <f>pInt_NoCare_Int_ART1_2004_2006</f>
        <v>0</v>
      </c>
      <c r="K52" s="169">
        <v>0</v>
      </c>
      <c r="L52" s="169">
        <v>0</v>
      </c>
      <c r="M52" s="170">
        <f>pInt_NoCare_Int_Dead_2004_2006</f>
        <v>2.7888537361361161E-2</v>
      </c>
      <c r="N52" s="170">
        <f>pInt_NoCare_AIDS_NoCare_2004_2006</f>
        <v>0.3</v>
      </c>
      <c r="O52" s="172">
        <f>pInt_NoCare_AIDS_InCare_2004_2006</f>
        <v>7.5080534956995348E-2</v>
      </c>
      <c r="P52" s="171">
        <f>pInt_NoCare_AIDS_ART1ear_2004_2006</f>
        <v>0</v>
      </c>
      <c r="Q52" s="169">
        <v>0</v>
      </c>
      <c r="R52" s="169">
        <v>0</v>
      </c>
      <c r="S52" s="169">
        <v>0</v>
      </c>
      <c r="T52" s="169">
        <v>0</v>
      </c>
      <c r="U52" s="61">
        <f t="shared" si="473"/>
        <v>1</v>
      </c>
      <c r="V52" s="190"/>
      <c r="W52" s="66">
        <v>4</v>
      </c>
      <c r="X52" s="66">
        <v>2008</v>
      </c>
      <c r="Y52" s="70">
        <f>MMULT($Y51:$AO51,D$92:D$108)</f>
        <v>0.40165184630082018</v>
      </c>
      <c r="Z52" s="70">
        <f t="shared" ref="Z52" si="526">MMULT($Y51:$AO51,E$92:E$108)</f>
        <v>7.9350132444030066E-2</v>
      </c>
      <c r="AA52" s="70">
        <f t="shared" ref="AA52" si="527">MMULT($Y51:$AO51,F$92:F$108)</f>
        <v>2.2711269412095766E-2</v>
      </c>
      <c r="AB52" s="70">
        <f t="shared" ref="AB52" si="528">MMULT($Y51:$AO51,G$92:G$108)</f>
        <v>1.2788092354875989E-2</v>
      </c>
      <c r="AC52" s="70">
        <f t="shared" ref="AC52" si="529">MMULT($Y51:$AO51,H$92:H$108)</f>
        <v>0.22169301105858225</v>
      </c>
      <c r="AD52" s="70">
        <f t="shared" ref="AD52" si="530">MMULT($Y51:$AO51,I$92:I$108)</f>
        <v>0.1017364552227743</v>
      </c>
      <c r="AE52" s="70">
        <f t="shared" ref="AE52" si="531">MMULT($Y51:$AO51,J$92:J$108)</f>
        <v>1.2322340839651991E-2</v>
      </c>
      <c r="AF52" s="70">
        <f t="shared" ref="AF52" si="532">MMULT($Y51:$AO51,K$92:K$108)</f>
        <v>0</v>
      </c>
      <c r="AG52" s="70">
        <f t="shared" ref="AG52" si="533">MMULT($Y51:$AO51,L$92:L$108)</f>
        <v>1.3509635260084139E-2</v>
      </c>
      <c r="AH52" s="70">
        <f t="shared" ref="AH52" si="534">MMULT($Y51:$AO51,M$92:M$108)</f>
        <v>7.5148512019901498E-3</v>
      </c>
      <c r="AI52" s="70">
        <f t="shared" ref="AI52" si="535">MMULT($Y51:$AO51,N$92:N$108)</f>
        <v>0.06</v>
      </c>
      <c r="AJ52" s="70">
        <f t="shared" ref="AJ52" si="536">MMULT($Y51:$AO51,O$92:O$108)</f>
        <v>4.1948879784681731E-2</v>
      </c>
      <c r="AK52" s="70">
        <f t="shared" ref="AK52" si="537">MMULT($Y51:$AO51,P$92:P$108)</f>
        <v>6.5884417073588351E-3</v>
      </c>
      <c r="AL52" s="70">
        <f t="shared" ref="AL52" si="538">MMULT($Y51:$AO51,Q$92:Q$108)</f>
        <v>0</v>
      </c>
      <c r="AM52" s="70">
        <f t="shared" ref="AM52" si="539">MMULT($Y51:$AO51,R$92:R$108)</f>
        <v>0</v>
      </c>
      <c r="AN52" s="70">
        <f t="shared" ref="AN52" si="540">MMULT($Y51:$AO51,S$92:S$108)</f>
        <v>0</v>
      </c>
      <c r="AO52" s="70">
        <f t="shared" ref="AO52" si="541">MMULT($Y51:$AO51,T$92:T$108)</f>
        <v>0</v>
      </c>
      <c r="AP52" s="190"/>
      <c r="AQ52" s="66">
        <v>4</v>
      </c>
      <c r="AR52" s="66">
        <v>2008</v>
      </c>
      <c r="AS52" s="215">
        <f t="shared" si="450"/>
        <v>4046.819078293136</v>
      </c>
      <c r="AT52" s="215">
        <f t="shared" si="451"/>
        <v>799.48749843187829</v>
      </c>
      <c r="AU52" s="215">
        <f t="shared" si="452"/>
        <v>228.82603228540617</v>
      </c>
      <c r="AV52" s="215">
        <f t="shared" si="453"/>
        <v>128.84565723601173</v>
      </c>
      <c r="AW52" s="215">
        <f t="shared" si="454"/>
        <v>2233.6546313400822</v>
      </c>
      <c r="AX52" s="215">
        <f t="shared" si="455"/>
        <v>1025.0395504097492</v>
      </c>
      <c r="AY52" s="215">
        <f t="shared" si="456"/>
        <v>124.15300578946326</v>
      </c>
      <c r="AZ52" s="215">
        <f t="shared" si="457"/>
        <v>0</v>
      </c>
      <c r="BA52" s="215">
        <f t="shared" si="458"/>
        <v>136.11551948486215</v>
      </c>
      <c r="BB52" s="215">
        <f t="shared" si="459"/>
        <v>75.715432394579636</v>
      </c>
      <c r="BC52" s="215">
        <f t="shared" si="460"/>
        <v>604.52639999999997</v>
      </c>
      <c r="BD52" s="215">
        <f t="shared" si="461"/>
        <v>422.65342133777369</v>
      </c>
      <c r="BE52" s="215">
        <f t="shared" si="462"/>
        <v>66.381449115991501</v>
      </c>
      <c r="BF52" s="215">
        <f t="shared" si="463"/>
        <v>0</v>
      </c>
      <c r="BG52" s="215">
        <f t="shared" si="464"/>
        <v>0</v>
      </c>
      <c r="BH52" s="215">
        <f t="shared" si="465"/>
        <v>0</v>
      </c>
      <c r="BI52" s="215">
        <f t="shared" si="466"/>
        <v>0</v>
      </c>
      <c r="BJ52" s="194"/>
      <c r="BK52" s="66">
        <v>4</v>
      </c>
      <c r="BL52" s="66">
        <v>2008</v>
      </c>
      <c r="BM52" s="215">
        <f t="shared" si="474"/>
        <v>136.11551948486215</v>
      </c>
      <c r="BN52" s="219">
        <f t="shared" si="475"/>
        <v>0</v>
      </c>
      <c r="BO52" s="219">
        <f t="shared" si="476"/>
        <v>0</v>
      </c>
      <c r="BP52" s="219">
        <f t="shared" si="502"/>
        <v>0</v>
      </c>
      <c r="BQ52" s="219">
        <f t="shared" si="477"/>
        <v>0</v>
      </c>
      <c r="BR52" s="220">
        <f t="shared" si="503"/>
        <v>0</v>
      </c>
      <c r="BS52" s="219">
        <f t="shared" si="504"/>
        <v>0</v>
      </c>
      <c r="BT52" s="219">
        <f t="shared" si="505"/>
        <v>0</v>
      </c>
      <c r="BU52" s="219">
        <f t="shared" si="506"/>
        <v>0</v>
      </c>
      <c r="BV52" s="219">
        <f t="shared" si="507"/>
        <v>0</v>
      </c>
      <c r="BW52" s="219">
        <f t="shared" si="508"/>
        <v>0</v>
      </c>
      <c r="BX52" s="220">
        <f t="shared" si="509"/>
        <v>0</v>
      </c>
      <c r="BY52" s="195"/>
      <c r="BZ52" s="192">
        <v>4</v>
      </c>
      <c r="CA52" s="66">
        <v>2008</v>
      </c>
      <c r="CB52" s="218">
        <f>pAsympt_NoCare_Asympt_Dead_2007_2009*AS51</f>
        <v>116.11899569576553</v>
      </c>
      <c r="CC52" s="218">
        <f t="shared" si="478"/>
        <v>12.726661540246207</v>
      </c>
      <c r="CD52" s="73">
        <f t="shared" si="479"/>
        <v>0</v>
      </c>
      <c r="CE52" s="73">
        <f>pInt_NoCare_Int_Dead_2007_2009*AW51</f>
        <v>56.197856974430543</v>
      </c>
      <c r="CF52" s="73">
        <f t="shared" si="480"/>
        <v>19.517575420149086</v>
      </c>
      <c r="CG52" s="73">
        <f t="shared" si="481"/>
        <v>0</v>
      </c>
      <c r="CH52" s="73">
        <f t="shared" si="482"/>
        <v>0</v>
      </c>
      <c r="CI52" s="73">
        <f t="shared" si="483"/>
        <v>0</v>
      </c>
      <c r="CJ52" s="73">
        <f t="shared" si="484"/>
        <v>0</v>
      </c>
      <c r="CK52" s="73">
        <f t="shared" si="485"/>
        <v>0</v>
      </c>
      <c r="CL52" s="73">
        <f t="shared" si="486"/>
        <v>0</v>
      </c>
      <c r="CM52" s="73">
        <f>pAIDS_NoCare_AIDS_Dead_2007_2009*BC51</f>
        <v>0</v>
      </c>
      <c r="CN52" s="73">
        <f t="shared" si="488"/>
        <v>0</v>
      </c>
      <c r="CO52" s="73">
        <f t="shared" si="489"/>
        <v>0</v>
      </c>
      <c r="CP52" s="73">
        <f t="shared" si="490"/>
        <v>0</v>
      </c>
      <c r="CQ52" s="73">
        <f t="shared" si="491"/>
        <v>0</v>
      </c>
      <c r="CR52" s="73">
        <f t="shared" si="492"/>
        <v>0</v>
      </c>
      <c r="CS52" s="73">
        <f t="shared" si="493"/>
        <v>0</v>
      </c>
      <c r="CT52" s="73">
        <f t="shared" si="494"/>
        <v>0</v>
      </c>
      <c r="CU52" s="73">
        <f t="shared" si="495"/>
        <v>0</v>
      </c>
      <c r="CV52" s="73">
        <f t="shared" si="496"/>
        <v>0</v>
      </c>
      <c r="CW52" s="73">
        <f t="shared" si="497"/>
        <v>0</v>
      </c>
      <c r="CX52" s="73">
        <f t="shared" si="498"/>
        <v>0</v>
      </c>
      <c r="CY52" s="73">
        <f t="shared" si="499"/>
        <v>0</v>
      </c>
      <c r="CZ52" s="190"/>
      <c r="DA52" s="66">
        <v>2008</v>
      </c>
      <c r="DB52" s="218">
        <f t="shared" si="467"/>
        <v>2247.1804701794013</v>
      </c>
      <c r="DC52" s="218">
        <f t="shared" si="468"/>
        <v>9687.6565864883432</v>
      </c>
      <c r="DD52" s="73">
        <f t="shared" si="469"/>
        <v>190.53445490545477</v>
      </c>
      <c r="DE52" s="73">
        <f t="shared" si="470"/>
        <v>66.381449115991501</v>
      </c>
      <c r="DF52" s="73">
        <f t="shared" si="471"/>
        <v>1027.1798213377738</v>
      </c>
      <c r="DG52" s="73">
        <f t="shared" si="472"/>
        <v>4421.9895225724676</v>
      </c>
      <c r="DH52" s="72">
        <f t="shared" si="500"/>
        <v>4.1308068171742478E-2</v>
      </c>
      <c r="DI52" s="72">
        <f t="shared" si="501"/>
        <v>6.0702084930684318E-2</v>
      </c>
      <c r="DJ52" s="73">
        <f>SUM(AV48:AV52,BB48:BB52,BI48:BI52)</f>
        <v>387.78341351165852</v>
      </c>
      <c r="DK52" s="218">
        <v>0</v>
      </c>
      <c r="DL52" s="190"/>
    </row>
    <row r="53" spans="1:116" x14ac:dyDescent="0.25">
      <c r="A53" s="190"/>
      <c r="B53" s="68">
        <v>2006</v>
      </c>
      <c r="C53" s="185" t="s">
        <v>322</v>
      </c>
      <c r="D53" s="169">
        <v>0</v>
      </c>
      <c r="E53" s="169">
        <v>0</v>
      </c>
      <c r="F53" s="169">
        <v>0</v>
      </c>
      <c r="G53" s="169">
        <v>0</v>
      </c>
      <c r="H53" s="169">
        <v>0</v>
      </c>
      <c r="I53" s="172">
        <f>pInt_InCare_2004_2012</f>
        <v>0.27388069643828394</v>
      </c>
      <c r="J53" s="172">
        <f>pInt_InCare_Int_ART1_2004_2012</f>
        <v>0.12845640705966965</v>
      </c>
      <c r="K53" s="169">
        <v>0</v>
      </c>
      <c r="L53" s="170">
        <f>pInt_InCare_Int_LTFU_2004_2012</f>
        <v>0.18249498008072801</v>
      </c>
      <c r="M53" s="170">
        <f>pInt_InCare_Int_Dead_2004_2012</f>
        <v>2.6167916421318438E-2</v>
      </c>
      <c r="N53" s="169">
        <v>0</v>
      </c>
      <c r="O53" s="170">
        <f>pInt_InCare_AIDS_InCare_2004_2012</f>
        <v>0.3</v>
      </c>
      <c r="P53" s="170">
        <f>pInt_InCare_AIDS_ART1ear_2004_2012</f>
        <v>8.8999999999999996E-2</v>
      </c>
      <c r="Q53" s="169">
        <v>0</v>
      </c>
      <c r="R53" s="169">
        <v>0</v>
      </c>
      <c r="S53" s="169">
        <v>0</v>
      </c>
      <c r="T53" s="169">
        <v>0</v>
      </c>
      <c r="U53" s="61">
        <f t="shared" si="473"/>
        <v>1</v>
      </c>
      <c r="V53" s="190"/>
      <c r="W53" s="66">
        <v>5</v>
      </c>
      <c r="X53" s="66">
        <v>2009</v>
      </c>
      <c r="Y53" s="70">
        <f>MMULT($Y52:$AO52,D$114:D$130)</f>
        <v>0.25455090855673068</v>
      </c>
      <c r="Z53" s="70">
        <f t="shared" ref="Z53" si="542">MMULT($Y52:$AO52,E$114:E$130)</f>
        <v>6.4499850078608464E-2</v>
      </c>
      <c r="AA53" s="70">
        <f t="shared" ref="AA53" si="543">MMULT($Y52:$AO52,F$114:F$130)</f>
        <v>3.9347652253826124E-2</v>
      </c>
      <c r="AB53" s="70">
        <f t="shared" ref="AB53" si="544">MMULT($Y52:$AO52,G$114:G$130)</f>
        <v>9.0710208405925634E-3</v>
      </c>
      <c r="AC53" s="70">
        <f t="shared" ref="AC53" si="545">MMULT($Y52:$AO52,H$114:H$130)</f>
        <v>0.18556914332068541</v>
      </c>
      <c r="AD53" s="70">
        <f t="shared" ref="AD53" si="546">MMULT($Y52:$AO52,I$114:I$130)</f>
        <v>9.5348753537974701E-2</v>
      </c>
      <c r="AE53" s="70">
        <f t="shared" ref="AE53" si="547">MMULT($Y52:$AO52,J$114:J$130)</f>
        <v>3.2722894772762579E-2</v>
      </c>
      <c r="AF53" s="70">
        <f t="shared" ref="AF53" si="548">MMULT($Y52:$AO52,K$114:K$130)</f>
        <v>2.1534491176653887E-3</v>
      </c>
      <c r="AG53" s="70">
        <f t="shared" ref="AG53" si="549">MMULT($Y52:$AO52,L$114:L$130)</f>
        <v>2.9214321016294467E-2</v>
      </c>
      <c r="AH53" s="70">
        <f t="shared" ref="AH53" si="550">MMULT($Y52:$AO52,M$114:M$130)</f>
        <v>9.2840050097176517E-3</v>
      </c>
      <c r="AI53" s="70">
        <f t="shared" ref="AI53" si="551">MMULT($Y52:$AO52,N$114:N$130)</f>
        <v>7.0651352353037836E-2</v>
      </c>
      <c r="AJ53" s="70">
        <f t="shared" ref="AJ53" si="552">MMULT($Y52:$AO52,O$114:O$130)</f>
        <v>8.5697089693666254E-2</v>
      </c>
      <c r="AK53" s="70">
        <f t="shared" ref="AK53" si="553">MMULT($Y52:$AO52,P$114:P$130)</f>
        <v>3.0309750692456512E-2</v>
      </c>
      <c r="AL53" s="70">
        <f t="shared" ref="AL53" si="554">MMULT($Y52:$AO52,Q$114:Q$130)</f>
        <v>5.4057491247627015E-3</v>
      </c>
      <c r="AM53" s="70">
        <f t="shared" ref="AM53" si="555">MMULT($Y52:$AO52,R$114:R$130)</f>
        <v>0</v>
      </c>
      <c r="AN53" s="70">
        <f t="shared" ref="AN53" si="556">MMULT($Y52:$AO52,S$114:S$130)</f>
        <v>5.9232001121558263E-3</v>
      </c>
      <c r="AO53" s="70">
        <f t="shared" ref="AO53" si="557">MMULT($Y52:$AO52,T$114:T$130)</f>
        <v>4.1762871549142107E-2</v>
      </c>
      <c r="AP53" s="190"/>
      <c r="AQ53" s="66">
        <v>5</v>
      </c>
      <c r="AR53" s="66">
        <v>2009</v>
      </c>
      <c r="AS53" s="215">
        <f t="shared" si="450"/>
        <v>2564.7124061088266</v>
      </c>
      <c r="AT53" s="215">
        <f t="shared" si="451"/>
        <v>649.86436947601487</v>
      </c>
      <c r="AU53" s="215">
        <f t="shared" si="452"/>
        <v>396.4449094242899</v>
      </c>
      <c r="AV53" s="215">
        <f t="shared" si="453"/>
        <v>91.394526218139944</v>
      </c>
      <c r="AW53" s="215">
        <f t="shared" si="454"/>
        <v>1869.6907693789667</v>
      </c>
      <c r="AX53" s="215">
        <f t="shared" si="455"/>
        <v>960.68064534665189</v>
      </c>
      <c r="AY53" s="215">
        <f t="shared" si="456"/>
        <v>329.69756290928302</v>
      </c>
      <c r="AZ53" s="215">
        <f t="shared" si="457"/>
        <v>21.696947378090567</v>
      </c>
      <c r="BA53" s="215">
        <f t="shared" si="458"/>
        <v>294.34713854041394</v>
      </c>
      <c r="BB53" s="215">
        <f t="shared" si="459"/>
        <v>93.540435435109615</v>
      </c>
      <c r="BC53" s="215">
        <f t="shared" si="460"/>
        <v>711.84346155189155</v>
      </c>
      <c r="BD53" s="215">
        <f t="shared" si="461"/>
        <v>863.43588538315271</v>
      </c>
      <c r="BE53" s="215">
        <f t="shared" si="462"/>
        <v>305.38407451680405</v>
      </c>
      <c r="BF53" s="215">
        <f t="shared" si="463"/>
        <v>54.465300961599119</v>
      </c>
      <c r="BG53" s="215">
        <f t="shared" si="464"/>
        <v>0</v>
      </c>
      <c r="BH53" s="215">
        <f t="shared" si="465"/>
        <v>59.678847338019303</v>
      </c>
      <c r="BI53" s="215">
        <f t="shared" si="466"/>
        <v>420.77930652108836</v>
      </c>
      <c r="BJ53" s="194"/>
      <c r="BK53" s="66">
        <v>5</v>
      </c>
      <c r="BL53" s="66">
        <v>2009</v>
      </c>
      <c r="BM53" s="215">
        <f t="shared" si="474"/>
        <v>246.79592589335027</v>
      </c>
      <c r="BN53" s="219">
        <f t="shared" si="475"/>
        <v>45.765206457081234</v>
      </c>
      <c r="BO53" s="219">
        <f t="shared" si="476"/>
        <v>1.7860061899823911</v>
      </c>
      <c r="BP53" s="219">
        <f t="shared" si="502"/>
        <v>0</v>
      </c>
      <c r="BQ53" s="219">
        <f t="shared" si="477"/>
        <v>24.854336007666465</v>
      </c>
      <c r="BR53" s="220">
        <f t="shared" si="503"/>
        <v>0</v>
      </c>
      <c r="BS53" s="219">
        <f t="shared" si="504"/>
        <v>32.719867517766623</v>
      </c>
      <c r="BT53" s="219">
        <f t="shared" si="505"/>
        <v>2.1046438125862181</v>
      </c>
      <c r="BU53" s="219">
        <f t="shared" si="506"/>
        <v>0</v>
      </c>
      <c r="BV53" s="219">
        <f t="shared" si="507"/>
        <v>0</v>
      </c>
      <c r="BW53" s="219">
        <f t="shared" si="508"/>
        <v>0</v>
      </c>
      <c r="BX53" s="220">
        <f t="shared" si="509"/>
        <v>0</v>
      </c>
      <c r="BY53" s="195"/>
      <c r="BZ53" s="192">
        <v>5</v>
      </c>
      <c r="CA53" s="66">
        <v>2009</v>
      </c>
      <c r="CB53" s="218">
        <f>pAsympt_NoCare_Asympt_Dead_2007_2009*AS52</f>
        <v>73.591584670357477</v>
      </c>
      <c r="CC53" s="218">
        <f t="shared" si="478"/>
        <v>13.641729987809269</v>
      </c>
      <c r="CD53" s="73">
        <f t="shared" si="479"/>
        <v>4.161211559973184</v>
      </c>
      <c r="CE53" s="73">
        <f>pInt_NoCare_Int_Dead_2007_2009*AW52</f>
        <v>62.293360638505277</v>
      </c>
      <c r="CF53" s="73">
        <f t="shared" si="480"/>
        <v>26.823149283668144</v>
      </c>
      <c r="CG53" s="73">
        <f t="shared" si="481"/>
        <v>0.62786276232154348</v>
      </c>
      <c r="CH53" s="73">
        <f t="shared" si="482"/>
        <v>0</v>
      </c>
      <c r="CI53" s="73">
        <f t="shared" si="483"/>
        <v>3.7960627506146611</v>
      </c>
      <c r="CJ53" s="73">
        <f t="shared" si="484"/>
        <v>0</v>
      </c>
      <c r="CK53" s="73">
        <f t="shared" si="485"/>
        <v>0</v>
      </c>
      <c r="CL53" s="73">
        <f t="shared" si="486"/>
        <v>0</v>
      </c>
      <c r="CM53" s="73">
        <f>pAIDS_NoCare_AIDS_Dead_2007_2009*BC52</f>
        <v>248.16699689316462</v>
      </c>
      <c r="CN53" s="73">
        <f t="shared" si="488"/>
        <v>162.80080528611759</v>
      </c>
      <c r="CO53" s="73">
        <f t="shared" si="489"/>
        <v>9.811504341806172</v>
      </c>
      <c r="CP53" s="73">
        <f t="shared" si="490"/>
        <v>0</v>
      </c>
      <c r="CQ53" s="73">
        <f t="shared" si="491"/>
        <v>0</v>
      </c>
      <c r="CR53" s="73">
        <f t="shared" si="492"/>
        <v>0</v>
      </c>
      <c r="CS53" s="73">
        <f t="shared" si="493"/>
        <v>0</v>
      </c>
      <c r="CT53" s="73">
        <f t="shared" si="494"/>
        <v>0</v>
      </c>
      <c r="CU53" s="73">
        <f t="shared" si="495"/>
        <v>0</v>
      </c>
      <c r="CV53" s="73">
        <f t="shared" si="496"/>
        <v>0</v>
      </c>
      <c r="CW53" s="73">
        <f t="shared" si="497"/>
        <v>0</v>
      </c>
      <c r="CX53" s="73">
        <f t="shared" si="498"/>
        <v>0</v>
      </c>
      <c r="CY53" s="73">
        <f t="shared" si="499"/>
        <v>0</v>
      </c>
      <c r="CZ53" s="190"/>
      <c r="DA53" s="66">
        <v>2009</v>
      </c>
      <c r="DB53" s="218">
        <f t="shared" si="467"/>
        <v>2473.9809002058196</v>
      </c>
      <c r="DC53" s="218">
        <f t="shared" si="468"/>
        <v>9081.9423183140043</v>
      </c>
      <c r="DD53" s="73">
        <f t="shared" si="469"/>
        <v>711.24388576577678</v>
      </c>
      <c r="DE53" s="73">
        <f t="shared" si="470"/>
        <v>359.84937547840315</v>
      </c>
      <c r="DF53" s="73">
        <f t="shared" si="471"/>
        <v>1634.9581942730636</v>
      </c>
      <c r="DG53" s="73">
        <f t="shared" si="472"/>
        <v>4759.6767475390952</v>
      </c>
      <c r="DH53" s="72">
        <f t="shared" si="500"/>
        <v>0.13000442401521894</v>
      </c>
      <c r="DI53" s="72">
        <f t="shared" si="501"/>
        <v>0.1803930268438057</v>
      </c>
      <c r="DJ53" s="73">
        <f>SUM(AV48:AV53,BB48:BB53,BI48:BI53)</f>
        <v>993.49768168599644</v>
      </c>
      <c r="DK53" s="218">
        <v>0</v>
      </c>
      <c r="DL53" s="190"/>
    </row>
    <row r="54" spans="1:116" x14ac:dyDescent="0.25">
      <c r="A54" s="190"/>
      <c r="B54" s="68">
        <v>2006</v>
      </c>
      <c r="C54" s="185" t="s">
        <v>323</v>
      </c>
      <c r="D54" s="169">
        <v>0</v>
      </c>
      <c r="E54" s="169">
        <v>0</v>
      </c>
      <c r="F54" s="169">
        <v>0</v>
      </c>
      <c r="G54" s="169">
        <v>0</v>
      </c>
      <c r="H54" s="169">
        <v>0</v>
      </c>
      <c r="I54" s="169">
        <v>0</v>
      </c>
      <c r="J54" s="172">
        <f>pInt_ART1_2004_2012</f>
        <v>0.97189504107250524</v>
      </c>
      <c r="K54" s="170">
        <f>pInt_ART1_Int_ART2_2004_2012</f>
        <v>8.6622645122074182E-3</v>
      </c>
      <c r="L54" s="170">
        <f>pInt_ART1_Int_LTFU_2004_2012</f>
        <v>1.438552517214986E-2</v>
      </c>
      <c r="M54" s="170">
        <f>pInt_ART1_Int_Dead_2004_2012</f>
        <v>5.0571692431374826E-3</v>
      </c>
      <c r="N54" s="169">
        <v>0</v>
      </c>
      <c r="O54" s="169">
        <v>0</v>
      </c>
      <c r="P54" s="169">
        <v>0</v>
      </c>
      <c r="Q54" s="169">
        <v>0</v>
      </c>
      <c r="R54" s="169">
        <v>0</v>
      </c>
      <c r="S54" s="169">
        <v>0</v>
      </c>
      <c r="T54" s="169">
        <v>0</v>
      </c>
      <c r="U54" s="61">
        <f t="shared" si="473"/>
        <v>1</v>
      </c>
      <c r="V54" s="190"/>
      <c r="W54" s="66">
        <v>6</v>
      </c>
      <c r="X54" s="66">
        <v>2010</v>
      </c>
      <c r="Y54" s="70">
        <f>MMULT($Y53:$AO53,D$136:D$152)</f>
        <v>0.16132420563685768</v>
      </c>
      <c r="Z54" s="70">
        <f t="shared" ref="Z54" si="558">MMULT($Y53:$AO53,E$136:E$152)</f>
        <v>4.7103818474375607E-2</v>
      </c>
      <c r="AA54" s="70">
        <f t="shared" ref="AA54" si="559">MMULT($Y53:$AO53,F$136:F$152)</f>
        <v>4.5781898670495716E-2</v>
      </c>
      <c r="AB54" s="70">
        <f t="shared" ref="AB54" si="560">MMULT($Y53:$AO53,G$136:G$152)</f>
        <v>6.4451253579327072E-3</v>
      </c>
      <c r="AC54" s="70">
        <f t="shared" ref="AC54" si="561">MMULT($Y53:$AO53,H$136:H$152)</f>
        <v>0.13900077623788976</v>
      </c>
      <c r="AD54" s="70">
        <f t="shared" ref="AD54" si="562">MMULT($Y53:$AO53,I$136:I$152)</f>
        <v>7.6174180760404872E-2</v>
      </c>
      <c r="AE54" s="70">
        <f t="shared" ref="AE54" si="563">MMULT($Y53:$AO53,J$136:J$152)</f>
        <v>5.5402212204146435E-2</v>
      </c>
      <c r="AF54" s="70">
        <f t="shared" ref="AF54" si="564">MMULT($Y53:$AO53,K$136:K$152)</f>
        <v>6.8210042686271607E-3</v>
      </c>
      <c r="AG54" s="70">
        <f t="shared" ref="AG54" si="565">MMULT($Y53:$AO53,L$136:L$152)</f>
        <v>3.8591987155444651E-2</v>
      </c>
      <c r="AH54" s="70">
        <f t="shared" ref="AH54" si="566">MMULT($Y53:$AO53,M$136:M$152)</f>
        <v>8.6614504568588175E-3</v>
      </c>
      <c r="AI54" s="70">
        <f t="shared" ref="AI54" si="567">MMULT($Y53:$AO53,N$136:N$152)</f>
        <v>6.0549747625561666E-2</v>
      </c>
      <c r="AJ54" s="70">
        <f t="shared" ref="AJ54" si="568">MMULT($Y53:$AO53,O$136:O$152)</f>
        <v>9.0594426191087832E-2</v>
      </c>
      <c r="AK54" s="70">
        <f t="shared" ref="AK54" si="569">MMULT($Y53:$AO53,P$136:P$152)</f>
        <v>5.0306465566524683E-2</v>
      </c>
      <c r="AL54" s="70">
        <f t="shared" ref="AL54" si="570">MMULT($Y53:$AO53,Q$136:Q$152)</f>
        <v>2.9911611370230826E-2</v>
      </c>
      <c r="AM54" s="70">
        <f t="shared" ref="AM54" si="571">MMULT($Y53:$AO53,R$136:R$152)</f>
        <v>1.3020451663654127E-3</v>
      </c>
      <c r="AN54" s="70">
        <f t="shared" ref="AN54" si="572">MMULT($Y53:$AO53,S$136:S$152)</f>
        <v>1.4359575091796228E-2</v>
      </c>
      <c r="AO54" s="70">
        <f t="shared" ref="AO54" si="573">MMULT($Y53:$AO53,T$136:T$152)</f>
        <v>6.9063584396026889E-2</v>
      </c>
      <c r="AP54" s="190"/>
      <c r="AQ54" s="66">
        <v>6</v>
      </c>
      <c r="AR54" s="66">
        <v>2010</v>
      </c>
      <c r="AS54" s="215">
        <f t="shared" si="450"/>
        <v>1625.4123544418214</v>
      </c>
      <c r="AT54" s="215">
        <f t="shared" si="451"/>
        <v>474.59169680946297</v>
      </c>
      <c r="AU54" s="215">
        <f t="shared" si="452"/>
        <v>461.27277314065935</v>
      </c>
      <c r="AV54" s="215">
        <f t="shared" si="453"/>
        <v>64.937473836329517</v>
      </c>
      <c r="AW54" s="215">
        <f t="shared" si="454"/>
        <v>1400.493980938284</v>
      </c>
      <c r="AX54" s="215">
        <f t="shared" si="455"/>
        <v>767.48838780061374</v>
      </c>
      <c r="AY54" s="215">
        <f t="shared" si="456"/>
        <v>558.20166493014517</v>
      </c>
      <c r="AZ54" s="215">
        <f t="shared" si="457"/>
        <v>68.724619248296847</v>
      </c>
      <c r="BA54" s="215">
        <f t="shared" si="458"/>
        <v>388.83125106545327</v>
      </c>
      <c r="BB54" s="215">
        <f t="shared" si="459"/>
        <v>87.267924391053612</v>
      </c>
      <c r="BC54" s="215">
        <f t="shared" si="460"/>
        <v>610.06534921648904</v>
      </c>
      <c r="BD54" s="215">
        <f t="shared" si="461"/>
        <v>912.77870542273399</v>
      </c>
      <c r="BE54" s="215">
        <f t="shared" si="462"/>
        <v>506.85977542758548</v>
      </c>
      <c r="BF54" s="215">
        <f t="shared" si="463"/>
        <v>301.3726456640785</v>
      </c>
      <c r="BG54" s="215">
        <f t="shared" si="464"/>
        <v>13.118677951004734</v>
      </c>
      <c r="BH54" s="215">
        <f t="shared" si="465"/>
        <v>144.67903726288739</v>
      </c>
      <c r="BI54" s="215">
        <f t="shared" si="466"/>
        <v>695.84600076710524</v>
      </c>
      <c r="BJ54" s="194"/>
      <c r="BK54" s="66">
        <v>6</v>
      </c>
      <c r="BL54" s="66">
        <v>2010</v>
      </c>
      <c r="BM54" s="215">
        <f t="shared" si="474"/>
        <v>283.62045276714372</v>
      </c>
      <c r="BN54" s="219">
        <f t="shared" si="475"/>
        <v>99.372053513653825</v>
      </c>
      <c r="BO54" s="219">
        <f t="shared" si="476"/>
        <v>5.5266228019893644</v>
      </c>
      <c r="BP54" s="219">
        <f t="shared" si="502"/>
        <v>0.31212198266633273</v>
      </c>
      <c r="BQ54" s="219">
        <f t="shared" si="477"/>
        <v>56.137958417323773</v>
      </c>
      <c r="BR54" s="220">
        <f t="shared" si="503"/>
        <v>11.001181186877592</v>
      </c>
      <c r="BS54" s="219">
        <f t="shared" si="504"/>
        <v>66.386029443631315</v>
      </c>
      <c r="BT54" s="219">
        <f t="shared" si="505"/>
        <v>10.136445061752998</v>
      </c>
      <c r="BU54" s="219">
        <f t="shared" si="506"/>
        <v>0.58809748828350861</v>
      </c>
      <c r="BV54" s="219">
        <f t="shared" si="507"/>
        <v>0.42932566501819092</v>
      </c>
      <c r="BW54" s="219">
        <f t="shared" si="508"/>
        <v>0</v>
      </c>
      <c r="BX54" s="220">
        <f t="shared" si="509"/>
        <v>0</v>
      </c>
      <c r="BY54" s="195"/>
      <c r="BZ54" s="192">
        <v>6</v>
      </c>
      <c r="CA54" s="66">
        <v>2010</v>
      </c>
      <c r="CB54" s="218">
        <f>pAsympt_NoCare_Asympt_Dead_2010_2012*AS53</f>
        <v>46.639409011801213</v>
      </c>
      <c r="CC54" s="218">
        <f t="shared" si="478"/>
        <v>11.088696539318176</v>
      </c>
      <c r="CD54" s="73">
        <f t="shared" si="479"/>
        <v>7.2093682852101315</v>
      </c>
      <c r="CE54" s="73">
        <f>pInt_NoCare_Int_Dead_2010_2012*AW53</f>
        <v>52.142940876017406</v>
      </c>
      <c r="CF54" s="73">
        <f t="shared" si="480"/>
        <v>25.139010835009447</v>
      </c>
      <c r="CG54" s="73">
        <f t="shared" si="481"/>
        <v>1.6673363746822114</v>
      </c>
      <c r="CH54" s="73">
        <f t="shared" si="482"/>
        <v>0.10972513495045205</v>
      </c>
      <c r="CI54" s="73">
        <f t="shared" si="483"/>
        <v>6.8827773999084192</v>
      </c>
      <c r="CJ54" s="73">
        <f t="shared" si="484"/>
        <v>1.276324670128717</v>
      </c>
      <c r="CK54" s="73">
        <f t="shared" si="485"/>
        <v>4.9809100356946218E-2</v>
      </c>
      <c r="CL54" s="73">
        <f t="shared" si="486"/>
        <v>0</v>
      </c>
      <c r="CM54" s="73">
        <f>pAIDS_NoCare_AIDS_Dead_2010_2012*BC53</f>
        <v>292.22223233157035</v>
      </c>
      <c r="CN54" s="73">
        <f t="shared" si="488"/>
        <v>332.58469080502448</v>
      </c>
      <c r="CO54" s="73">
        <f t="shared" si="489"/>
        <v>45.137266705409566</v>
      </c>
      <c r="CP54" s="73">
        <f t="shared" si="490"/>
        <v>1.4027645279179852</v>
      </c>
      <c r="CQ54" s="73">
        <f t="shared" si="491"/>
        <v>0</v>
      </c>
      <c r="CR54" s="73">
        <f t="shared" si="492"/>
        <v>10.203071241878325</v>
      </c>
      <c r="CS54" s="73">
        <f t="shared" si="493"/>
        <v>0</v>
      </c>
      <c r="CT54" s="73">
        <f t="shared" si="494"/>
        <v>13.431987851359921</v>
      </c>
      <c r="CU54" s="73">
        <f t="shared" si="495"/>
        <v>0.86398730394454593</v>
      </c>
      <c r="CV54" s="73">
        <f t="shared" si="496"/>
        <v>0</v>
      </c>
      <c r="CW54" s="73">
        <f t="shared" si="497"/>
        <v>0</v>
      </c>
      <c r="CX54" s="73">
        <f t="shared" si="498"/>
        <v>0</v>
      </c>
      <c r="CY54" s="73">
        <f t="shared" si="499"/>
        <v>0</v>
      </c>
      <c r="CZ54" s="190"/>
      <c r="DA54" s="66">
        <v>2010</v>
      </c>
      <c r="DB54" s="218">
        <f t="shared" si="467"/>
        <v>2154.8587900328107</v>
      </c>
      <c r="DC54" s="218">
        <f t="shared" si="468"/>
        <v>8233.8909193195159</v>
      </c>
      <c r="DD54" s="73">
        <f t="shared" si="469"/>
        <v>1448.2773832211108</v>
      </c>
      <c r="DE54" s="73">
        <f t="shared" si="470"/>
        <v>821.35109904266881</v>
      </c>
      <c r="DF54" s="73">
        <f t="shared" si="471"/>
        <v>1667.5230919021105</v>
      </c>
      <c r="DG54" s="73">
        <f t="shared" si="472"/>
        <v>4224.3367117064618</v>
      </c>
      <c r="DH54" s="72">
        <f t="shared" si="500"/>
        <v>0.25531040169225583</v>
      </c>
      <c r="DI54" s="72">
        <f t="shared" si="501"/>
        <v>0.33000908685178781</v>
      </c>
      <c r="DJ54" s="73">
        <f>SUM(AV48:AV54,BB48:BB54,BI48:BI54)</f>
        <v>1841.5490806804846</v>
      </c>
      <c r="DK54" s="218">
        <f>SUM(AV54,BB54,BI54)</f>
        <v>848.05139899448841</v>
      </c>
      <c r="DL54" s="190"/>
    </row>
    <row r="55" spans="1:116" x14ac:dyDescent="0.25">
      <c r="A55" s="190"/>
      <c r="B55" s="68">
        <v>2006</v>
      </c>
      <c r="C55" s="185" t="s">
        <v>324</v>
      </c>
      <c r="D55" s="169">
        <v>0</v>
      </c>
      <c r="E55" s="169">
        <v>0</v>
      </c>
      <c r="F55" s="169">
        <v>0</v>
      </c>
      <c r="G55" s="169">
        <v>0</v>
      </c>
      <c r="H55" s="169">
        <v>0</v>
      </c>
      <c r="I55" s="169">
        <v>0</v>
      </c>
      <c r="J55" s="169">
        <v>0</v>
      </c>
      <c r="K55" s="172">
        <f>pInt_ART2_2004_2012</f>
        <v>0.98055730558471266</v>
      </c>
      <c r="L55" s="170">
        <f>pInt_ART2_Int_LTFU_2004_2012</f>
        <v>1.438552517214986E-2</v>
      </c>
      <c r="M55" s="170">
        <f>pInt_ART2_Int_Dead_2004_2012</f>
        <v>5.0571692431374826E-3</v>
      </c>
      <c r="N55" s="169">
        <v>0</v>
      </c>
      <c r="O55" s="169">
        <v>0</v>
      </c>
      <c r="P55" s="169">
        <v>0</v>
      </c>
      <c r="Q55" s="169">
        <v>0</v>
      </c>
      <c r="R55" s="169">
        <v>0</v>
      </c>
      <c r="S55" s="169">
        <v>0</v>
      </c>
      <c r="T55" s="169">
        <v>0</v>
      </c>
      <c r="U55" s="61">
        <f t="shared" si="473"/>
        <v>1</v>
      </c>
      <c r="V55" s="190"/>
      <c r="W55" s="66">
        <v>7</v>
      </c>
      <c r="X55" s="66">
        <v>2011</v>
      </c>
      <c r="Y55" s="70">
        <f>MMULT($Y54:$AO54,D$158:D$174)</f>
        <v>0.10224084239936213</v>
      </c>
      <c r="Z55" s="70">
        <f t="shared" ref="Z55" si="574">MMULT($Y54:$AO54,E$158:E$174)</f>
        <v>3.2580559631701381E-2</v>
      </c>
      <c r="AA55" s="70">
        <f t="shared" ref="AA55" si="575">MMULT($Y54:$AO54,F$158:F$174)</f>
        <v>4.4695437273746599E-2</v>
      </c>
      <c r="AB55" s="70">
        <f t="shared" ref="AB55" si="576">MMULT($Y54:$AO54,G$158:G$174)</f>
        <v>4.5699705668242382E-3</v>
      </c>
      <c r="AC55" s="70">
        <f t="shared" ref="AC55" si="577">MMULT($Y54:$AO54,H$158:H$174)</f>
        <v>9.8249200376616691E-2</v>
      </c>
      <c r="AD55" s="70">
        <f t="shared" ref="AD55" si="578">MMULT($Y54:$AO54,I$158:I$174)</f>
        <v>5.594564639296358E-2</v>
      </c>
      <c r="AE55" s="70">
        <f t="shared" ref="AE55" si="579">MMULT($Y54:$AO54,J$158:J$174)</f>
        <v>7.6425815081522214E-2</v>
      </c>
      <c r="AF55" s="70">
        <f t="shared" ref="AF55" si="580">MMULT($Y54:$AO54,K$158:K$174)</f>
        <v>1.3014980237750499E-2</v>
      </c>
      <c r="AG55" s="70">
        <f t="shared" ref="AG55" si="581">MMULT($Y54:$AO54,L$158:L$174)</f>
        <v>4.0888158370464653E-2</v>
      </c>
      <c r="AH55" s="70">
        <f t="shared" ref="AH55" si="582">MMULT($Y54:$AO54,M$158:M$174)</f>
        <v>7.2607953491582531E-3</v>
      </c>
      <c r="AI55" s="70">
        <f t="shared" ref="AI55" si="583">MMULT($Y54:$AO54,N$158:N$174)</f>
        <v>4.5881646094644783E-2</v>
      </c>
      <c r="AJ55" s="70">
        <f t="shared" ref="AJ55" si="584">MMULT($Y54:$AO54,O$158:O$174)</f>
        <v>7.6112426945225728E-2</v>
      </c>
      <c r="AK55" s="70">
        <f t="shared" ref="AK55" si="585">MMULT($Y54:$AO54,P$158:P$174)</f>
        <v>5.1732637851712213E-2</v>
      </c>
      <c r="AL55" s="70">
        <f t="shared" ref="AL55" si="586">MMULT($Y54:$AO54,Q$158:Q$174)</f>
        <v>6.917908436530279E-2</v>
      </c>
      <c r="AM55" s="70">
        <f t="shared" ref="AM55" si="587">MMULT($Y54:$AO54,R$158:R$174)</f>
        <v>4.814356553364014E-3</v>
      </c>
      <c r="AN55" s="70">
        <f t="shared" ref="AN55" si="588">MMULT($Y54:$AO54,S$158:S$174)</f>
        <v>1.9656586642475035E-2</v>
      </c>
      <c r="AO55" s="70">
        <f t="shared" ref="AO55" si="589">MMULT($Y54:$AO54,T$158:T$174)</f>
        <v>7.3975810286973753E-2</v>
      </c>
      <c r="AP55" s="190"/>
      <c r="AQ55" s="66">
        <v>7</v>
      </c>
      <c r="AR55" s="66">
        <v>2011</v>
      </c>
      <c r="AS55" s="215">
        <f t="shared" si="450"/>
        <v>1030.1214731442292</v>
      </c>
      <c r="AT55" s="215">
        <f t="shared" si="451"/>
        <v>328.26347373562936</v>
      </c>
      <c r="AU55" s="215">
        <f t="shared" si="452"/>
        <v>450.32619652539745</v>
      </c>
      <c r="AV55" s="215">
        <f t="shared" si="453"/>
        <v>46.044464247803603</v>
      </c>
      <c r="AW55" s="215">
        <f t="shared" si="454"/>
        <v>989.90392344257896</v>
      </c>
      <c r="AX55" s="215">
        <f t="shared" si="455"/>
        <v>563.67700349352106</v>
      </c>
      <c r="AY55" s="215">
        <f t="shared" si="456"/>
        <v>770.02371430497226</v>
      </c>
      <c r="AZ55" s="215">
        <f t="shared" si="457"/>
        <v>131.13165248664089</v>
      </c>
      <c r="BA55" s="215">
        <f t="shared" si="458"/>
        <v>411.96618637211441</v>
      </c>
      <c r="BB55" s="215">
        <f t="shared" si="459"/>
        <v>73.155707892723029</v>
      </c>
      <c r="BC55" s="215">
        <f t="shared" si="460"/>
        <v>462.27777232782785</v>
      </c>
      <c r="BD55" s="215">
        <f t="shared" si="461"/>
        <v>766.86619094100513</v>
      </c>
      <c r="BE55" s="215">
        <f t="shared" si="462"/>
        <v>521.22908871665527</v>
      </c>
      <c r="BF55" s="215">
        <f t="shared" si="463"/>
        <v>697.00971377754638</v>
      </c>
      <c r="BG55" s="215">
        <f t="shared" si="464"/>
        <v>48.506760592025927</v>
      </c>
      <c r="BH55" s="215">
        <f t="shared" si="465"/>
        <v>198.04875932105867</v>
      </c>
      <c r="BI55" s="215">
        <f t="shared" si="466"/>
        <v>745.33883799778687</v>
      </c>
      <c r="BJ55" s="194"/>
      <c r="BK55" s="66">
        <v>7</v>
      </c>
      <c r="BL55" s="66">
        <v>2011</v>
      </c>
      <c r="BM55" s="215">
        <f t="shared" si="474"/>
        <v>264.52348322293295</v>
      </c>
      <c r="BN55" s="219">
        <f t="shared" si="475"/>
        <v>135.86183236404273</v>
      </c>
      <c r="BO55" s="219">
        <f t="shared" si="476"/>
        <v>10.455263059487358</v>
      </c>
      <c r="BP55" s="219">
        <f t="shared" si="502"/>
        <v>1.1256077256513486</v>
      </c>
      <c r="BQ55" s="219">
        <f t="shared" si="477"/>
        <v>65.790131130134696</v>
      </c>
      <c r="BR55" s="220">
        <f t="shared" si="503"/>
        <v>26.261252837891181</v>
      </c>
      <c r="BS55" s="219">
        <f t="shared" si="504"/>
        <v>82.502684115663428</v>
      </c>
      <c r="BT55" s="219">
        <f t="shared" si="505"/>
        <v>18.257437099971472</v>
      </c>
      <c r="BU55" s="219">
        <f t="shared" si="506"/>
        <v>3.3810203980259397</v>
      </c>
      <c r="BV55" s="219">
        <f t="shared" si="507"/>
        <v>1.4211487502717084</v>
      </c>
      <c r="BW55" s="219">
        <f t="shared" si="508"/>
        <v>0.36005614624034193</v>
      </c>
      <c r="BX55" s="220">
        <f t="shared" si="509"/>
        <v>7.5028842859912334E-2</v>
      </c>
      <c r="BY55" s="195"/>
      <c r="BZ55" s="192">
        <v>7</v>
      </c>
      <c r="CA55" s="66">
        <v>2011</v>
      </c>
      <c r="CB55" s="218">
        <f>pAsympt_NoCare_Asympt_Dead_2010_2012*AS54</f>
        <v>29.558195855052215</v>
      </c>
      <c r="CC55" s="218">
        <f t="shared" si="478"/>
        <v>8.098002526655625</v>
      </c>
      <c r="CD55" s="73">
        <f t="shared" si="479"/>
        <v>8.3882658660957627</v>
      </c>
      <c r="CE55" s="73">
        <f>pInt_NoCare_Int_Dead_2010_2012*AW54</f>
        <v>39.057728711758763</v>
      </c>
      <c r="CF55" s="73">
        <f t="shared" si="480"/>
        <v>20.083571986298892</v>
      </c>
      <c r="CG55" s="73">
        <f t="shared" si="481"/>
        <v>2.8229202913528648</v>
      </c>
      <c r="CH55" s="73">
        <f t="shared" si="482"/>
        <v>0.34755203070882101</v>
      </c>
      <c r="CI55" s="73">
        <f t="shared" si="483"/>
        <v>7.9097595934426561</v>
      </c>
      <c r="CJ55" s="73">
        <f t="shared" si="484"/>
        <v>2.7713412270907152</v>
      </c>
      <c r="CK55" s="73">
        <f t="shared" si="485"/>
        <v>0.1541294264954309</v>
      </c>
      <c r="CL55" s="73">
        <f t="shared" si="486"/>
        <v>8.7046255748921414E-3</v>
      </c>
      <c r="CM55" s="73">
        <f>pAIDS_NoCare_AIDS_Dead_2010_2012*BC54</f>
        <v>250.4408171812444</v>
      </c>
      <c r="CN55" s="73">
        <f t="shared" si="488"/>
        <v>351.59092719631116</v>
      </c>
      <c r="CO55" s="73">
        <f t="shared" si="489"/>
        <v>74.916365242418763</v>
      </c>
      <c r="CP55" s="73">
        <f t="shared" si="490"/>
        <v>7.7619117044892416</v>
      </c>
      <c r="CQ55" s="73">
        <f t="shared" si="491"/>
        <v>1.2359395534405677</v>
      </c>
      <c r="CR55" s="73">
        <f t="shared" si="492"/>
        <v>23.045459308544</v>
      </c>
      <c r="CS55" s="73">
        <f t="shared" si="493"/>
        <v>4.5161470159533028</v>
      </c>
      <c r="CT55" s="73">
        <f t="shared" si="494"/>
        <v>27.25244350401767</v>
      </c>
      <c r="CU55" s="73">
        <f t="shared" si="495"/>
        <v>4.1611600918467584</v>
      </c>
      <c r="CV55" s="73">
        <f t="shared" si="496"/>
        <v>0.24142268649926851</v>
      </c>
      <c r="CW55" s="73">
        <f t="shared" si="497"/>
        <v>0.17624451302164013</v>
      </c>
      <c r="CX55" s="73">
        <f t="shared" si="498"/>
        <v>0</v>
      </c>
      <c r="CY55" s="73">
        <f t="shared" si="499"/>
        <v>0</v>
      </c>
      <c r="CZ55" s="190"/>
      <c r="DA55" s="66">
        <v>2011</v>
      </c>
      <c r="DB55" s="218">
        <f t="shared" si="467"/>
        <v>1658.8066681701557</v>
      </c>
      <c r="DC55" s="218">
        <f t="shared" si="468"/>
        <v>7369.3519091812013</v>
      </c>
      <c r="DD55" s="73">
        <f t="shared" si="469"/>
        <v>2167.9009298778406</v>
      </c>
      <c r="DE55" s="73">
        <f t="shared" si="470"/>
        <v>1266.7455630862275</v>
      </c>
      <c r="DF55" s="73">
        <f t="shared" si="471"/>
        <v>1427.1927225898917</v>
      </c>
      <c r="DG55" s="73">
        <f t="shared" si="472"/>
        <v>3392.7398358981063</v>
      </c>
      <c r="DH55" s="72">
        <f t="shared" si="500"/>
        <v>0.38986530890839266</v>
      </c>
      <c r="DI55" s="72">
        <f t="shared" si="501"/>
        <v>0.47022070617638601</v>
      </c>
      <c r="DJ55" s="73">
        <f>SUM(AV48:AV55,BB48:BB55,BI48:BI55)</f>
        <v>2706.0880908187983</v>
      </c>
      <c r="DK55" s="218">
        <f>SUM(AV54:AV55,BB54:BB55,BI54:BI55)</f>
        <v>1712.5904091328018</v>
      </c>
      <c r="DL55" s="190"/>
    </row>
    <row r="56" spans="1:116" x14ac:dyDescent="0.25">
      <c r="A56" s="190"/>
      <c r="B56" s="68">
        <v>2006</v>
      </c>
      <c r="C56" s="185" t="s">
        <v>325</v>
      </c>
      <c r="D56" s="169">
        <v>0</v>
      </c>
      <c r="E56" s="169">
        <v>0</v>
      </c>
      <c r="F56" s="169">
        <v>0</v>
      </c>
      <c r="G56" s="169">
        <v>0</v>
      </c>
      <c r="H56" s="169">
        <v>0</v>
      </c>
      <c r="I56" s="169">
        <v>0</v>
      </c>
      <c r="J56" s="171">
        <f>pInt_LTFU_Int_ART1_2004_2012</f>
        <v>0.1414</v>
      </c>
      <c r="K56" s="171">
        <f>pInt_LTFU_Int_ART2_2004_2012</f>
        <v>0.1515</v>
      </c>
      <c r="L56" s="172">
        <f>pInt_LTFU_2004_2012</f>
        <v>0.43882838478243957</v>
      </c>
      <c r="M56" s="171">
        <f>pInt_LTFU_Int_Dead_2004_2012</f>
        <v>2.7888537361361161E-2</v>
      </c>
      <c r="N56" s="169">
        <v>0</v>
      </c>
      <c r="O56" s="169">
        <v>0</v>
      </c>
      <c r="P56" s="169">
        <v>0</v>
      </c>
      <c r="Q56" s="169">
        <v>0</v>
      </c>
      <c r="R56" s="169">
        <v>0</v>
      </c>
      <c r="S56" s="170">
        <f>pInt_LTFU_AIDS_LTFU_2004_2012</f>
        <v>0.24038307785619925</v>
      </c>
      <c r="T56" s="169">
        <v>0</v>
      </c>
      <c r="U56" s="61">
        <f t="shared" si="473"/>
        <v>1</v>
      </c>
      <c r="V56" s="190"/>
      <c r="W56" s="66">
        <v>8</v>
      </c>
      <c r="X56" s="66">
        <v>2012</v>
      </c>
      <c r="Y56" s="70">
        <f>MMULT($Y55:$AO55,D$180:D$196)</f>
        <v>6.4796165047057069E-2</v>
      </c>
      <c r="Z56" s="70">
        <f t="shared" ref="Z56" si="590">MMULT($Y55:$AO55,E$180:E$196)</f>
        <v>2.1843525905788912E-2</v>
      </c>
      <c r="AA56" s="70">
        <f t="shared" ref="AA56" si="591">MMULT($Y55:$AO55,F$180:F$196)</f>
        <v>3.9522037012073782E-2</v>
      </c>
      <c r="AB56" s="70">
        <f t="shared" ref="AB56" si="592">MMULT($Y55:$AO55,G$180:G$196)</f>
        <v>3.2279679090595247E-3</v>
      </c>
      <c r="AC56" s="70">
        <f t="shared" ref="AC56" si="593">MMULT($Y55:$AO55,H$180:H$196)</f>
        <v>6.7087552151419094E-2</v>
      </c>
      <c r="AD56" s="70">
        <f t="shared" ref="AD56" si="594">MMULT($Y55:$AO55,I$180:I$196)</f>
        <v>3.9104686877750108E-2</v>
      </c>
      <c r="AE56" s="70">
        <f t="shared" ref="AE56" si="595">MMULT($Y55:$AO55,J$180:J$196)</f>
        <v>9.3901181271093023E-2</v>
      </c>
      <c r="AF56" s="70">
        <f t="shared" ref="AF56" si="596">MMULT($Y55:$AO55,K$180:K$196)</f>
        <v>1.9618510573089502E-2</v>
      </c>
      <c r="AG56" s="70">
        <f t="shared" ref="AG56" si="597">MMULT($Y55:$AO55,L$180:L$196)</f>
        <v>3.8378424385758753E-2</v>
      </c>
      <c r="AH56" s="70">
        <f t="shared" ref="AH56" si="598">MMULT($Y55:$AO55,M$180:M$196)</f>
        <v>5.7966356658971764E-3</v>
      </c>
      <c r="AI56" s="70">
        <f t="shared" ref="AI56" si="599">MMULT($Y55:$AO55,N$180:N$196)</f>
        <v>3.2643231150590306E-2</v>
      </c>
      <c r="AJ56" s="70">
        <f t="shared" ref="AJ56" si="600">MMULT($Y55:$AO55,O$180:O$196)</f>
        <v>5.7361820503332731E-2</v>
      </c>
      <c r="AK56" s="70">
        <f t="shared" ref="AK56" si="601">MMULT($Y55:$AO55,P$180:P$196)</f>
        <v>4.3869247188292229E-2</v>
      </c>
      <c r="AL56" s="70">
        <f t="shared" ref="AL56" si="602">MMULT($Y55:$AO55,Q$180:Q$196)</f>
        <v>0.10698003308425716</v>
      </c>
      <c r="AM56" s="70">
        <f t="shared" ref="AM56" si="603">MMULT($Y55:$AO55,R$180:R$196)</f>
        <v>1.0117208710132747E-2</v>
      </c>
      <c r="AN56" s="70">
        <f t="shared" ref="AN56" si="604">MMULT($Y55:$AO55,S$180:S$196)</f>
        <v>2.1065556458080871E-2</v>
      </c>
      <c r="AO56" s="70">
        <f t="shared" ref="AO56" si="605">MMULT($Y55:$AO55,T$180:T$196)</f>
        <v>6.6103594323179318E-2</v>
      </c>
      <c r="AP56" s="190"/>
      <c r="AQ56" s="66">
        <v>8</v>
      </c>
      <c r="AR56" s="66">
        <v>2012</v>
      </c>
      <c r="AS56" s="215">
        <f t="shared" si="450"/>
        <v>652.84987316172067</v>
      </c>
      <c r="AT56" s="215">
        <f t="shared" si="451"/>
        <v>220.08313465222184</v>
      </c>
      <c r="AU56" s="215">
        <f t="shared" si="452"/>
        <v>398.20191259292869</v>
      </c>
      <c r="AV56" s="215">
        <f t="shared" si="453"/>
        <v>32.5231969896547</v>
      </c>
      <c r="AW56" s="215">
        <f t="shared" si="454"/>
        <v>675.93660644849399</v>
      </c>
      <c r="AX56" s="215">
        <f t="shared" si="455"/>
        <v>393.99692635555857</v>
      </c>
      <c r="AY56" s="215">
        <f t="shared" si="456"/>
        <v>946.09571782602154</v>
      </c>
      <c r="AZ56" s="215">
        <f t="shared" si="457"/>
        <v>197.6651261685289</v>
      </c>
      <c r="BA56" s="215">
        <f t="shared" si="458"/>
        <v>386.6795121932492</v>
      </c>
      <c r="BB56" s="215">
        <f t="shared" si="459"/>
        <v>58.403654853607051</v>
      </c>
      <c r="BC56" s="215">
        <f t="shared" si="460"/>
        <v>328.89491686390363</v>
      </c>
      <c r="BD56" s="215">
        <f t="shared" si="461"/>
        <v>577.94558077209877</v>
      </c>
      <c r="BE56" s="215">
        <f t="shared" si="462"/>
        <v>442.00196789080707</v>
      </c>
      <c r="BF56" s="215">
        <f t="shared" si="463"/>
        <v>1077.870904538448</v>
      </c>
      <c r="BG56" s="215">
        <f t="shared" si="464"/>
        <v>101.93532932641989</v>
      </c>
      <c r="BH56" s="215">
        <f t="shared" si="465"/>
        <v>212.24475016000633</v>
      </c>
      <c r="BI56" s="215">
        <f t="shared" si="466"/>
        <v>666.02279838753384</v>
      </c>
      <c r="BJ56" s="194"/>
      <c r="BK56" s="66">
        <v>8</v>
      </c>
      <c r="BL56" s="66">
        <v>2012</v>
      </c>
      <c r="BM56" s="215">
        <f t="shared" si="474"/>
        <v>218.94863640425899</v>
      </c>
      <c r="BN56" s="219">
        <f t="shared" si="475"/>
        <v>149.68526775497494</v>
      </c>
      <c r="BO56" s="219">
        <f t="shared" si="476"/>
        <v>15.665261726156857</v>
      </c>
      <c r="BP56" s="219">
        <f t="shared" si="502"/>
        <v>2.3803463078583968</v>
      </c>
      <c r="BQ56" s="219">
        <f t="shared" si="477"/>
        <v>59.292472744281582</v>
      </c>
      <c r="BR56" s="220">
        <f t="shared" si="503"/>
        <v>38.325676742970927</v>
      </c>
      <c r="BS56" s="219">
        <f t="shared" si="504"/>
        <v>81.389832344986971</v>
      </c>
      <c r="BT56" s="219">
        <f t="shared" si="505"/>
        <v>20.465410892476633</v>
      </c>
      <c r="BU56" s="219">
        <f t="shared" si="506"/>
        <v>8.2556442680911619</v>
      </c>
      <c r="BV56" s="219">
        <f t="shared" si="507"/>
        <v>2.8199312690237504</v>
      </c>
      <c r="BW56" s="219">
        <f t="shared" si="508"/>
        <v>1.4090147301332117</v>
      </c>
      <c r="BX56" s="220">
        <f t="shared" si="509"/>
        <v>0.28676716804214797</v>
      </c>
      <c r="BY56" s="195"/>
      <c r="BZ56" s="192">
        <v>8</v>
      </c>
      <c r="CA56" s="66">
        <v>2012</v>
      </c>
      <c r="CB56" s="218">
        <f>pAsympt_NoCare_Asympt_Dead_2010_2012*AS55</f>
        <v>18.732804739969069</v>
      </c>
      <c r="CC56" s="218">
        <f t="shared" si="478"/>
        <v>5.6011903655093089</v>
      </c>
      <c r="CD56" s="73">
        <f t="shared" si="479"/>
        <v>8.1892018841763203</v>
      </c>
      <c r="CE56" s="73">
        <f>pInt_NoCare_Int_Dead_2010_2012*AW55</f>
        <v>27.606972553086361</v>
      </c>
      <c r="CF56" s="73">
        <f t="shared" si="480"/>
        <v>14.75025271603768</v>
      </c>
      <c r="CG56" s="73">
        <f t="shared" si="481"/>
        <v>3.8941402444695896</v>
      </c>
      <c r="CH56" s="73">
        <f t="shared" si="482"/>
        <v>0.66315495975723304</v>
      </c>
      <c r="CI56" s="73">
        <f t="shared" si="483"/>
        <v>7.3771730448201582</v>
      </c>
      <c r="CJ56" s="73">
        <f t="shared" si="484"/>
        <v>3.7889877878675926</v>
      </c>
      <c r="CK56" s="73">
        <f t="shared" si="485"/>
        <v>0.29158199445737237</v>
      </c>
      <c r="CL56" s="73">
        <f t="shared" si="486"/>
        <v>3.1391553111064396E-2</v>
      </c>
      <c r="CM56" s="73">
        <f>pAIDS_NoCare_AIDS_Dead_2010_2012*BC55</f>
        <v>189.77183873038319</v>
      </c>
      <c r="CN56" s="73">
        <f t="shared" si="488"/>
        <v>295.38725378522184</v>
      </c>
      <c r="CO56" s="73">
        <f t="shared" si="489"/>
        <v>77.040220349560713</v>
      </c>
      <c r="CP56" s="73">
        <f t="shared" si="490"/>
        <v>17.951622130772176</v>
      </c>
      <c r="CQ56" s="73">
        <f t="shared" si="491"/>
        <v>4.5699287877072621</v>
      </c>
      <c r="CR56" s="73">
        <f t="shared" si="492"/>
        <v>27.007818463797495</v>
      </c>
      <c r="CS56" s="73">
        <f t="shared" si="493"/>
        <v>10.780631336251902</v>
      </c>
      <c r="CT56" s="73">
        <f t="shared" si="494"/>
        <v>33.868567779024353</v>
      </c>
      <c r="CU56" s="73">
        <f t="shared" si="495"/>
        <v>7.494947013175552</v>
      </c>
      <c r="CV56" s="73">
        <f t="shared" si="496"/>
        <v>1.3879587038922199</v>
      </c>
      <c r="CW56" s="73">
        <f t="shared" si="497"/>
        <v>0.5834025073072141</v>
      </c>
      <c r="CX56" s="73">
        <f t="shared" si="498"/>
        <v>0.14780835464818703</v>
      </c>
      <c r="CY56" s="73">
        <f t="shared" si="499"/>
        <v>3.0800445791802643E-2</v>
      </c>
      <c r="CZ56" s="190"/>
      <c r="DA56" s="66">
        <v>2012</v>
      </c>
      <c r="DB56" s="218">
        <f t="shared" si="467"/>
        <v>1192.0256417798792</v>
      </c>
      <c r="DC56" s="218">
        <f t="shared" si="468"/>
        <v>6612.4022589504075</v>
      </c>
      <c r="DD56" s="73">
        <f t="shared" si="469"/>
        <v>2765.5690457502255</v>
      </c>
      <c r="DE56" s="73">
        <f t="shared" si="470"/>
        <v>1621.8082017556749</v>
      </c>
      <c r="DF56" s="73">
        <f t="shared" si="471"/>
        <v>1119.0852477960088</v>
      </c>
      <c r="DG56" s="73">
        <f t="shared" si="472"/>
        <v>2575.6982927933104</v>
      </c>
      <c r="DH56" s="72">
        <f t="shared" si="500"/>
        <v>0.51777394211171335</v>
      </c>
      <c r="DI56" s="72">
        <f t="shared" si="501"/>
        <v>0.59170786154454391</v>
      </c>
      <c r="DJ56" s="73">
        <f>SUM(AV48:AV56,BB48:BB56,BI48:BI56)</f>
        <v>3463.0377410495939</v>
      </c>
      <c r="DK56" s="73">
        <f>SUM(AV54:AV56,BB54:BB56,BI54:BI56)</f>
        <v>2469.5400593635977</v>
      </c>
      <c r="DL56" s="190"/>
    </row>
    <row r="57" spans="1:116" x14ac:dyDescent="0.25">
      <c r="A57" s="190"/>
      <c r="B57" s="68">
        <v>2006</v>
      </c>
      <c r="C57" s="185" t="s">
        <v>326</v>
      </c>
      <c r="D57" s="169">
        <v>0</v>
      </c>
      <c r="E57" s="169">
        <v>0</v>
      </c>
      <c r="F57" s="169">
        <v>0</v>
      </c>
      <c r="G57" s="169">
        <v>0</v>
      </c>
      <c r="H57" s="169">
        <v>0</v>
      </c>
      <c r="I57" s="169">
        <v>0</v>
      </c>
      <c r="J57" s="169">
        <v>0</v>
      </c>
      <c r="K57" s="169">
        <v>0</v>
      </c>
      <c r="L57" s="169">
        <v>0</v>
      </c>
      <c r="M57" s="169">
        <v>0</v>
      </c>
      <c r="N57" s="169">
        <v>0</v>
      </c>
      <c r="O57" s="169">
        <v>0</v>
      </c>
      <c r="P57" s="169">
        <v>0</v>
      </c>
      <c r="Q57" s="169">
        <v>0</v>
      </c>
      <c r="R57" s="169">
        <v>0</v>
      </c>
      <c r="S57" s="169">
        <v>0</v>
      </c>
      <c r="T57" s="169">
        <v>0</v>
      </c>
      <c r="U57" s="61">
        <f t="shared" si="473"/>
        <v>0</v>
      </c>
      <c r="V57" s="190"/>
      <c r="W57" s="66">
        <v>9</v>
      </c>
      <c r="X57" s="66">
        <v>2013</v>
      </c>
      <c r="Y57" s="70">
        <f>MMULT($Y56:$AO56,D$202:D$218)</f>
        <v>4.1065223117054975E-2</v>
      </c>
      <c r="Z57" s="70">
        <f t="shared" ref="Z57:Z67" si="606">MMULT($Y56:$AO56,E$202:E$218)</f>
        <v>1.436725133003827E-2</v>
      </c>
      <c r="AA57" s="70">
        <f t="shared" ref="AA57:AA67" si="607">MMULT($Y56:$AO56,F$202:F$218)</f>
        <v>3.2411167326228993E-2</v>
      </c>
      <c r="AB57" s="70">
        <f t="shared" ref="AB57:AB67" si="608">MMULT($Y56:$AO56,G$202:G$218)</f>
        <v>2.269749263801136E-3</v>
      </c>
      <c r="AC57" s="70">
        <f t="shared" ref="AC57:AC67" si="609">MMULT($Y56:$AO56,H$202:H$218)</f>
        <v>4.4806027409578508E-2</v>
      </c>
      <c r="AD57" s="70">
        <f t="shared" ref="AD57:AD67" si="610">MMULT($Y56:$AO56,I$202:I$218)</f>
        <v>2.6497177148528745E-2</v>
      </c>
      <c r="AE57" s="70">
        <f t="shared" ref="AE57:AE67" si="611">MMULT($Y56:$AO56,J$202:J$218)</f>
        <v>0.10850659082857878</v>
      </c>
      <c r="AF57" s="70">
        <f t="shared" ref="AF57:AF67" si="612">MMULT($Y56:$AO56,K$202:K$218)</f>
        <v>2.664004620434756E-2</v>
      </c>
      <c r="AG57" s="70">
        <f t="shared" ref="AG57:AG67" si="613">MMULT($Y56:$AO56,L$202:L$218)</f>
        <v>3.1964910478304902E-2</v>
      </c>
      <c r="AH57" s="70">
        <f t="shared" ref="AH57:AH67" si="614">MMULT($Y56:$AO56,M$202:M$218)</f>
        <v>4.538668298993161E-3</v>
      </c>
      <c r="AI57" s="70">
        <f t="shared" ref="AI57:AI67" si="615">MMULT($Y56:$AO56,N$202:N$218)</f>
        <v>2.2380525055847637E-2</v>
      </c>
      <c r="AJ57" s="70">
        <f t="shared" ref="AJ57:AJ67" si="616">MMULT($Y56:$AO56,O$202:O$218)</f>
        <v>4.0718872740305036E-2</v>
      </c>
      <c r="AK57" s="70">
        <f t="shared" ref="AK57:AK67" si="617">MMULT($Y56:$AO56,P$202:P$218)</f>
        <v>3.4464634766742885E-2</v>
      </c>
      <c r="AL57" s="70">
        <f t="shared" ref="AL57:AL67" si="618">MMULT($Y56:$AO56,Q$202:Q$218)</f>
        <v>0.13579093838554052</v>
      </c>
      <c r="AM57" s="70">
        <f t="shared" ref="AM57:AM67" si="619">MMULT($Y56:$AO56,R$202:R$218)</f>
        <v>1.705283408265186E-2</v>
      </c>
      <c r="AN57" s="70">
        <f t="shared" ref="AN57:AN67" si="620">MMULT($Y56:$AO56,S$202:S$218)</f>
        <v>1.8478713459680173E-2</v>
      </c>
      <c r="AO57" s="70">
        <f t="shared" ref="AO57:AO67" si="621">MMULT($Y56:$AO56,T$202:T$218)</f>
        <v>5.4335850422493115E-2</v>
      </c>
      <c r="AP57" s="190"/>
      <c r="AQ57" s="66">
        <v>9</v>
      </c>
      <c r="AR57" s="66">
        <v>2013</v>
      </c>
      <c r="AS57" s="215">
        <f t="shared" si="450"/>
        <v>413.75019160250042</v>
      </c>
      <c r="AT57" s="215">
        <f t="shared" si="451"/>
        <v>144.75637874072081</v>
      </c>
      <c r="AU57" s="215">
        <f t="shared" si="452"/>
        <v>326.55677172538066</v>
      </c>
      <c r="AV57" s="215">
        <f t="shared" si="453"/>
        <v>22.86872252247252</v>
      </c>
      <c r="AW57" s="215">
        <f t="shared" si="454"/>
        <v>451.44044080356372</v>
      </c>
      <c r="AX57" s="215">
        <f t="shared" si="455"/>
        <v>266.97071852937245</v>
      </c>
      <c r="AY57" s="215">
        <f t="shared" si="456"/>
        <v>1093.2516454978959</v>
      </c>
      <c r="AZ57" s="215">
        <f t="shared" si="457"/>
        <v>268.4101871291316</v>
      </c>
      <c r="BA57" s="215">
        <f t="shared" si="458"/>
        <v>322.06053762953235</v>
      </c>
      <c r="BB57" s="215">
        <f t="shared" si="459"/>
        <v>45.729080126407659</v>
      </c>
      <c r="BC57" s="215">
        <f t="shared" si="460"/>
        <v>225.49363736868952</v>
      </c>
      <c r="BD57" s="215">
        <f t="shared" si="461"/>
        <v>410.260559162579</v>
      </c>
      <c r="BE57" s="215">
        <f t="shared" si="462"/>
        <v>347.24635971423197</v>
      </c>
      <c r="BF57" s="215">
        <f t="shared" si="463"/>
        <v>1368.1534522472105</v>
      </c>
      <c r="BG57" s="215">
        <f t="shared" si="464"/>
        <v>171.81480662971387</v>
      </c>
      <c r="BH57" s="215">
        <f t="shared" si="465"/>
        <v>186.18116874020001</v>
      </c>
      <c r="BI57" s="215">
        <f t="shared" si="466"/>
        <v>547.45760078080411</v>
      </c>
      <c r="BJ57" s="194"/>
      <c r="BK57" s="66">
        <v>9</v>
      </c>
      <c r="BL57" s="66">
        <v>2013</v>
      </c>
      <c r="BM57" s="215">
        <f t="shared" ref="BM57:BM67" si="622">(AX56*pInt_InCare_Int_LTFU_2013plus_u)+(BM56*pInt_LTFU_2013plus_u)</f>
        <v>159.13781277999229</v>
      </c>
      <c r="BN57" s="219">
        <f t="shared" ref="BN57:BN67" si="623">(AU56*pAsympt_LTFU_Int_LTFU_2013plus_u)+(BN56*pInt_LTFU_2013plus_u)</f>
        <v>139.27924197592739</v>
      </c>
      <c r="BO57" s="219">
        <f t="shared" ref="BO57:BO67" si="624">(AY56*pInt_ART1_Int_LTFU_2013plus_u)+(BO56*pInt_LTFU_2013plus_u)</f>
        <v>19.85156869079627</v>
      </c>
      <c r="BP57" s="219">
        <f t="shared" ref="BP57:BP67" si="625">(AZ56*pInt_ART2_Int_LTFU_2013plus_u)+(BP56*pInt_LTFU_2013plus_u)</f>
        <v>3.7919141828164151</v>
      </c>
      <c r="BQ57" s="219">
        <f t="shared" ref="BQ57:BQ67" si="626">(BD56*pAIDS_InCare_AIDS_LTFU_2013plus_u)+(BQ56*pAIDS_LTFU_2013plus_u)</f>
        <v>42.588829427719908</v>
      </c>
      <c r="BR57" s="220">
        <f t="shared" ref="BR57:BR67" si="627">(BN56*pInt_LTFU_AIDS_LTFU_2013plus_u)+(BR56*pAIDS_LTFU_2013plus_u)</f>
        <v>41.542296212644445</v>
      </c>
      <c r="BS57" s="219">
        <f t="shared" ref="BS57:BS67" si="628">(BM56*pInt_LTFU_AIDS_LTFU_2013plus_u)+(BS56*pAIDS_LTFU_2013plus_u)</f>
        <v>64.440012236533164</v>
      </c>
      <c r="BT57" s="219">
        <f t="shared" ref="BT57:BT67" si="629">(BE56*pAIDS_ART1ear_AIDS_LTFU_2013plus_u)+(BT56*pAIDS_LTFU_2013plus_u)</f>
        <v>16.983034846730011</v>
      </c>
      <c r="BU57" s="219">
        <f t="shared" ref="BU57:BU67" si="630">(BF56*pAIDS_ART1late_AIDS_LTFU_2013plus_u)+(BU56*pAIDS_LTFU_2013plus_u)</f>
        <v>12.83624966004049</v>
      </c>
      <c r="BV57" s="219">
        <f t="shared" ref="BV57:BV67" si="631">(BO56*pInt_LTFU_AIDS_LTFU_2013plus_u)+(BV56*pAIDS_LTFU_2013plus_u)</f>
        <v>4.1747942952907859</v>
      </c>
      <c r="BW57" s="219">
        <f t="shared" ref="BW57:BW67" si="632">(BG56*pAIDS_ART2_AIDS_LTFU_2013plus_u)+(BW56*pAIDS_LTFU_2013plus_u)</f>
        <v>3.0021513997730178</v>
      </c>
      <c r="BX57" s="220">
        <f t="shared" ref="BX57:BX67" si="633">(BP56*pInt_LTFU_AIDS_LTFU_2013plus_u)+(BX56*pAIDS_LTFU_2013plus_u)</f>
        <v>0.61380066146818679</v>
      </c>
      <c r="BY57" s="195"/>
      <c r="BZ57" s="192">
        <v>9</v>
      </c>
      <c r="CA57" s="66">
        <v>2013</v>
      </c>
      <c r="CB57" s="218">
        <f t="shared" ref="CB57:CB67" si="634">pAsympt_NoCare_Asympt_Dead_2013plus_u*AS56</f>
        <v>11.872103938502972</v>
      </c>
      <c r="CC57" s="218">
        <f t="shared" ref="CC57:CC67" si="635">pAsympt_InCare_Asympt_Dead_2013plus_u*AT56</f>
        <v>3.7552991181038431</v>
      </c>
      <c r="CD57" s="73">
        <f t="shared" ref="CD57:CD67" si="636">pAsympt_LTFU_Asympt_Dead_2013plus_u*AU56</f>
        <v>7.2413194658657059</v>
      </c>
      <c r="CE57" s="73">
        <f t="shared" ref="CE57:CE67" si="637">pInt_NoCare_Int_Dead_2013plus_u*AW56</f>
        <v>18.850883302850502</v>
      </c>
      <c r="CF57" s="73">
        <f t="shared" ref="CF57:CF67" si="638">pInt_InCare_Int_Dead_2013plus_u*AX56</f>
        <v>10.310078639128612</v>
      </c>
      <c r="CG57" s="73">
        <f t="shared" ref="CG57:CG67" si="639">pInt_ART1_Int_Dead_2013plus_u*AY56</f>
        <v>4.7845661652538345</v>
      </c>
      <c r="CH57" s="73">
        <f t="shared" ref="CH57:CH67" si="640">pInt_ART2_Int_Dead_2013plus_u*AZ56</f>
        <v>0.99962599650037431</v>
      </c>
      <c r="CI57" s="73">
        <f t="shared" ref="CI57:CI67" si="641">(BM56*pInt_LTFU_Int_Dead_2013plus_u)</f>
        <v>6.1061572265792572</v>
      </c>
      <c r="CJ57" s="73">
        <f t="shared" ref="CJ57:CJ67" si="642">(BN56*pInt_LTFU_Int_Dead_2013plus_u)</f>
        <v>4.1745031822299676</v>
      </c>
      <c r="CK57" s="73">
        <f t="shared" ref="CK57:CK67" si="643">(BO56*pInt_LTFU_Int_Dead_2013plus_u)</f>
        <v>0.43688123692542652</v>
      </c>
      <c r="CL57" s="73">
        <f t="shared" ref="CL57:CL67" si="644">(BP56*pInt_LTFU_Int_Dead_2013plus_u)</f>
        <v>6.6384376939687004E-2</v>
      </c>
      <c r="CM57" s="73">
        <f t="shared" ref="CM57:CM67" si="645">pAIDS_NoCare_AIDS_Dead_2013plus_u*BC56</f>
        <v>135.01621072552334</v>
      </c>
      <c r="CN57" s="73">
        <f t="shared" ref="CN57:CN67" si="646">pAIDS_InCare_AIDS_Dead_2013plus_u*BD56</f>
        <v>222.61740047776945</v>
      </c>
      <c r="CO57" s="73">
        <f t="shared" ref="CO57:CO67" si="647">pAIDS_ART1ear_AIDS_Dead_2013plus_u*BE56</f>
        <v>65.330062612369204</v>
      </c>
      <c r="CP57" s="73">
        <f t="shared" ref="CP57:CP67" si="648">pAIDS_ART1late_AIDS_Dead_2013plus_u*BF56</f>
        <v>27.760776932591376</v>
      </c>
      <c r="CQ57" s="73">
        <f t="shared" ref="CQ57:CQ67" si="649">pAIDS_ART2_AIDS_Dead_2013plus_u*BG56</f>
        <v>9.6035519644617526</v>
      </c>
      <c r="CR57" s="73">
        <f t="shared" ref="CR57:CR67" si="650">(BQ56*pAIDS_LTFU_AIDS_Dead_2013plus_u)</f>
        <v>24.340433931947679</v>
      </c>
      <c r="CS57" s="73">
        <f t="shared" ref="CS57:CS67" si="651">(BR56*pAIDS_LTFU_AIDS_Dead_2013plus_u)</f>
        <v>15.733255158420373</v>
      </c>
      <c r="CT57" s="73">
        <f t="shared" ref="CT57:CT67" si="652">(BS56*pAIDS_LTFU_AIDS_Dead_2013plus_u)</f>
        <v>33.411725725615248</v>
      </c>
      <c r="CU57" s="73">
        <f t="shared" ref="CU57:CU67" si="653">(BT56*pAIDS_LTFU_AIDS_Dead_2013plus_u)</f>
        <v>8.4013527967853623</v>
      </c>
      <c r="CV57" s="73">
        <f t="shared" ref="CV57:CV67" si="654">(BU56*pAIDS_LTFU_AIDS_Dead_2013plus_u)</f>
        <v>3.3890636462368753</v>
      </c>
      <c r="CW57" s="73">
        <f t="shared" ref="CW57:CW67" si="655">(BV56*pAIDS_LTFU_AIDS_Dead_2013plus_u)</f>
        <v>1.1576233469353114</v>
      </c>
      <c r="CX57" s="73">
        <f t="shared" ref="CX57:CX67" si="656">(BW56*pAIDS_LTFU_AIDS_Dead_2013plus_u)</f>
        <v>0.57842131320549761</v>
      </c>
      <c r="CY57" s="73">
        <f t="shared" ref="CY57:CY67" si="657">(BX56*pAIDS_LTFU_AIDS_Dead_2013plus_u)</f>
        <v>0.11772214894267208</v>
      </c>
      <c r="CZ57" s="190"/>
      <c r="DA57" s="66">
        <v>2013</v>
      </c>
      <c r="DB57" s="218">
        <f t="shared" si="467"/>
        <v>821.98765643267234</v>
      </c>
      <c r="DC57" s="218">
        <f t="shared" si="468"/>
        <v>5996.3468555207219</v>
      </c>
      <c r="DD57" s="73">
        <f t="shared" si="469"/>
        <v>3248.8764512181838</v>
      </c>
      <c r="DE57" s="73">
        <f t="shared" si="470"/>
        <v>1887.2146185911565</v>
      </c>
      <c r="DF57" s="73">
        <f t="shared" si="471"/>
        <v>821.93536527146853</v>
      </c>
      <c r="DG57" s="73">
        <f t="shared" si="472"/>
        <v>1862.407062233937</v>
      </c>
      <c r="DH57" s="72">
        <f t="shared" si="500"/>
        <v>0.63562830014567473</v>
      </c>
      <c r="DI57" s="72">
        <f t="shared" si="501"/>
        <v>0.69660765547591508</v>
      </c>
      <c r="DJ57" s="73">
        <f>SUM(AV48:AV57,BB48:BB57,BI48:BI57)</f>
        <v>4079.0931444792782</v>
      </c>
      <c r="DK57" s="73">
        <f>SUM(AV54:AV57,BB54:BB57,BI54:BI57)</f>
        <v>3085.595462793282</v>
      </c>
      <c r="DL57" s="190"/>
    </row>
    <row r="58" spans="1:116" x14ac:dyDescent="0.25">
      <c r="A58" s="190"/>
      <c r="B58" s="68">
        <v>2006</v>
      </c>
      <c r="C58" s="185" t="s">
        <v>327</v>
      </c>
      <c r="D58" s="169">
        <v>0</v>
      </c>
      <c r="E58" s="169">
        <v>0</v>
      </c>
      <c r="F58" s="169">
        <v>0</v>
      </c>
      <c r="G58" s="169">
        <v>0</v>
      </c>
      <c r="H58" s="169">
        <v>0</v>
      </c>
      <c r="I58" s="169">
        <v>0</v>
      </c>
      <c r="J58" s="169">
        <v>0</v>
      </c>
      <c r="K58" s="169">
        <v>0</v>
      </c>
      <c r="L58" s="169">
        <v>0</v>
      </c>
      <c r="M58" s="169">
        <v>0</v>
      </c>
      <c r="N58" s="172">
        <f>pAIDS_NoCare_2004_2006</f>
        <v>0.44404723635105525</v>
      </c>
      <c r="O58" s="172">
        <f>pAIDS_NoCare_AIDS_InCare_2004_2006</f>
        <v>9.3850668696244199E-2</v>
      </c>
      <c r="P58" s="170">
        <f>pAIDS_NoCare_AIDS_ART1ear_2004_2006</f>
        <v>5.1587356649849515E-2</v>
      </c>
      <c r="Q58" s="169">
        <v>0</v>
      </c>
      <c r="R58" s="169">
        <v>0</v>
      </c>
      <c r="S58" s="169">
        <v>0</v>
      </c>
      <c r="T58" s="170">
        <f>pAIDS_NoCare_AIDS_Dead_2004_2006</f>
        <v>0.41051473830285101</v>
      </c>
      <c r="U58" s="61">
        <f t="shared" si="473"/>
        <v>0.99999999999999989</v>
      </c>
      <c r="V58" s="190"/>
      <c r="W58" s="66">
        <v>10</v>
      </c>
      <c r="X58" s="66">
        <v>2014</v>
      </c>
      <c r="Y58" s="70">
        <f t="shared" ref="Y58:Y67" si="658">MMULT($Y57:$AO57,D$202:D$218)</f>
        <v>2.6025499324363141E-2</v>
      </c>
      <c r="Z58" s="70">
        <f t="shared" si="606"/>
        <v>9.3348436493219875E-3</v>
      </c>
      <c r="AA58" s="70">
        <f t="shared" si="607"/>
        <v>2.5491754315761977E-2</v>
      </c>
      <c r="AB58" s="70">
        <f t="shared" si="608"/>
        <v>1.5813211772027639E-3</v>
      </c>
      <c r="AC58" s="70">
        <f t="shared" si="609"/>
        <v>2.948268849982592E-2</v>
      </c>
      <c r="AD58" s="70">
        <f t="shared" si="610"/>
        <v>1.7592969099059799E-2</v>
      </c>
      <c r="AE58" s="70">
        <f t="shared" si="611"/>
        <v>0.11882782107747207</v>
      </c>
      <c r="AF58" s="70">
        <f t="shared" si="612"/>
        <v>3.2550379846987255E-2</v>
      </c>
      <c r="AG58" s="70">
        <f t="shared" si="613"/>
        <v>2.5997718281716937E-2</v>
      </c>
      <c r="AH58" s="70">
        <f t="shared" si="614"/>
        <v>3.5178645026929228E-3</v>
      </c>
      <c r="AI58" s="70">
        <f t="shared" si="615"/>
        <v>1.498735097213707E-2</v>
      </c>
      <c r="AJ58" s="70">
        <f t="shared" si="616"/>
        <v>2.7877042345714864E-2</v>
      </c>
      <c r="AK58" s="70">
        <f t="shared" si="617"/>
        <v>2.5059622106563172E-2</v>
      </c>
      <c r="AL58" s="70">
        <f t="shared" si="618"/>
        <v>0.15495089595758205</v>
      </c>
      <c r="AM58" s="70">
        <f t="shared" si="619"/>
        <v>2.3425198201340734E-2</v>
      </c>
      <c r="AN58" s="70">
        <f t="shared" si="620"/>
        <v>1.5786273756883743E-2</v>
      </c>
      <c r="AO58" s="70">
        <f t="shared" si="621"/>
        <v>4.2655669218802435E-2</v>
      </c>
      <c r="AP58" s="190"/>
      <c r="AQ58" s="66">
        <v>10</v>
      </c>
      <c r="AR58" s="66">
        <v>2014</v>
      </c>
      <c r="AS58" s="215">
        <f t="shared" si="450"/>
        <v>262.21835691266136</v>
      </c>
      <c r="AT58" s="215">
        <f t="shared" si="451"/>
        <v>94.052657098124726</v>
      </c>
      <c r="AU58" s="215">
        <f t="shared" si="452"/>
        <v>256.84064110320088</v>
      </c>
      <c r="AV58" s="215">
        <f t="shared" si="453"/>
        <v>15.932506641635817</v>
      </c>
      <c r="AW58" s="215">
        <f t="shared" si="454"/>
        <v>297.05105901868609</v>
      </c>
      <c r="AX58" s="215">
        <f t="shared" si="455"/>
        <v>177.25690457943108</v>
      </c>
      <c r="AY58" s="215">
        <f t="shared" si="456"/>
        <v>1197.2425815968052</v>
      </c>
      <c r="AZ58" s="215">
        <f t="shared" si="457"/>
        <v>327.95939912552927</v>
      </c>
      <c r="BA58" s="215">
        <f t="shared" si="458"/>
        <v>261.93845068434211</v>
      </c>
      <c r="BB58" s="215">
        <f t="shared" si="459"/>
        <v>35.444032725012384</v>
      </c>
      <c r="BC58" s="215">
        <f t="shared" si="460"/>
        <v>151.00415547870873</v>
      </c>
      <c r="BD58" s="215">
        <f t="shared" si="461"/>
        <v>280.87346753170937</v>
      </c>
      <c r="BE58" s="215">
        <f t="shared" si="462"/>
        <v>252.48671895735086</v>
      </c>
      <c r="BF58" s="215">
        <f t="shared" si="463"/>
        <v>1561.1984551668606</v>
      </c>
      <c r="BG58" s="215">
        <f t="shared" si="464"/>
        <v>236.01917896571649</v>
      </c>
      <c r="BH58" s="215">
        <f t="shared" si="465"/>
        <v>159.05365406105676</v>
      </c>
      <c r="BI58" s="215">
        <f t="shared" si="466"/>
        <v>429.77463587389082</v>
      </c>
      <c r="BJ58" s="194"/>
      <c r="BK58" s="66">
        <v>10</v>
      </c>
      <c r="BL58" s="66">
        <v>2014</v>
      </c>
      <c r="BM58" s="215">
        <f t="shared" si="622"/>
        <v>112.12583766389807</v>
      </c>
      <c r="BN58" s="219">
        <f t="shared" si="623"/>
        <v>120.80415775926744</v>
      </c>
      <c r="BO58" s="219">
        <f t="shared" si="624"/>
        <v>23.636427514675844</v>
      </c>
      <c r="BP58" s="219">
        <f t="shared" si="625"/>
        <v>5.3720277465007458</v>
      </c>
      <c r="BQ58" s="219">
        <f t="shared" si="626"/>
        <v>30.304579300121372</v>
      </c>
      <c r="BR58" s="220">
        <f t="shared" si="627"/>
        <v>39.507547785163766</v>
      </c>
      <c r="BS58" s="219">
        <f t="shared" si="628"/>
        <v>47.60333327846304</v>
      </c>
      <c r="BT58" s="219">
        <f t="shared" si="629"/>
        <v>13.473538345903782</v>
      </c>
      <c r="BU58" s="219">
        <f t="shared" si="630"/>
        <v>16.635198576380787</v>
      </c>
      <c r="BV58" s="219">
        <f t="shared" si="631"/>
        <v>5.3776823050313958</v>
      </c>
      <c r="BW58" s="219">
        <f t="shared" si="632"/>
        <v>5.1512090381616176</v>
      </c>
      <c r="BX58" s="220">
        <f t="shared" si="633"/>
        <v>1.0005654318309796</v>
      </c>
      <c r="BY58" s="195"/>
      <c r="BZ58" s="192">
        <v>10</v>
      </c>
      <c r="CA58" s="66">
        <v>2014</v>
      </c>
      <c r="CB58" s="218">
        <f t="shared" si="634"/>
        <v>7.5240656102013332</v>
      </c>
      <c r="CC58" s="218">
        <f t="shared" si="635"/>
        <v>2.4699916342246935</v>
      </c>
      <c r="CD58" s="73">
        <f t="shared" si="636"/>
        <v>5.9384493972097898</v>
      </c>
      <c r="CE58" s="73">
        <f t="shared" si="637"/>
        <v>12.590013599779539</v>
      </c>
      <c r="CF58" s="73">
        <f t="shared" si="638"/>
        <v>6.9860674494159483</v>
      </c>
      <c r="CG58" s="73">
        <f t="shared" si="639"/>
        <v>5.5287585966214019</v>
      </c>
      <c r="CH58" s="73">
        <f t="shared" si="640"/>
        <v>1.3573957428942205</v>
      </c>
      <c r="CI58" s="73">
        <f t="shared" si="641"/>
        <v>4.4381208373201124</v>
      </c>
      <c r="CJ58" s="73">
        <f t="shared" si="642"/>
        <v>3.8842943435077126</v>
      </c>
      <c r="CK58" s="73">
        <f t="shared" si="643"/>
        <v>0.55363121511489921</v>
      </c>
      <c r="CL58" s="73">
        <f t="shared" si="644"/>
        <v>0.10575094035855087</v>
      </c>
      <c r="CM58" s="73">
        <f t="shared" si="645"/>
        <v>92.568461533365564</v>
      </c>
      <c r="CN58" s="73">
        <f t="shared" si="646"/>
        <v>158.02722996396452</v>
      </c>
      <c r="CO58" s="73">
        <f t="shared" si="647"/>
        <v>51.324718146169772</v>
      </c>
      <c r="CP58" s="73">
        <f t="shared" si="648"/>
        <v>35.237060985195953</v>
      </c>
      <c r="CQ58" s="73">
        <f t="shared" si="649"/>
        <v>16.187051482892937</v>
      </c>
      <c r="CR58" s="73">
        <f t="shared" si="650"/>
        <v>17.483342167145199</v>
      </c>
      <c r="CS58" s="73">
        <f t="shared" si="651"/>
        <v>17.053724858233252</v>
      </c>
      <c r="CT58" s="73">
        <f t="shared" si="652"/>
        <v>26.453574759512929</v>
      </c>
      <c r="CU58" s="73">
        <f t="shared" si="653"/>
        <v>6.9717861056935702</v>
      </c>
      <c r="CV58" s="73">
        <f t="shared" si="654"/>
        <v>5.2694696699815822</v>
      </c>
      <c r="CW58" s="73">
        <f t="shared" si="655"/>
        <v>1.7138145875995323</v>
      </c>
      <c r="CX58" s="73">
        <f t="shared" si="656"/>
        <v>1.2324273962233583</v>
      </c>
      <c r="CY58" s="73">
        <f t="shared" si="657"/>
        <v>0.25197421791272956</v>
      </c>
      <c r="CZ58" s="190"/>
      <c r="DA58" s="66">
        <v>2014</v>
      </c>
      <c r="DB58" s="218">
        <f t="shared" si="467"/>
        <v>552.18302920926521</v>
      </c>
      <c r="DC58" s="218">
        <f t="shared" si="468"/>
        <v>5515.1956802801833</v>
      </c>
      <c r="DD58" s="73">
        <f t="shared" si="469"/>
        <v>3574.9063338122623</v>
      </c>
      <c r="DE58" s="73">
        <f t="shared" si="470"/>
        <v>2049.7043530899282</v>
      </c>
      <c r="DF58" s="73">
        <f t="shared" si="471"/>
        <v>590.93127707147482</v>
      </c>
      <c r="DG58" s="73">
        <f t="shared" si="472"/>
        <v>1327.1776913539343</v>
      </c>
      <c r="DH58" s="72">
        <f t="shared" si="500"/>
        <v>0.7292625576100894</v>
      </c>
      <c r="DI58" s="72">
        <f t="shared" si="501"/>
        <v>0.7762162752324312</v>
      </c>
      <c r="DJ58" s="73">
        <f>SUM(AV48:AV58,BB48:BB58,BI48:BI58)</f>
        <v>4560.2443197198163</v>
      </c>
      <c r="DK58" s="73">
        <f>SUM(AV54:AV58,BB54:BB58,BI54:BI58)</f>
        <v>3566.746638033821</v>
      </c>
      <c r="DL58" s="190"/>
    </row>
    <row r="59" spans="1:116" x14ac:dyDescent="0.25">
      <c r="A59" s="190"/>
      <c r="B59" s="68">
        <v>2006</v>
      </c>
      <c r="C59" s="185" t="s">
        <v>328</v>
      </c>
      <c r="D59" s="169">
        <v>0</v>
      </c>
      <c r="E59" s="169">
        <v>0</v>
      </c>
      <c r="F59" s="169">
        <v>0</v>
      </c>
      <c r="G59" s="169">
        <v>0</v>
      </c>
      <c r="H59" s="169">
        <v>0</v>
      </c>
      <c r="I59" s="169">
        <v>0</v>
      </c>
      <c r="J59" s="169">
        <v>0</v>
      </c>
      <c r="K59" s="169">
        <v>0</v>
      </c>
      <c r="L59" s="169">
        <v>0</v>
      </c>
      <c r="M59" s="169">
        <v>0</v>
      </c>
      <c r="N59" s="169">
        <v>0</v>
      </c>
      <c r="O59" s="172">
        <f>pAIDS_InCare_2006</f>
        <v>0.42558857826765173</v>
      </c>
      <c r="P59" s="172">
        <f>pAIDS_InCare_AIDS_ART1ear_2006</f>
        <v>0.1304184671743987</v>
      </c>
      <c r="Q59" s="169">
        <v>0</v>
      </c>
      <c r="R59" s="169">
        <v>0</v>
      </c>
      <c r="S59" s="170">
        <f>pAIDS_InCare_AIDS_LTFU_2004_2012</f>
        <v>5.8805476905872532E-2</v>
      </c>
      <c r="T59" s="170">
        <f>pAIDS_InCare_AIDS_Dead_2004_2012</f>
        <v>0.385187477652077</v>
      </c>
      <c r="U59" s="61">
        <f t="shared" si="473"/>
        <v>1</v>
      </c>
      <c r="V59" s="190"/>
      <c r="W59" s="66">
        <v>11</v>
      </c>
      <c r="X59" s="66">
        <v>2015</v>
      </c>
      <c r="Y59" s="70">
        <f t="shared" si="658"/>
        <v>1.6493922683720252E-2</v>
      </c>
      <c r="Z59" s="70">
        <f t="shared" si="606"/>
        <v>6.0165843106862234E-3</v>
      </c>
      <c r="AA59" s="70">
        <f t="shared" si="607"/>
        <v>1.9446653623410866E-2</v>
      </c>
      <c r="AB59" s="70">
        <f t="shared" si="608"/>
        <v>1.0961248560641648E-3</v>
      </c>
      <c r="AC59" s="70">
        <f t="shared" si="609"/>
        <v>1.9200678610970398E-2</v>
      </c>
      <c r="AD59" s="70">
        <f t="shared" si="610"/>
        <v>1.1521981388494303E-2</v>
      </c>
      <c r="AE59" s="70">
        <f t="shared" si="611"/>
        <v>0.12565112232128228</v>
      </c>
      <c r="AF59" s="70">
        <f t="shared" si="612"/>
        <v>3.7410639005073874E-2</v>
      </c>
      <c r="AG59" s="70">
        <f t="shared" si="613"/>
        <v>2.0844863231373127E-2</v>
      </c>
      <c r="AH59" s="70">
        <f t="shared" si="614"/>
        <v>2.7731839241342698E-3</v>
      </c>
      <c r="AI59" s="70">
        <f t="shared" si="615"/>
        <v>9.8797952987752635E-3</v>
      </c>
      <c r="AJ59" s="70">
        <f t="shared" si="616"/>
        <v>1.8646268206401223E-2</v>
      </c>
      <c r="AK59" s="70">
        <f t="shared" si="617"/>
        <v>1.775536822042148E-2</v>
      </c>
      <c r="AL59" s="70">
        <f t="shared" si="618"/>
        <v>0.16510760739852687</v>
      </c>
      <c r="AM59" s="70">
        <f t="shared" si="619"/>
        <v>2.8983036004920429E-2</v>
      </c>
      <c r="AN59" s="70">
        <f t="shared" si="620"/>
        <v>1.3289648640868503E-2</v>
      </c>
      <c r="AO59" s="70">
        <f t="shared" si="621"/>
        <v>3.3272579709607196E-2</v>
      </c>
      <c r="AP59" s="190"/>
      <c r="AQ59" s="66">
        <v>11</v>
      </c>
      <c r="AR59" s="66">
        <v>2015</v>
      </c>
      <c r="AS59" s="215">
        <f t="shared" si="450"/>
        <v>166.18352836446238</v>
      </c>
      <c r="AT59" s="215">
        <f t="shared" si="451"/>
        <v>60.619734227260409</v>
      </c>
      <c r="AU59" s="215">
        <f t="shared" si="452"/>
        <v>195.93359178345878</v>
      </c>
      <c r="AV59" s="215">
        <f t="shared" si="453"/>
        <v>11.04394021978313</v>
      </c>
      <c r="AW59" s="215">
        <f t="shared" si="454"/>
        <v>193.45528530411559</v>
      </c>
      <c r="AX59" s="215">
        <f t="shared" si="455"/>
        <v>116.08903216089105</v>
      </c>
      <c r="AY59" s="215">
        <f t="shared" si="456"/>
        <v>1265.9903438807405</v>
      </c>
      <c r="AZ59" s="215">
        <f t="shared" si="457"/>
        <v>376.92864865728154</v>
      </c>
      <c r="BA59" s="215">
        <f t="shared" si="458"/>
        <v>210.02116879590608</v>
      </c>
      <c r="BB59" s="215">
        <f t="shared" si="459"/>
        <v>27.941048236579388</v>
      </c>
      <c r="BC59" s="215">
        <f t="shared" si="460"/>
        <v>99.543284745092251</v>
      </c>
      <c r="BD59" s="215">
        <f t="shared" si="461"/>
        <v>187.86935653750314</v>
      </c>
      <c r="BE59" s="215">
        <f t="shared" si="462"/>
        <v>178.89314718276341</v>
      </c>
      <c r="BF59" s="215">
        <f t="shared" si="463"/>
        <v>1663.5317918874136</v>
      </c>
      <c r="BG59" s="215">
        <f t="shared" si="464"/>
        <v>292.01684028541553</v>
      </c>
      <c r="BH59" s="215">
        <f t="shared" si="465"/>
        <v>133.89905750215217</v>
      </c>
      <c r="BI59" s="215">
        <f t="shared" si="466"/>
        <v>335.23588050936473</v>
      </c>
      <c r="BJ59" s="194"/>
      <c r="BK59" s="66">
        <v>11</v>
      </c>
      <c r="BL59" s="66">
        <v>2015</v>
      </c>
      <c r="BM59" s="215">
        <f t="shared" si="622"/>
        <v>77.022611663199712</v>
      </c>
      <c r="BN59" s="219">
        <f t="shared" si="623"/>
        <v>99.499933671668117</v>
      </c>
      <c r="BO59" s="219">
        <f t="shared" si="624"/>
        <v>26.640386931430033</v>
      </c>
      <c r="BP59" s="219">
        <f t="shared" si="625"/>
        <v>6.8582365296081855</v>
      </c>
      <c r="BQ59" s="219">
        <f t="shared" si="626"/>
        <v>20.913646026788388</v>
      </c>
      <c r="BR59" s="220">
        <f t="shared" si="627"/>
        <v>34.771238169421665</v>
      </c>
      <c r="BS59" s="219">
        <f t="shared" si="628"/>
        <v>33.859696031214781</v>
      </c>
      <c r="BT59" s="219">
        <f t="shared" si="629"/>
        <v>9.9599792125833275</v>
      </c>
      <c r="BU59" s="219">
        <f t="shared" si="630"/>
        <v>19.270803269866221</v>
      </c>
      <c r="BV59" s="219">
        <f t="shared" si="631"/>
        <v>6.4620196400523406</v>
      </c>
      <c r="BW59" s="219">
        <f t="shared" si="632"/>
        <v>7.2251632906703769</v>
      </c>
      <c r="BX59" s="220">
        <f t="shared" si="633"/>
        <v>1.43651186155507</v>
      </c>
      <c r="BY59" s="195"/>
      <c r="BZ59" s="192">
        <v>11</v>
      </c>
      <c r="CA59" s="66">
        <v>2015</v>
      </c>
      <c r="CB59" s="218">
        <f t="shared" si="634"/>
        <v>4.7684524663749572</v>
      </c>
      <c r="CC59" s="218">
        <f t="shared" si="635"/>
        <v>1.6048292878690387</v>
      </c>
      <c r="CD59" s="73">
        <f t="shared" si="636"/>
        <v>4.6706584655391321</v>
      </c>
      <c r="CE59" s="73">
        <f t="shared" si="637"/>
        <v>8.284319557674527</v>
      </c>
      <c r="CF59" s="73">
        <f t="shared" si="638"/>
        <v>4.6384438641361703</v>
      </c>
      <c r="CG59" s="73">
        <f t="shared" si="639"/>
        <v>6.054658360225881</v>
      </c>
      <c r="CH59" s="73">
        <f t="shared" si="640"/>
        <v>1.6585461862554765</v>
      </c>
      <c r="CI59" s="73">
        <f t="shared" si="641"/>
        <v>3.1270256128635379</v>
      </c>
      <c r="CJ59" s="73">
        <f t="shared" si="642"/>
        <v>3.369051267077098</v>
      </c>
      <c r="CK59" s="73">
        <f t="shared" si="643"/>
        <v>0.6591853918321422</v>
      </c>
      <c r="CL59" s="73">
        <f t="shared" si="644"/>
        <v>0.14981799651455485</v>
      </c>
      <c r="CM59" s="73">
        <f t="shared" si="645"/>
        <v>61.989431368985137</v>
      </c>
      <c r="CN59" s="73">
        <f t="shared" si="646"/>
        <v>108.18894249793168</v>
      </c>
      <c r="CO59" s="73">
        <f t="shared" si="647"/>
        <v>37.318777644787197</v>
      </c>
      <c r="CP59" s="73">
        <f t="shared" si="648"/>
        <v>40.208972965971292</v>
      </c>
      <c r="CQ59" s="73">
        <f t="shared" si="649"/>
        <v>22.23588685870255</v>
      </c>
      <c r="CR59" s="73">
        <f t="shared" si="650"/>
        <v>12.440476440767322</v>
      </c>
      <c r="CS59" s="73">
        <f t="shared" si="651"/>
        <v>16.218430640013885</v>
      </c>
      <c r="CT59" s="73">
        <f t="shared" si="652"/>
        <v>19.541869903151653</v>
      </c>
      <c r="CU59" s="73">
        <f t="shared" si="653"/>
        <v>5.5310860680821188</v>
      </c>
      <c r="CV59" s="73">
        <f t="shared" si="654"/>
        <v>6.8289941901989186</v>
      </c>
      <c r="CW59" s="73">
        <f t="shared" si="655"/>
        <v>2.2076178441258358</v>
      </c>
      <c r="CX59" s="73">
        <f t="shared" si="656"/>
        <v>2.1146472302441972</v>
      </c>
      <c r="CY59" s="73">
        <f t="shared" si="657"/>
        <v>0.4107468564029737</v>
      </c>
      <c r="CZ59" s="190"/>
      <c r="DA59" s="66">
        <v>2015</v>
      </c>
      <c r="DB59" s="218">
        <f t="shared" si="467"/>
        <v>364.57812292565461</v>
      </c>
      <c r="DC59" s="218">
        <f t="shared" si="468"/>
        <v>5140.974811314456</v>
      </c>
      <c r="DD59" s="73">
        <f t="shared" si="469"/>
        <v>3777.3607718936146</v>
      </c>
      <c r="DE59" s="73">
        <f t="shared" si="470"/>
        <v>2134.4417793555926</v>
      </c>
      <c r="DF59" s="73">
        <f t="shared" si="471"/>
        <v>421.31169878474753</v>
      </c>
      <c r="DG59" s="73">
        <f t="shared" si="472"/>
        <v>940.87718504566033</v>
      </c>
      <c r="DH59" s="72">
        <f t="shared" si="500"/>
        <v>0.8005871696950172</v>
      </c>
      <c r="DI59" s="72">
        <f t="shared" si="501"/>
        <v>0.83515166764389603</v>
      </c>
      <c r="DJ59" s="73">
        <f>SUM(AV48:AV59,BB48:BB59,BI48:BI59)</f>
        <v>4934.4651886855436</v>
      </c>
      <c r="DK59" s="73">
        <f>SUM(AV54:AV59,BB54:BB59,BI54:BI59)</f>
        <v>3940.9675069995483</v>
      </c>
      <c r="DL59" s="190"/>
    </row>
    <row r="60" spans="1:116" x14ac:dyDescent="0.25">
      <c r="A60" s="190"/>
      <c r="B60" s="68">
        <v>2006</v>
      </c>
      <c r="C60" s="185" t="s">
        <v>329</v>
      </c>
      <c r="D60" s="169">
        <v>0</v>
      </c>
      <c r="E60" s="169">
        <v>0</v>
      </c>
      <c r="F60" s="169">
        <v>0</v>
      </c>
      <c r="G60" s="169">
        <v>0</v>
      </c>
      <c r="H60" s="169">
        <v>0</v>
      </c>
      <c r="I60" s="169">
        <v>0</v>
      </c>
      <c r="J60" s="169">
        <v>0</v>
      </c>
      <c r="K60" s="169">
        <v>0</v>
      </c>
      <c r="L60" s="169">
        <v>0</v>
      </c>
      <c r="M60" s="169">
        <v>0</v>
      </c>
      <c r="N60" s="169">
        <v>0</v>
      </c>
      <c r="O60" s="169">
        <v>0</v>
      </c>
      <c r="P60" s="169">
        <v>0</v>
      </c>
      <c r="Q60" s="172">
        <f>pAIDS_ART1ear_AIDS_ART1late_2004_2012</f>
        <v>0.82048978572958342</v>
      </c>
      <c r="R60" s="169">
        <v>0</v>
      </c>
      <c r="S60" s="170">
        <f>pAIDS_ART1ear_AIDS_LTFU_2004_2012</f>
        <v>3.1705300812410298E-2</v>
      </c>
      <c r="T60" s="170">
        <f>pAIDS_ART1ear_AIDS_Dead_2004_2012</f>
        <v>0.14780491345800628</v>
      </c>
      <c r="U60" s="61">
        <f t="shared" si="473"/>
        <v>1</v>
      </c>
      <c r="V60" s="190"/>
      <c r="W60" s="66">
        <v>12</v>
      </c>
      <c r="X60" s="66">
        <v>2016</v>
      </c>
      <c r="Y60" s="70">
        <f t="shared" si="658"/>
        <v>1.0453189854531204E-2</v>
      </c>
      <c r="Z60" s="70">
        <f t="shared" si="606"/>
        <v>3.8571186779537076E-3</v>
      </c>
      <c r="AA60" s="70">
        <f t="shared" si="607"/>
        <v>1.4496198831865016E-2</v>
      </c>
      <c r="AB60" s="70">
        <f t="shared" si="608"/>
        <v>7.5624251739599526E-4</v>
      </c>
      <c r="AC60" s="70">
        <f t="shared" si="609"/>
        <v>1.2413442091801759E-2</v>
      </c>
      <c r="AD60" s="70">
        <f t="shared" si="610"/>
        <v>7.4751372520230541E-3</v>
      </c>
      <c r="AE60" s="70">
        <f t="shared" si="611"/>
        <v>0.12975028074337322</v>
      </c>
      <c r="AF60" s="70">
        <f t="shared" si="612"/>
        <v>4.1350761657647034E-2</v>
      </c>
      <c r="AG60" s="70">
        <f t="shared" si="613"/>
        <v>1.6642948749128209E-2</v>
      </c>
      <c r="AH60" s="70">
        <f t="shared" si="614"/>
        <v>2.2429487599197281E-3</v>
      </c>
      <c r="AI60" s="70">
        <f t="shared" si="615"/>
        <v>6.4424773883125178E-3</v>
      </c>
      <c r="AJ60" s="70">
        <f t="shared" si="616"/>
        <v>1.2279167104441326E-2</v>
      </c>
      <c r="AK60" s="70">
        <f t="shared" si="617"/>
        <v>1.2425963853471771E-2</v>
      </c>
      <c r="AL60" s="70">
        <f t="shared" si="618"/>
        <v>0.16858926274286587</v>
      </c>
      <c r="AM60" s="70">
        <f t="shared" si="619"/>
        <v>3.3595484480304007E-2</v>
      </c>
      <c r="AN60" s="70">
        <f t="shared" si="620"/>
        <v>1.1176571794487083E-2</v>
      </c>
      <c r="AO60" s="70">
        <f t="shared" si="621"/>
        <v>2.6300972445403609E-2</v>
      </c>
      <c r="AP60" s="190"/>
      <c r="AQ60" s="66">
        <v>12</v>
      </c>
      <c r="AR60" s="66">
        <v>2016</v>
      </c>
      <c r="AS60" s="215">
        <f t="shared" si="450"/>
        <v>105.32048718793789</v>
      </c>
      <c r="AT60" s="215">
        <f t="shared" si="451"/>
        <v>38.862167812601903</v>
      </c>
      <c r="AU60" s="215">
        <f t="shared" si="452"/>
        <v>146.05558155852606</v>
      </c>
      <c r="AV60" s="215">
        <f t="shared" si="453"/>
        <v>7.6194761094723065</v>
      </c>
      <c r="AW60" s="215">
        <f t="shared" si="454"/>
        <v>125.07089098942312</v>
      </c>
      <c r="AX60" s="215">
        <f t="shared" si="455"/>
        <v>75.31529687452317</v>
      </c>
      <c r="AY60" s="215">
        <f t="shared" si="456"/>
        <v>1307.2911686130124</v>
      </c>
      <c r="AZ60" s="215">
        <f t="shared" si="457"/>
        <v>416.62711803592327</v>
      </c>
      <c r="BA60" s="215">
        <f t="shared" si="458"/>
        <v>167.68503154491631</v>
      </c>
      <c r="BB60" s="215">
        <f t="shared" si="459"/>
        <v>22.598695653645628</v>
      </c>
      <c r="BC60" s="215">
        <f t="shared" si="460"/>
        <v>64.910794377299482</v>
      </c>
      <c r="BD60" s="215">
        <f t="shared" si="461"/>
        <v>123.71801141077232</v>
      </c>
      <c r="BE60" s="215">
        <f t="shared" si="462"/>
        <v>125.19705324782362</v>
      </c>
      <c r="BF60" s="215">
        <f t="shared" si="463"/>
        <v>1698.6110014099806</v>
      </c>
      <c r="BG60" s="215">
        <f t="shared" si="464"/>
        <v>338.48928815223422</v>
      </c>
      <c r="BH60" s="215">
        <f t="shared" si="465"/>
        <v>112.60887852104695</v>
      </c>
      <c r="BI60" s="215">
        <f t="shared" si="466"/>
        <v>264.99386981531734</v>
      </c>
      <c r="BJ60" s="194"/>
      <c r="BK60" s="66">
        <v>12</v>
      </c>
      <c r="BL60" s="66">
        <v>2016</v>
      </c>
      <c r="BM60" s="215">
        <f t="shared" si="622"/>
        <v>51.873660368486561</v>
      </c>
      <c r="BN60" s="219">
        <f t="shared" si="623"/>
        <v>78.83031621545436</v>
      </c>
      <c r="BO60" s="219">
        <f t="shared" si="624"/>
        <v>28.826222294663928</v>
      </c>
      <c r="BP60" s="219">
        <f t="shared" si="625"/>
        <v>8.1548326663114672</v>
      </c>
      <c r="BQ60" s="219">
        <f t="shared" si="626"/>
        <v>14.082008914025407</v>
      </c>
      <c r="BR60" s="220">
        <f t="shared" si="627"/>
        <v>28.962894491827694</v>
      </c>
      <c r="BS60" s="219">
        <f t="shared" si="628"/>
        <v>23.427475315797448</v>
      </c>
      <c r="BT60" s="219">
        <f t="shared" si="629"/>
        <v>7.1169072352641196</v>
      </c>
      <c r="BU60" s="219">
        <f t="shared" si="630"/>
        <v>20.758150654478868</v>
      </c>
      <c r="BV60" s="219">
        <f t="shared" si="631"/>
        <v>7.3414420164263285</v>
      </c>
      <c r="BW60" s="219">
        <f t="shared" si="632"/>
        <v>9.0629791882092583</v>
      </c>
      <c r="BX60" s="220">
        <f t="shared" si="633"/>
        <v>1.8570207050178102</v>
      </c>
      <c r="BY60" s="195"/>
      <c r="BZ60" s="192">
        <v>12</v>
      </c>
      <c r="CA60" s="66">
        <v>2016</v>
      </c>
      <c r="CB60" s="218">
        <f t="shared" si="634"/>
        <v>3.0220548440258721</v>
      </c>
      <c r="CC60" s="218">
        <f t="shared" si="635"/>
        <v>1.0343601968549214</v>
      </c>
      <c r="CD60" s="73">
        <f t="shared" si="636"/>
        <v>3.5630610685915136</v>
      </c>
      <c r="CE60" s="73">
        <f t="shared" si="637"/>
        <v>5.3951849519566109</v>
      </c>
      <c r="CF60" s="73">
        <f t="shared" si="638"/>
        <v>3.0378080910179452</v>
      </c>
      <c r="CG60" s="73">
        <f t="shared" si="639"/>
        <v>6.4023274291827255</v>
      </c>
      <c r="CH60" s="73">
        <f t="shared" si="640"/>
        <v>1.9061919688469786</v>
      </c>
      <c r="CI60" s="73">
        <f t="shared" si="641"/>
        <v>2.1480479830387571</v>
      </c>
      <c r="CJ60" s="73">
        <f t="shared" si="642"/>
        <v>2.7749076176552738</v>
      </c>
      <c r="CK60" s="73">
        <f t="shared" si="643"/>
        <v>0.74296142625830408</v>
      </c>
      <c r="CL60" s="73">
        <f t="shared" si="644"/>
        <v>0.19126618568902978</v>
      </c>
      <c r="CM60" s="73">
        <f t="shared" si="645"/>
        <v>40.863985486937729</v>
      </c>
      <c r="CN60" s="73">
        <f t="shared" si="646"/>
        <v>72.364923572799583</v>
      </c>
      <c r="CO60" s="73">
        <f t="shared" si="647"/>
        <v>26.441286137578725</v>
      </c>
      <c r="CP60" s="73">
        <f t="shared" si="648"/>
        <v>42.844588160244953</v>
      </c>
      <c r="CQ60" s="73">
        <f t="shared" si="649"/>
        <v>27.511549908261927</v>
      </c>
      <c r="CR60" s="73">
        <f t="shared" si="650"/>
        <v>8.5853599256454949</v>
      </c>
      <c r="CS60" s="73">
        <f t="shared" si="651"/>
        <v>14.27410573758624</v>
      </c>
      <c r="CT60" s="73">
        <f t="shared" si="652"/>
        <v>13.899904255268218</v>
      </c>
      <c r="CU60" s="73">
        <f t="shared" si="653"/>
        <v>4.0887182599554812</v>
      </c>
      <c r="CV60" s="73">
        <f t="shared" si="654"/>
        <v>7.9109487612148568</v>
      </c>
      <c r="CW60" s="73">
        <f t="shared" si="655"/>
        <v>2.6527543014439701</v>
      </c>
      <c r="CX60" s="73">
        <f t="shared" si="656"/>
        <v>2.9660360174649156</v>
      </c>
      <c r="CY60" s="73">
        <f t="shared" si="657"/>
        <v>0.58970929091522095</v>
      </c>
      <c r="CZ60" s="190"/>
      <c r="DA60" s="66">
        <v>2016</v>
      </c>
      <c r="DB60" s="218">
        <f t="shared" si="467"/>
        <v>237.89547609789742</v>
      </c>
      <c r="DC60" s="218">
        <f t="shared" si="468"/>
        <v>4845.7627697360213</v>
      </c>
      <c r="DD60" s="73">
        <f t="shared" si="469"/>
        <v>3886.215629458974</v>
      </c>
      <c r="DE60" s="73">
        <f t="shared" si="470"/>
        <v>2162.2973428100386</v>
      </c>
      <c r="DF60" s="73">
        <f t="shared" si="471"/>
        <v>301.23768430911878</v>
      </c>
      <c r="DG60" s="73">
        <f t="shared" si="472"/>
        <v>669.30890371798137</v>
      </c>
      <c r="DH60" s="72">
        <f t="shared" si="500"/>
        <v>0.85307753281898901</v>
      </c>
      <c r="DI60" s="72">
        <f t="shared" si="501"/>
        <v>0.87772137152789576</v>
      </c>
      <c r="DJ60" s="73">
        <f>SUM(AV48:AV60,BB48:BB60,BI48:BI60)</f>
        <v>5229.6772302639793</v>
      </c>
      <c r="DK60" s="73">
        <f>SUM(AV54:AV60,BB54:BB60,BI54:BI60)</f>
        <v>4236.179548577983</v>
      </c>
      <c r="DL60" s="190"/>
    </row>
    <row r="61" spans="1:116" x14ac:dyDescent="0.25">
      <c r="A61" s="190"/>
      <c r="B61" s="68">
        <v>2006</v>
      </c>
      <c r="C61" s="185" t="s">
        <v>330</v>
      </c>
      <c r="D61" s="169">
        <v>0</v>
      </c>
      <c r="E61" s="169">
        <v>0</v>
      </c>
      <c r="F61" s="169">
        <v>0</v>
      </c>
      <c r="G61" s="169">
        <v>0</v>
      </c>
      <c r="H61" s="169">
        <v>0</v>
      </c>
      <c r="I61" s="169">
        <v>0</v>
      </c>
      <c r="J61" s="169">
        <v>0</v>
      </c>
      <c r="K61" s="169">
        <v>0</v>
      </c>
      <c r="L61" s="169">
        <v>0</v>
      </c>
      <c r="M61" s="169">
        <v>0</v>
      </c>
      <c r="N61" s="169">
        <v>0</v>
      </c>
      <c r="O61" s="169">
        <v>0</v>
      </c>
      <c r="P61" s="169">
        <v>0</v>
      </c>
      <c r="Q61" s="172">
        <f>pAIDS_ART1late_2004_2012</f>
        <v>0.93285322767942069</v>
      </c>
      <c r="R61" s="170">
        <f>pAIDS_ART1late_AIDS_ART2_2004_2012</f>
        <v>3.0593921587134254E-2</v>
      </c>
      <c r="S61" s="170">
        <f>pAIDS_ART1late_AIDS_LTFU_2004_2012</f>
        <v>1.0797654247759469E-2</v>
      </c>
      <c r="T61" s="170">
        <f>pAIDS_ART1late_AIDS_Dead_2004_2012</f>
        <v>2.5755196485685583E-2</v>
      </c>
      <c r="U61" s="61">
        <f t="shared" si="473"/>
        <v>1</v>
      </c>
      <c r="V61" s="190"/>
      <c r="W61" s="66">
        <v>13</v>
      </c>
      <c r="X61" s="66">
        <v>2017</v>
      </c>
      <c r="Y61" s="70">
        <f t="shared" si="658"/>
        <v>6.6248144986592187E-3</v>
      </c>
      <c r="Z61" s="70">
        <f t="shared" si="606"/>
        <v>2.4637869892602136E-3</v>
      </c>
      <c r="AA61" s="70">
        <f t="shared" si="607"/>
        <v>1.061334003734854E-2</v>
      </c>
      <c r="AB61" s="70">
        <f t="shared" si="608"/>
        <v>5.1952011822435076E-4</v>
      </c>
      <c r="AC61" s="70">
        <f t="shared" si="609"/>
        <v>7.9833606209102244E-3</v>
      </c>
      <c r="AD61" s="70">
        <f t="shared" si="610"/>
        <v>4.8177893990965477E-3</v>
      </c>
      <c r="AE61" s="70">
        <f t="shared" si="611"/>
        <v>0.13180330564016782</v>
      </c>
      <c r="AF61" s="70">
        <f t="shared" si="612"/>
        <v>4.4528316987455609E-2</v>
      </c>
      <c r="AG61" s="70">
        <f t="shared" si="613"/>
        <v>1.335581633085469E-2</v>
      </c>
      <c r="AH61" s="70">
        <f t="shared" si="614"/>
        <v>1.8712359375016128E-3</v>
      </c>
      <c r="AI61" s="70">
        <f t="shared" si="615"/>
        <v>4.1689339062171401E-3</v>
      </c>
      <c r="AJ61" s="70">
        <f t="shared" si="616"/>
        <v>7.9998477358549022E-3</v>
      </c>
      <c r="AK61" s="70">
        <f t="shared" si="617"/>
        <v>8.6839261809216438E-3</v>
      </c>
      <c r="AL61" s="70">
        <f t="shared" si="618"/>
        <v>0.16746441432139492</v>
      </c>
      <c r="AM61" s="70">
        <f t="shared" si="619"/>
        <v>3.7262440180419389E-2</v>
      </c>
      <c r="AN61" s="70">
        <f t="shared" si="620"/>
        <v>9.4807228575441421E-3</v>
      </c>
      <c r="AO61" s="70">
        <f t="shared" si="621"/>
        <v>2.1306433480374809E-2</v>
      </c>
      <c r="AP61" s="190"/>
      <c r="AQ61" s="66">
        <v>13</v>
      </c>
      <c r="AR61" s="66">
        <v>2017</v>
      </c>
      <c r="AS61" s="215">
        <f t="shared" si="450"/>
        <v>66.747920992371036</v>
      </c>
      <c r="AT61" s="215">
        <f t="shared" si="451"/>
        <v>24.823737983071929</v>
      </c>
      <c r="AU61" s="215">
        <f t="shared" si="452"/>
        <v>106.93407074590297</v>
      </c>
      <c r="AV61" s="215">
        <f t="shared" si="453"/>
        <v>5.2343937799623532</v>
      </c>
      <c r="AW61" s="215">
        <f t="shared" si="454"/>
        <v>80.435870934343711</v>
      </c>
      <c r="AX61" s="215">
        <f t="shared" si="455"/>
        <v>48.541348023233326</v>
      </c>
      <c r="AY61" s="215">
        <f t="shared" si="456"/>
        <v>1327.9762977791725</v>
      </c>
      <c r="AZ61" s="215">
        <f t="shared" si="457"/>
        <v>448.64238610808974</v>
      </c>
      <c r="BA61" s="215">
        <f t="shared" si="458"/>
        <v>134.56572609254658</v>
      </c>
      <c r="BB61" s="215">
        <f t="shared" si="459"/>
        <v>18.853525414141249</v>
      </c>
      <c r="BC61" s="215">
        <f t="shared" si="460"/>
        <v>42.003843436056421</v>
      </c>
      <c r="BD61" s="215">
        <f t="shared" si="461"/>
        <v>80.601985871741917</v>
      </c>
      <c r="BE61" s="215">
        <f t="shared" si="462"/>
        <v>87.494377200305166</v>
      </c>
      <c r="BF61" s="215">
        <f t="shared" si="463"/>
        <v>1687.2776586303553</v>
      </c>
      <c r="BG61" s="215">
        <f t="shared" si="464"/>
        <v>375.43548029140476</v>
      </c>
      <c r="BH61" s="215">
        <f t="shared" si="465"/>
        <v>95.522454307814556</v>
      </c>
      <c r="BI61" s="215">
        <f t="shared" si="466"/>
        <v>214.67169214550756</v>
      </c>
      <c r="BJ61" s="194"/>
      <c r="BK61" s="66">
        <v>13</v>
      </c>
      <c r="BL61" s="66">
        <v>2017</v>
      </c>
      <c r="BM61" s="215">
        <f t="shared" si="622"/>
        <v>34.412602316259175</v>
      </c>
      <c r="BN61" s="219">
        <f t="shared" si="623"/>
        <v>60.619351873317648</v>
      </c>
      <c r="BO61" s="219">
        <f t="shared" si="624"/>
        <v>30.291255201654195</v>
      </c>
      <c r="BP61" s="219">
        <f t="shared" si="625"/>
        <v>9.2425167013155782</v>
      </c>
      <c r="BQ61" s="219">
        <f t="shared" si="626"/>
        <v>9.3183886113696062</v>
      </c>
      <c r="BR61" s="220">
        <f t="shared" si="627"/>
        <v>23.151563167102108</v>
      </c>
      <c r="BS61" s="219">
        <f t="shared" si="628"/>
        <v>15.868531526139913</v>
      </c>
      <c r="BT61" s="219">
        <f t="shared" si="629"/>
        <v>5.0019685827522249</v>
      </c>
      <c r="BU61" s="219">
        <f t="shared" si="630"/>
        <v>21.352716014719356</v>
      </c>
      <c r="BV61" s="219">
        <f t="shared" si="631"/>
        <v>7.9944710743459648</v>
      </c>
      <c r="BW61" s="219">
        <f t="shared" si="632"/>
        <v>10.60510522069062</v>
      </c>
      <c r="BX61" s="220">
        <f t="shared" si="633"/>
        <v>2.2297101106947594</v>
      </c>
      <c r="BY61" s="195"/>
      <c r="BZ61" s="192">
        <v>13</v>
      </c>
      <c r="CA61" s="66">
        <v>2017</v>
      </c>
      <c r="CB61" s="218">
        <f t="shared" si="634"/>
        <v>1.9152577371172015</v>
      </c>
      <c r="CC61" s="218">
        <f t="shared" si="635"/>
        <v>0.66310880542883144</v>
      </c>
      <c r="CD61" s="73">
        <f t="shared" si="636"/>
        <v>2.656027237416319</v>
      </c>
      <c r="CE61" s="73">
        <f t="shared" si="637"/>
        <v>3.4880442161772556</v>
      </c>
      <c r="CF61" s="73">
        <f t="shared" si="638"/>
        <v>1.9708443938593081</v>
      </c>
      <c r="CG61" s="73">
        <f t="shared" si="639"/>
        <v>6.6111926897349829</v>
      </c>
      <c r="CH61" s="73">
        <f t="shared" si="640"/>
        <v>2.1069538471882807</v>
      </c>
      <c r="CI61" s="73">
        <f t="shared" si="641"/>
        <v>1.4466805152570972</v>
      </c>
      <c r="CJ61" s="73">
        <f t="shared" si="642"/>
        <v>2.1984622189826135</v>
      </c>
      <c r="CK61" s="73">
        <f t="shared" si="643"/>
        <v>0.80392117745163705</v>
      </c>
      <c r="CL61" s="73">
        <f t="shared" si="644"/>
        <v>0.22742635549007581</v>
      </c>
      <c r="CM61" s="73">
        <f t="shared" si="645"/>
        <v>26.646837766827268</v>
      </c>
      <c r="CN61" s="73">
        <f t="shared" si="646"/>
        <v>47.654628755446268</v>
      </c>
      <c r="CO61" s="73">
        <f t="shared" si="647"/>
        <v>18.504739620491975</v>
      </c>
      <c r="CP61" s="73">
        <f t="shared" si="648"/>
        <v>43.748060094061202</v>
      </c>
      <c r="CQ61" s="73">
        <f t="shared" si="649"/>
        <v>31.889821612035778</v>
      </c>
      <c r="CR61" s="73">
        <f t="shared" si="650"/>
        <v>5.7808722041195546</v>
      </c>
      <c r="CS61" s="73">
        <f t="shared" si="651"/>
        <v>11.889695052805731</v>
      </c>
      <c r="CT61" s="73">
        <f t="shared" si="652"/>
        <v>9.6173238983610911</v>
      </c>
      <c r="CU61" s="73">
        <f t="shared" si="653"/>
        <v>2.9215953112101172</v>
      </c>
      <c r="CV61" s="73">
        <f t="shared" si="654"/>
        <v>8.5215267835745472</v>
      </c>
      <c r="CW61" s="73">
        <f t="shared" si="655"/>
        <v>3.0137701481388093</v>
      </c>
      <c r="CX61" s="73">
        <f t="shared" si="656"/>
        <v>3.7204865296919087</v>
      </c>
      <c r="CY61" s="73">
        <f t="shared" si="657"/>
        <v>0.76233436874336225</v>
      </c>
      <c r="CZ61" s="190"/>
      <c r="DA61" s="66">
        <v>2017</v>
      </c>
      <c r="DB61" s="218">
        <f t="shared" si="467"/>
        <v>153.96707187804719</v>
      </c>
      <c r="DC61" s="218">
        <f t="shared" si="468"/>
        <v>4607.003158396411</v>
      </c>
      <c r="DD61" s="73">
        <f t="shared" si="469"/>
        <v>3926.8262000093277</v>
      </c>
      <c r="DE61" s="73">
        <f t="shared" si="470"/>
        <v>2150.2075161220655</v>
      </c>
      <c r="DF61" s="73">
        <f t="shared" si="471"/>
        <v>218.12828361561287</v>
      </c>
      <c r="DG61" s="73">
        <f t="shared" si="472"/>
        <v>481.67122866573652</v>
      </c>
      <c r="DH61" s="72">
        <f t="shared" si="500"/>
        <v>0.89074027229034847</v>
      </c>
      <c r="DI61" s="72">
        <f t="shared" si="501"/>
        <v>0.90789807609217699</v>
      </c>
      <c r="DJ61" s="73">
        <f>SUM(AV48:AV61,BB48:BB61,BI48:BI61)</f>
        <v>5468.4368416035895</v>
      </c>
      <c r="DK61" s="73">
        <f>SUM(AV54:AV61,BB54:BB61,BI54:BI61)</f>
        <v>4474.9391599175942</v>
      </c>
      <c r="DL61" s="190"/>
    </row>
    <row r="62" spans="1:116" x14ac:dyDescent="0.25">
      <c r="A62" s="190"/>
      <c r="B62" s="68">
        <v>2006</v>
      </c>
      <c r="C62" s="185" t="s">
        <v>331</v>
      </c>
      <c r="D62" s="169">
        <v>0</v>
      </c>
      <c r="E62" s="169">
        <v>0</v>
      </c>
      <c r="F62" s="169">
        <v>0</v>
      </c>
      <c r="G62" s="169">
        <v>0</v>
      </c>
      <c r="H62" s="169">
        <v>0</v>
      </c>
      <c r="I62" s="169">
        <v>0</v>
      </c>
      <c r="J62" s="169">
        <v>0</v>
      </c>
      <c r="K62" s="169">
        <v>0</v>
      </c>
      <c r="L62" s="169">
        <v>0</v>
      </c>
      <c r="M62" s="169">
        <v>0</v>
      </c>
      <c r="N62" s="169">
        <v>0</v>
      </c>
      <c r="O62" s="169">
        <v>0</v>
      </c>
      <c r="P62" s="169">
        <v>0</v>
      </c>
      <c r="Q62" s="169">
        <v>0</v>
      </c>
      <c r="R62" s="172">
        <f>pAIDS_ART2_2004_2012</f>
        <v>0.87834172729587623</v>
      </c>
      <c r="S62" s="170">
        <f>pAIDS_ART2_AIDS_LTFU_2004_2012</f>
        <v>2.7446069457994882E-2</v>
      </c>
      <c r="T62" s="171">
        <f>pAIDS_ART2_AIDS_Dead_2004_2012</f>
        <v>9.4212203246128889E-2</v>
      </c>
      <c r="U62" s="61">
        <f t="shared" si="473"/>
        <v>1</v>
      </c>
      <c r="V62" s="190"/>
      <c r="W62" s="66">
        <v>14</v>
      </c>
      <c r="X62" s="66">
        <v>2018</v>
      </c>
      <c r="Y62" s="70">
        <f t="shared" si="658"/>
        <v>4.1985430048054606E-3</v>
      </c>
      <c r="Z62" s="70">
        <f t="shared" si="606"/>
        <v>1.5699056032151793E-3</v>
      </c>
      <c r="AA62" s="70">
        <f t="shared" si="607"/>
        <v>7.6600147018279418E-3</v>
      </c>
      <c r="AB62" s="70">
        <f t="shared" si="608"/>
        <v>3.5551643375226994E-4</v>
      </c>
      <c r="AC62" s="70">
        <f t="shared" si="609"/>
        <v>5.1147038600619964E-3</v>
      </c>
      <c r="AD62" s="70">
        <f t="shared" si="610"/>
        <v>3.0906585495681258E-3</v>
      </c>
      <c r="AE62" s="70">
        <f t="shared" si="611"/>
        <v>0.13236331043638283</v>
      </c>
      <c r="AF62" s="70">
        <f t="shared" si="612"/>
        <v>4.7097475288487664E-2</v>
      </c>
      <c r="AG62" s="70">
        <f t="shared" si="613"/>
        <v>1.0859849712000044E-2</v>
      </c>
      <c r="AH62" s="70">
        <f t="shared" si="614"/>
        <v>1.6129288025560076E-3</v>
      </c>
      <c r="AI62" s="70">
        <f t="shared" si="615"/>
        <v>2.6829042724834857E-3</v>
      </c>
      <c r="AJ62" s="70">
        <f t="shared" si="616"/>
        <v>5.1726665739265905E-3</v>
      </c>
      <c r="AK62" s="70">
        <f t="shared" si="617"/>
        <v>6.117899144180915E-3</v>
      </c>
      <c r="AL62" s="70">
        <f t="shared" si="618"/>
        <v>0.16334479215263298</v>
      </c>
      <c r="AM62" s="70">
        <f t="shared" si="619"/>
        <v>4.0054921151520449E-2</v>
      </c>
      <c r="AN62" s="70">
        <f t="shared" si="620"/>
        <v>8.1627171128502048E-3</v>
      </c>
      <c r="AO62" s="70">
        <f t="shared" si="621"/>
        <v>1.7792008885852847E-2</v>
      </c>
      <c r="AP62" s="190"/>
      <c r="AQ62" s="66">
        <v>14</v>
      </c>
      <c r="AR62" s="66">
        <v>2018</v>
      </c>
      <c r="AS62" s="215">
        <f t="shared" si="450"/>
        <v>42.30216813233713</v>
      </c>
      <c r="AT62" s="215">
        <f t="shared" si="451"/>
        <v>15.817489710858347</v>
      </c>
      <c r="AU62" s="215">
        <f t="shared" si="452"/>
        <v>77.178018527385319</v>
      </c>
      <c r="AV62" s="215">
        <f t="shared" si="453"/>
        <v>3.5819844972849708</v>
      </c>
      <c r="AW62" s="215">
        <f t="shared" si="454"/>
        <v>51.532891859823046</v>
      </c>
      <c r="AX62" s="215">
        <f t="shared" si="455"/>
        <v>31.139744776660681</v>
      </c>
      <c r="AY62" s="215">
        <f t="shared" si="456"/>
        <v>1333.6185925031491</v>
      </c>
      <c r="AZ62" s="215">
        <f t="shared" si="457"/>
        <v>474.52778642064015</v>
      </c>
      <c r="BA62" s="215">
        <f t="shared" si="458"/>
        <v>109.41776418227373</v>
      </c>
      <c r="BB62" s="215">
        <f t="shared" si="459"/>
        <v>16.250967374424903</v>
      </c>
      <c r="BC62" s="215">
        <f t="shared" si="460"/>
        <v>27.031441023151011</v>
      </c>
      <c r="BD62" s="215">
        <f t="shared" si="461"/>
        <v>52.116891705602931</v>
      </c>
      <c r="BE62" s="215">
        <f t="shared" si="462"/>
        <v>61.640525753246159</v>
      </c>
      <c r="BF62" s="215">
        <f t="shared" si="463"/>
        <v>1645.7706526463246</v>
      </c>
      <c r="BG62" s="215">
        <f t="shared" si="464"/>
        <v>403.57095476687522</v>
      </c>
      <c r="BH62" s="215">
        <f t="shared" si="465"/>
        <v>82.242966507495467</v>
      </c>
      <c r="BI62" s="215">
        <f t="shared" si="466"/>
        <v>179.26231800887723</v>
      </c>
      <c r="BJ62" s="194"/>
      <c r="BK62" s="66">
        <v>14</v>
      </c>
      <c r="BL62" s="66">
        <v>2018</v>
      </c>
      <c r="BM62" s="215">
        <f t="shared" si="622"/>
        <v>22.569509897619234</v>
      </c>
      <c r="BN62" s="219">
        <f t="shared" si="623"/>
        <v>45.539284602624896</v>
      </c>
      <c r="BO62" s="219">
        <f t="shared" si="624"/>
        <v>31.172532342748418</v>
      </c>
      <c r="BP62" s="219">
        <f t="shared" si="625"/>
        <v>10.136437339281189</v>
      </c>
      <c r="BQ62" s="219">
        <f t="shared" si="626"/>
        <v>6.0917990690244759</v>
      </c>
      <c r="BR62" s="220">
        <f t="shared" si="627"/>
        <v>17.930816981753139</v>
      </c>
      <c r="BS62" s="219">
        <f t="shared" si="628"/>
        <v>10.574497311043221</v>
      </c>
      <c r="BT62" s="219">
        <f t="shared" si="629"/>
        <v>3.4997474693596922</v>
      </c>
      <c r="BU62" s="219">
        <f t="shared" si="630"/>
        <v>21.316605168800169</v>
      </c>
      <c r="BV62" s="219">
        <f t="shared" si="631"/>
        <v>8.4413850854530121</v>
      </c>
      <c r="BW62" s="219">
        <f t="shared" si="632"/>
        <v>11.842872735343263</v>
      </c>
      <c r="BX62" s="220">
        <f t="shared" si="633"/>
        <v>2.5452426867184927</v>
      </c>
      <c r="BY62" s="195"/>
      <c r="BZ62" s="192">
        <v>14</v>
      </c>
      <c r="CA62" s="66">
        <v>2018</v>
      </c>
      <c r="CB62" s="218">
        <f t="shared" si="634"/>
        <v>1.2138139077253287</v>
      </c>
      <c r="CC62" s="218">
        <f t="shared" si="635"/>
        <v>0.42356976377667099</v>
      </c>
      <c r="CD62" s="73">
        <f t="shared" si="636"/>
        <v>1.9446008257829714</v>
      </c>
      <c r="CE62" s="73">
        <f t="shared" si="637"/>
        <v>2.243238791746069</v>
      </c>
      <c r="CF62" s="73">
        <f t="shared" si="638"/>
        <v>1.2702259380501006</v>
      </c>
      <c r="CG62" s="73">
        <f t="shared" si="639"/>
        <v>6.7158008887444138</v>
      </c>
      <c r="CH62" s="73">
        <f t="shared" si="640"/>
        <v>2.2688604761936424</v>
      </c>
      <c r="CI62" s="73">
        <f t="shared" si="641"/>
        <v>0.9597171453986576</v>
      </c>
      <c r="CJ62" s="73">
        <f t="shared" si="642"/>
        <v>1.6905850595405179</v>
      </c>
      <c r="CK62" s="73">
        <f t="shared" si="643"/>
        <v>0.84477880241385861</v>
      </c>
      <c r="CL62" s="73">
        <f t="shared" si="644"/>
        <v>0.25776027233764404</v>
      </c>
      <c r="CM62" s="73">
        <f t="shared" si="645"/>
        <v>17.243196795866627</v>
      </c>
      <c r="CN62" s="73">
        <f t="shared" si="646"/>
        <v>31.046875631684618</v>
      </c>
      <c r="CO62" s="73">
        <f t="shared" si="647"/>
        <v>12.932098850153263</v>
      </c>
      <c r="CP62" s="73">
        <f t="shared" si="648"/>
        <v>43.456167623932323</v>
      </c>
      <c r="CQ62" s="73">
        <f t="shared" si="649"/>
        <v>35.370603775021841</v>
      </c>
      <c r="CR62" s="73">
        <f t="shared" si="650"/>
        <v>3.825335862200661</v>
      </c>
      <c r="CS62" s="73">
        <f t="shared" si="651"/>
        <v>9.5040578948448466</v>
      </c>
      <c r="CT62" s="73">
        <f t="shared" si="652"/>
        <v>6.5142660667038674</v>
      </c>
      <c r="CU62" s="73">
        <f t="shared" si="653"/>
        <v>2.0533818237476122</v>
      </c>
      <c r="CV62" s="73">
        <f t="shared" si="654"/>
        <v>8.7656046268376127</v>
      </c>
      <c r="CW62" s="73">
        <f t="shared" si="655"/>
        <v>3.2818482009548458</v>
      </c>
      <c r="CX62" s="73">
        <f t="shared" si="656"/>
        <v>4.3535519943460086</v>
      </c>
      <c r="CY62" s="73">
        <f t="shared" si="657"/>
        <v>0.91532886258308011</v>
      </c>
      <c r="CZ62" s="190"/>
      <c r="DA62" s="66">
        <v>2018</v>
      </c>
      <c r="DB62" s="218">
        <f t="shared" si="467"/>
        <v>99.07412619312197</v>
      </c>
      <c r="DC62" s="218">
        <f t="shared" si="468"/>
        <v>4407.9078885158224</v>
      </c>
      <c r="DD62" s="73">
        <f t="shared" si="469"/>
        <v>3919.1285120902353</v>
      </c>
      <c r="DE62" s="73">
        <f t="shared" si="470"/>
        <v>2110.9821331664461</v>
      </c>
      <c r="DF62" s="73">
        <f t="shared" si="471"/>
        <v>161.39129923624941</v>
      </c>
      <c r="DG62" s="73">
        <f t="shared" si="472"/>
        <v>353.48170005500685</v>
      </c>
      <c r="DH62" s="72">
        <f t="shared" si="500"/>
        <v>0.91726797379030589</v>
      </c>
      <c r="DI62" s="72">
        <f t="shared" si="501"/>
        <v>0.9289767707477542</v>
      </c>
      <c r="DJ62" s="73">
        <f>SUM(AV48:AV62,BB48:BB62,BI48:BI62)</f>
        <v>5667.5321114841781</v>
      </c>
      <c r="DK62" s="73">
        <f>SUM(AV54:AV62,BB54:BB62,BI54:BI62)</f>
        <v>4674.0344297981819</v>
      </c>
      <c r="DL62" s="190"/>
    </row>
    <row r="63" spans="1:116" x14ac:dyDescent="0.25">
      <c r="A63" s="190"/>
      <c r="B63" s="68">
        <v>2006</v>
      </c>
      <c r="C63" s="185" t="s">
        <v>332</v>
      </c>
      <c r="D63" s="169">
        <v>0</v>
      </c>
      <c r="E63" s="169">
        <v>0</v>
      </c>
      <c r="F63" s="169">
        <v>0</v>
      </c>
      <c r="G63" s="169">
        <v>0</v>
      </c>
      <c r="H63" s="169">
        <v>0</v>
      </c>
      <c r="I63" s="169">
        <v>0</v>
      </c>
      <c r="J63" s="169">
        <v>0</v>
      </c>
      <c r="K63" s="169">
        <v>0</v>
      </c>
      <c r="L63" s="169">
        <v>0</v>
      </c>
      <c r="M63" s="169">
        <v>0</v>
      </c>
      <c r="N63" s="169">
        <v>0</v>
      </c>
      <c r="O63" s="169">
        <v>0</v>
      </c>
      <c r="P63" s="171">
        <f>pAIDS_LTFU_AIDS_ART1ear_2004_2012</f>
        <v>0.18179999999999999</v>
      </c>
      <c r="Q63" s="169">
        <v>0</v>
      </c>
      <c r="R63" s="171">
        <f>pAIDS_LTFU_AIDS_ART2_2004_2012</f>
        <v>0.19189999999999999</v>
      </c>
      <c r="S63" s="172">
        <f>pAIDS_LTFU_2004_2012</f>
        <v>0.21578526169714907</v>
      </c>
      <c r="T63" s="170">
        <f>pAIDS_LTFU_AIDS_Dead_2004_2012</f>
        <v>0.41051473830285101</v>
      </c>
      <c r="U63" s="61">
        <f t="shared" si="473"/>
        <v>1</v>
      </c>
      <c r="V63" s="190"/>
      <c r="W63" s="66">
        <v>15</v>
      </c>
      <c r="X63" s="66">
        <v>2019</v>
      </c>
      <c r="Y63" s="70">
        <f t="shared" si="658"/>
        <v>2.6608689747869181E-3</v>
      </c>
      <c r="Z63" s="70">
        <f t="shared" si="606"/>
        <v>9.986483254093145E-4</v>
      </c>
      <c r="AA63" s="70">
        <f t="shared" si="607"/>
        <v>5.4645937906260891E-3</v>
      </c>
      <c r="AB63" s="70">
        <f t="shared" si="608"/>
        <v>2.4243584476188679E-4</v>
      </c>
      <c r="AC63" s="70">
        <f t="shared" si="609"/>
        <v>3.2676839410285545E-3</v>
      </c>
      <c r="AD63" s="70">
        <f t="shared" si="610"/>
        <v>1.9760980818153114E-3</v>
      </c>
      <c r="AE63" s="70">
        <f t="shared" si="611"/>
        <v>0.13186062798251821</v>
      </c>
      <c r="AF63" s="70">
        <f t="shared" si="612"/>
        <v>4.9192975670983831E-2</v>
      </c>
      <c r="AG63" s="70">
        <f t="shared" si="613"/>
        <v>9.0045426409964911E-3</v>
      </c>
      <c r="AH63" s="70">
        <f t="shared" si="614"/>
        <v>1.4339465946545508E-3</v>
      </c>
      <c r="AI63" s="70">
        <f t="shared" si="615"/>
        <v>1.7196857766862939E-3</v>
      </c>
      <c r="AJ63" s="70">
        <f t="shared" si="616"/>
        <v>3.326644767373297E-3</v>
      </c>
      <c r="AK63" s="70">
        <f t="shared" si="617"/>
        <v>4.3840685515167902E-3</v>
      </c>
      <c r="AL63" s="70">
        <f t="shared" si="618"/>
        <v>0.15739639034213199</v>
      </c>
      <c r="AM63" s="70">
        <f t="shared" si="619"/>
        <v>4.2075465579026104E-2</v>
      </c>
      <c r="AN63" s="70">
        <f t="shared" si="620"/>
        <v>7.1560557416604637E-3</v>
      </c>
      <c r="AO63" s="70">
        <f t="shared" si="621"/>
        <v>1.5329628957967778E-2</v>
      </c>
      <c r="AP63" s="190"/>
      <c r="AQ63" s="66">
        <v>15</v>
      </c>
      <c r="AR63" s="66">
        <v>2019</v>
      </c>
      <c r="AS63" s="215">
        <f t="shared" si="450"/>
        <v>26.809425703327108</v>
      </c>
      <c r="AT63" s="215">
        <f t="shared" si="451"/>
        <v>10.061821283762024</v>
      </c>
      <c r="AU63" s="215">
        <f t="shared" si="452"/>
        <v>55.058186861825725</v>
      </c>
      <c r="AV63" s="215">
        <f t="shared" si="453"/>
        <v>2.4426478077477047</v>
      </c>
      <c r="AW63" s="215">
        <f t="shared" si="454"/>
        <v>32.923353486796742</v>
      </c>
      <c r="AX63" s="215">
        <f t="shared" si="455"/>
        <v>19.910057657445261</v>
      </c>
      <c r="AY63" s="215">
        <f t="shared" si="456"/>
        <v>1328.5538456001834</v>
      </c>
      <c r="AZ63" s="215">
        <f t="shared" si="457"/>
        <v>495.64087479445737</v>
      </c>
      <c r="BA63" s="215">
        <f t="shared" si="458"/>
        <v>90.724729106801689</v>
      </c>
      <c r="BB63" s="215">
        <f t="shared" si="459"/>
        <v>14.447642877646249</v>
      </c>
      <c r="BC63" s="215">
        <f t="shared" si="460"/>
        <v>17.326590861856154</v>
      </c>
      <c r="BD63" s="215">
        <f t="shared" si="461"/>
        <v>33.517409754983611</v>
      </c>
      <c r="BE63" s="215">
        <f t="shared" si="462"/>
        <v>44.171419646694332</v>
      </c>
      <c r="BF63" s="215">
        <f t="shared" si="463"/>
        <v>1585.8378871087305</v>
      </c>
      <c r="BG63" s="215">
        <f t="shared" si="464"/>
        <v>423.92882891354282</v>
      </c>
      <c r="BH63" s="215">
        <f t="shared" si="465"/>
        <v>72.100410261755499</v>
      </c>
      <c r="BI63" s="215">
        <f t="shared" si="466"/>
        <v>154.45275678826687</v>
      </c>
      <c r="BJ63" s="194"/>
      <c r="BK63" s="66">
        <v>15</v>
      </c>
      <c r="BL63" s="66">
        <v>2019</v>
      </c>
      <c r="BM63" s="215">
        <f t="shared" si="622"/>
        <v>14.67518047657536</v>
      </c>
      <c r="BN63" s="219">
        <f t="shared" si="623"/>
        <v>33.579747313848721</v>
      </c>
      <c r="BO63" s="219">
        <f t="shared" si="624"/>
        <v>31.604825543400729</v>
      </c>
      <c r="BP63" s="219">
        <f t="shared" si="625"/>
        <v>10.864975772976885</v>
      </c>
      <c r="BQ63" s="219">
        <f t="shared" si="626"/>
        <v>3.9485889337355577</v>
      </c>
      <c r="BR63" s="220">
        <f t="shared" si="627"/>
        <v>13.548370670389733</v>
      </c>
      <c r="BS63" s="219">
        <f t="shared" si="628"/>
        <v>6.9595319645841673</v>
      </c>
      <c r="BT63" s="219">
        <f t="shared" si="629"/>
        <v>2.462093188707779</v>
      </c>
      <c r="BU63" s="219">
        <f t="shared" si="630"/>
        <v>20.863187717794634</v>
      </c>
      <c r="BV63" s="219">
        <f t="shared" si="631"/>
        <v>8.7180698333311426</v>
      </c>
      <c r="BW63" s="219">
        <f t="shared" si="632"/>
        <v>12.794662745814275</v>
      </c>
      <c r="BX63" s="220">
        <f t="shared" si="633"/>
        <v>2.8059052073982222</v>
      </c>
      <c r="BY63" s="195"/>
      <c r="BZ63" s="192">
        <v>15</v>
      </c>
      <c r="CA63" s="66">
        <v>2019</v>
      </c>
      <c r="CB63" s="218">
        <f t="shared" si="634"/>
        <v>0.76926680625505495</v>
      </c>
      <c r="CC63" s="218">
        <f t="shared" si="635"/>
        <v>0.26989530686059454</v>
      </c>
      <c r="CD63" s="73">
        <f t="shared" si="636"/>
        <v>1.4034856946320551</v>
      </c>
      <c r="CE63" s="73">
        <f t="shared" si="637"/>
        <v>1.4371769799716594</v>
      </c>
      <c r="CF63" s="73">
        <f t="shared" si="638"/>
        <v>0.81486223869684404</v>
      </c>
      <c r="CG63" s="73">
        <f t="shared" si="639"/>
        <v>6.7443349280832257</v>
      </c>
      <c r="CH63" s="73">
        <f t="shared" si="640"/>
        <v>2.3997673265005739</v>
      </c>
      <c r="CI63" s="73">
        <f t="shared" si="641"/>
        <v>0.62943062000736449</v>
      </c>
      <c r="CJ63" s="73">
        <f t="shared" si="642"/>
        <v>1.2700240400499634</v>
      </c>
      <c r="CK63" s="73">
        <f t="shared" si="643"/>
        <v>0.8693563328889784</v>
      </c>
      <c r="CL63" s="73">
        <f t="shared" si="644"/>
        <v>0.28269041144763973</v>
      </c>
      <c r="CM63" s="73">
        <f t="shared" si="645"/>
        <v>11.096804937567789</v>
      </c>
      <c r="CN63" s="73">
        <f t="shared" si="646"/>
        <v>20.074774059147646</v>
      </c>
      <c r="CO63" s="73">
        <f t="shared" si="647"/>
        <v>9.1107725744645567</v>
      </c>
      <c r="CP63" s="73">
        <f t="shared" si="648"/>
        <v>42.38714652928109</v>
      </c>
      <c r="CQ63" s="73">
        <f t="shared" si="649"/>
        <v>38.021308814731135</v>
      </c>
      <c r="CR63" s="73">
        <f t="shared" si="650"/>
        <v>2.5007733006141342</v>
      </c>
      <c r="CS63" s="73">
        <f t="shared" si="651"/>
        <v>7.360864640820707</v>
      </c>
      <c r="CT63" s="73">
        <f t="shared" si="652"/>
        <v>4.3409869963271097</v>
      </c>
      <c r="CU63" s="73">
        <f t="shared" si="653"/>
        <v>1.4366979165102591</v>
      </c>
      <c r="CV63" s="73">
        <f t="shared" si="654"/>
        <v>8.750780592375202</v>
      </c>
      <c r="CW63" s="73">
        <f t="shared" si="655"/>
        <v>3.465312989268333</v>
      </c>
      <c r="CX63" s="73">
        <f t="shared" si="656"/>
        <v>4.8616738017034091</v>
      </c>
      <c r="CY63" s="73">
        <f t="shared" si="657"/>
        <v>1.0448596354554875</v>
      </c>
      <c r="CZ63" s="190"/>
      <c r="DA63" s="66">
        <v>2019</v>
      </c>
      <c r="DB63" s="218">
        <f t="shared" si="467"/>
        <v>63.489288696190897</v>
      </c>
      <c r="DC63" s="218">
        <f t="shared" si="468"/>
        <v>4236.5648410421618</v>
      </c>
      <c r="DD63" s="73">
        <f t="shared" si="469"/>
        <v>3878.1328560636084</v>
      </c>
      <c r="DE63" s="73">
        <f t="shared" si="470"/>
        <v>2053.9381356689678</v>
      </c>
      <c r="DF63" s="73">
        <f t="shared" si="471"/>
        <v>122.94441087859526</v>
      </c>
      <c r="DG63" s="73">
        <f t="shared" si="472"/>
        <v>266.50255112963896</v>
      </c>
      <c r="DH63" s="72">
        <f t="shared" si="500"/>
        <v>0.93569939815041181</v>
      </c>
      <c r="DI63" s="72">
        <f t="shared" si="501"/>
        <v>0.94352271734936766</v>
      </c>
      <c r="DJ63" s="73">
        <f>SUM(AV48:AV63,BB48:BB63,BI48:BI63)</f>
        <v>5838.8751589578387</v>
      </c>
      <c r="DK63" s="73">
        <f>SUM(AV54:AV63,BB54:BB63,BI54:BI63)</f>
        <v>4845.3774772718425</v>
      </c>
      <c r="DL63" s="190"/>
    </row>
    <row r="64" spans="1:116" x14ac:dyDescent="0.25">
      <c r="A64" s="190"/>
      <c r="B64" s="139">
        <v>2006</v>
      </c>
      <c r="C64" s="186" t="s">
        <v>333</v>
      </c>
      <c r="D64" s="180">
        <v>0</v>
      </c>
      <c r="E64" s="180">
        <v>0</v>
      </c>
      <c r="F64" s="180">
        <v>0</v>
      </c>
      <c r="G64" s="180">
        <v>0</v>
      </c>
      <c r="H64" s="180">
        <v>0</v>
      </c>
      <c r="I64" s="180">
        <v>0</v>
      </c>
      <c r="J64" s="180">
        <v>0</v>
      </c>
      <c r="K64" s="180">
        <v>0</v>
      </c>
      <c r="L64" s="180">
        <v>0</v>
      </c>
      <c r="M64" s="180">
        <v>0</v>
      </c>
      <c r="N64" s="180">
        <v>0</v>
      </c>
      <c r="O64" s="180">
        <v>0</v>
      </c>
      <c r="P64" s="180">
        <v>0</v>
      </c>
      <c r="Q64" s="180">
        <v>0</v>
      </c>
      <c r="R64" s="180">
        <v>0</v>
      </c>
      <c r="S64" s="180">
        <v>0</v>
      </c>
      <c r="T64" s="180">
        <v>0</v>
      </c>
      <c r="U64" s="179">
        <f t="shared" si="473"/>
        <v>0</v>
      </c>
      <c r="V64" s="190"/>
      <c r="W64" s="66">
        <v>16</v>
      </c>
      <c r="X64" s="66">
        <v>2020</v>
      </c>
      <c r="Y64" s="70">
        <f t="shared" si="658"/>
        <v>1.6863525496535069E-3</v>
      </c>
      <c r="Z64" s="70">
        <f t="shared" si="606"/>
        <v>6.3452668223342118E-4</v>
      </c>
      <c r="AA64" s="70">
        <f t="shared" si="607"/>
        <v>3.8611806037718941E-3</v>
      </c>
      <c r="AB64" s="70">
        <f t="shared" si="608"/>
        <v>1.648019310781716E-4</v>
      </c>
      <c r="AC64" s="70">
        <f t="shared" si="609"/>
        <v>2.0833596006309151E-3</v>
      </c>
      <c r="AD64" s="70">
        <f t="shared" si="610"/>
        <v>1.2604531024918825E-3</v>
      </c>
      <c r="AE64" s="70">
        <f t="shared" si="611"/>
        <v>0.13061911680036317</v>
      </c>
      <c r="AF64" s="70">
        <f t="shared" si="612"/>
        <v>5.0924823287423676E-2</v>
      </c>
      <c r="AG64" s="70">
        <f t="shared" si="613"/>
        <v>7.6457632912264005E-3</v>
      </c>
      <c r="AH64" s="70">
        <f t="shared" si="614"/>
        <v>1.3095835347408605E-3</v>
      </c>
      <c r="AI64" s="70">
        <f t="shared" si="615"/>
        <v>1.0990623551870755E-3</v>
      </c>
      <c r="AJ64" s="70">
        <f t="shared" si="616"/>
        <v>2.1311286785410102E-3</v>
      </c>
      <c r="AK64" s="70">
        <f t="shared" si="617"/>
        <v>3.2225140873480707E-3</v>
      </c>
      <c r="AL64" s="70">
        <f t="shared" si="618"/>
        <v>0.15042481422220563</v>
      </c>
      <c r="AM64" s="70">
        <f t="shared" si="619"/>
        <v>4.3434361686472855E-2</v>
      </c>
      <c r="AN64" s="70">
        <f t="shared" si="620"/>
        <v>6.3917189924973519E-3</v>
      </c>
      <c r="AO64" s="70">
        <f t="shared" si="621"/>
        <v>1.3590788760693757E-2</v>
      </c>
      <c r="AP64" s="190"/>
      <c r="AQ64" s="66">
        <v>16</v>
      </c>
      <c r="AR64" s="66">
        <v>2020</v>
      </c>
      <c r="AS64" s="215">
        <f t="shared" si="450"/>
        <v>16.990743932880932</v>
      </c>
      <c r="AT64" s="215">
        <f t="shared" si="451"/>
        <v>6.3931355152419016</v>
      </c>
      <c r="AU64" s="215">
        <f t="shared" si="452"/>
        <v>38.903093502467492</v>
      </c>
      <c r="AV64" s="215">
        <f t="shared" si="453"/>
        <v>1.6604519684622534</v>
      </c>
      <c r="AW64" s="215">
        <f t="shared" si="454"/>
        <v>20.990764654580747</v>
      </c>
      <c r="AX64" s="215">
        <f t="shared" si="455"/>
        <v>12.699619606970813</v>
      </c>
      <c r="AY64" s="215">
        <f t="shared" si="456"/>
        <v>1316.0450741750512</v>
      </c>
      <c r="AZ64" s="215">
        <f t="shared" si="457"/>
        <v>513.09000154303999</v>
      </c>
      <c r="BA64" s="215">
        <f t="shared" si="458"/>
        <v>77.034429294954123</v>
      </c>
      <c r="BB64" s="215">
        <f t="shared" si="459"/>
        <v>13.194630329269456</v>
      </c>
      <c r="BC64" s="215">
        <f t="shared" si="460"/>
        <v>11.073536815946069</v>
      </c>
      <c r="BD64" s="215">
        <f t="shared" si="461"/>
        <v>21.472059132919238</v>
      </c>
      <c r="BE64" s="215">
        <f t="shared" si="462"/>
        <v>32.468247336230249</v>
      </c>
      <c r="BF64" s="215">
        <f t="shared" si="463"/>
        <v>1515.5961902069796</v>
      </c>
      <c r="BG64" s="215">
        <f t="shared" si="464"/>
        <v>437.62030511035607</v>
      </c>
      <c r="BH64" s="215">
        <f t="shared" si="465"/>
        <v>64.399381205767526</v>
      </c>
      <c r="BI64" s="215">
        <f t="shared" si="466"/>
        <v>136.93317671104433</v>
      </c>
      <c r="BJ64" s="194"/>
      <c r="BK64" s="66">
        <v>16</v>
      </c>
      <c r="BL64" s="66">
        <v>2020</v>
      </c>
      <c r="BM64" s="215">
        <f t="shared" si="622"/>
        <v>9.4804940292743325</v>
      </c>
      <c r="BN64" s="219">
        <f t="shared" si="623"/>
        <v>24.390761856024355</v>
      </c>
      <c r="BO64" s="219">
        <f t="shared" si="624"/>
        <v>31.704204381025878</v>
      </c>
      <c r="BP64" s="219">
        <f t="shared" si="625"/>
        <v>11.458969028629561</v>
      </c>
      <c r="BQ64" s="219">
        <f t="shared" si="626"/>
        <v>2.5438893240768454</v>
      </c>
      <c r="BR64" s="220">
        <f t="shared" si="627"/>
        <v>10.037671917219868</v>
      </c>
      <c r="BS64" s="219">
        <f t="shared" si="628"/>
        <v>4.5373905674257573</v>
      </c>
      <c r="BT64" s="219">
        <f t="shared" si="629"/>
        <v>1.7576815818160902</v>
      </c>
      <c r="BU64" s="219">
        <f t="shared" si="630"/>
        <v>20.150270247870463</v>
      </c>
      <c r="BV64" s="219">
        <f t="shared" si="631"/>
        <v>8.8621286824937613</v>
      </c>
      <c r="BW64" s="219">
        <f t="shared" si="632"/>
        <v>13.49149707641075</v>
      </c>
      <c r="BX64" s="220">
        <f t="shared" si="633"/>
        <v>3.0188518084539857</v>
      </c>
      <c r="BY64" s="195"/>
      <c r="BZ64" s="192">
        <v>16</v>
      </c>
      <c r="CA64" s="66">
        <v>2020</v>
      </c>
      <c r="CB64" s="218">
        <f t="shared" si="634"/>
        <v>0.48753059710349178</v>
      </c>
      <c r="CC64" s="218">
        <f t="shared" si="635"/>
        <v>0.17168579797419994</v>
      </c>
      <c r="CD64" s="73">
        <f t="shared" si="636"/>
        <v>1.0012355733845617</v>
      </c>
      <c r="CE64" s="73">
        <f t="shared" si="637"/>
        <v>0.91818417377783124</v>
      </c>
      <c r="CF64" s="73">
        <f t="shared" si="638"/>
        <v>0.52100472472365877</v>
      </c>
      <c r="CG64" s="73">
        <f t="shared" si="639"/>
        <v>6.7187216458212715</v>
      </c>
      <c r="CH64" s="73">
        <f t="shared" si="640"/>
        <v>2.5065397876522857</v>
      </c>
      <c r="CI64" s="73">
        <f t="shared" si="641"/>
        <v>0.4092693190056898</v>
      </c>
      <c r="CJ64" s="73">
        <f t="shared" si="642"/>
        <v>0.93649003754733717</v>
      </c>
      <c r="CK64" s="73">
        <f t="shared" si="643"/>
        <v>0.8814123579664328</v>
      </c>
      <c r="CL64" s="73">
        <f t="shared" si="644"/>
        <v>0.30300828277494973</v>
      </c>
      <c r="CM64" s="73">
        <f t="shared" si="645"/>
        <v>7.1128209133354492</v>
      </c>
      <c r="CN64" s="73">
        <f t="shared" si="646"/>
        <v>12.910486520953258</v>
      </c>
      <c r="CO64" s="73">
        <f t="shared" si="647"/>
        <v>6.5287528581969339</v>
      </c>
      <c r="CP64" s="73">
        <f t="shared" si="648"/>
        <v>40.843566376929822</v>
      </c>
      <c r="CQ64" s="73">
        <f t="shared" si="649"/>
        <v>39.9392689914961</v>
      </c>
      <c r="CR64" s="73">
        <f t="shared" si="650"/>
        <v>1.6209539527979859</v>
      </c>
      <c r="CS64" s="73">
        <f t="shared" si="651"/>
        <v>5.5618058401850634</v>
      </c>
      <c r="CT64" s="73">
        <f t="shared" si="652"/>
        <v>2.856990443151596</v>
      </c>
      <c r="CU64" s="73">
        <f t="shared" si="653"/>
        <v>1.0107255410396059</v>
      </c>
      <c r="CV64" s="73">
        <f t="shared" si="654"/>
        <v>8.5646460461337206</v>
      </c>
      <c r="CW64" s="73">
        <f t="shared" si="655"/>
        <v>3.5788961561359138</v>
      </c>
      <c r="CX64" s="73">
        <f t="shared" si="656"/>
        <v>5.2523976287711847</v>
      </c>
      <c r="CY64" s="73">
        <f t="shared" si="657"/>
        <v>1.1518654419176881</v>
      </c>
      <c r="CZ64" s="190"/>
      <c r="DA64" s="66">
        <v>2020</v>
      </c>
      <c r="DB64" s="218">
        <f t="shared" si="467"/>
        <v>40.564814255131949</v>
      </c>
      <c r="DC64" s="218">
        <f t="shared" si="468"/>
        <v>4084.7765820333861</v>
      </c>
      <c r="DD64" s="73">
        <f t="shared" si="469"/>
        <v>3814.8198183716572</v>
      </c>
      <c r="DE64" s="73">
        <f t="shared" si="470"/>
        <v>1985.684742653566</v>
      </c>
      <c r="DF64" s="73">
        <f t="shared" si="471"/>
        <v>96.944977154632824</v>
      </c>
      <c r="DG64" s="73">
        <f t="shared" si="472"/>
        <v>207.66979071113849</v>
      </c>
      <c r="DH64" s="72">
        <f t="shared" si="500"/>
        <v>0.94837282109014798</v>
      </c>
      <c r="DI64" s="72">
        <f t="shared" si="501"/>
        <v>0.95345068965809199</v>
      </c>
      <c r="DJ64" s="73">
        <f>SUM(AV48:AV64,BB48:BB64,BI48:BI64)</f>
        <v>5990.6634179666144</v>
      </c>
      <c r="DK64" s="73">
        <f>SUM(AV54:AV64,BB54:BB64,BI54:BI64)</f>
        <v>4997.1657362806191</v>
      </c>
      <c r="DL64" s="190"/>
    </row>
    <row r="65" spans="1:120" x14ac:dyDescent="0.25">
      <c r="A65" s="178"/>
      <c r="B65" s="178"/>
      <c r="C65" s="182"/>
      <c r="D65" s="183"/>
      <c r="E65" s="183"/>
      <c r="F65" s="183"/>
      <c r="G65" s="183"/>
      <c r="H65" s="183"/>
      <c r="I65" s="183"/>
      <c r="J65" s="183"/>
      <c r="K65" s="183"/>
      <c r="L65" s="183"/>
      <c r="M65" s="183"/>
      <c r="N65" s="183"/>
      <c r="O65" s="183"/>
      <c r="P65" s="183"/>
      <c r="Q65" s="183"/>
      <c r="R65" s="183"/>
      <c r="S65" s="183"/>
      <c r="T65" s="183"/>
      <c r="U65" s="178"/>
      <c r="V65" s="190"/>
      <c r="W65" s="66">
        <v>17</v>
      </c>
      <c r="X65" s="66">
        <v>2021</v>
      </c>
      <c r="Y65" s="70">
        <f t="shared" si="658"/>
        <v>1.0687429364877362E-3</v>
      </c>
      <c r="Z65" s="70">
        <f t="shared" si="606"/>
        <v>4.0284889084111434E-4</v>
      </c>
      <c r="AA65" s="70">
        <f t="shared" si="607"/>
        <v>2.7064255354615121E-3</v>
      </c>
      <c r="AB65" s="70">
        <f t="shared" si="608"/>
        <v>1.1170912492479903E-4</v>
      </c>
      <c r="AC65" s="70">
        <f t="shared" si="609"/>
        <v>1.326251665677096E-3</v>
      </c>
      <c r="AD65" s="70">
        <f t="shared" si="610"/>
        <v>8.0258981991468295E-4</v>
      </c>
      <c r="AE65" s="70">
        <f t="shared" si="611"/>
        <v>0.12887662553941895</v>
      </c>
      <c r="AF65" s="70">
        <f t="shared" si="612"/>
        <v>5.2378942407273026E-2</v>
      </c>
      <c r="AG65" s="70">
        <f t="shared" si="613"/>
        <v>6.660156523122655E-3</v>
      </c>
      <c r="AH65" s="70">
        <f t="shared" si="614"/>
        <v>1.2224128687917855E-3</v>
      </c>
      <c r="AI65" s="70">
        <f t="shared" si="615"/>
        <v>7.0090636111450391E-4</v>
      </c>
      <c r="AJ65" s="70">
        <f t="shared" si="616"/>
        <v>1.3613971269330692E-3</v>
      </c>
      <c r="AK65" s="70">
        <f t="shared" si="617"/>
        <v>2.4471422237190288E-3</v>
      </c>
      <c r="AL65" s="70">
        <f t="shared" si="618"/>
        <v>0.14296831336330051</v>
      </c>
      <c r="AM65" s="70">
        <f t="shared" si="619"/>
        <v>4.4237093560720926E-2</v>
      </c>
      <c r="AN65" s="70">
        <f t="shared" si="620"/>
        <v>5.8090867939924826E-3</v>
      </c>
      <c r="AO65" s="70">
        <f t="shared" si="621"/>
        <v>1.2338531198352966E-2</v>
      </c>
      <c r="AP65" s="190"/>
      <c r="AQ65" s="66">
        <v>17</v>
      </c>
      <c r="AR65" s="66">
        <v>2021</v>
      </c>
      <c r="AS65" s="215">
        <f t="shared" si="450"/>
        <v>10.768055332005998</v>
      </c>
      <c r="AT65" s="215">
        <f t="shared" si="451"/>
        <v>4.0588798287361971</v>
      </c>
      <c r="AU65" s="215">
        <f t="shared" si="452"/>
        <v>27.268428097010339</v>
      </c>
      <c r="AV65" s="215">
        <f t="shared" si="453"/>
        <v>1.1255185856323171</v>
      </c>
      <c r="AW65" s="215">
        <f t="shared" si="454"/>
        <v>13.362569082429641</v>
      </c>
      <c r="AX65" s="215">
        <f t="shared" si="455"/>
        <v>8.0864455751611928</v>
      </c>
      <c r="AY65" s="215">
        <f t="shared" si="456"/>
        <v>1298.4887080248834</v>
      </c>
      <c r="AZ65" s="215">
        <f t="shared" si="457"/>
        <v>527.74089148793496</v>
      </c>
      <c r="BA65" s="215">
        <f t="shared" si="458"/>
        <v>67.104007439330928</v>
      </c>
      <c r="BB65" s="215">
        <f t="shared" si="459"/>
        <v>12.316347514739508</v>
      </c>
      <c r="BC65" s="215">
        <f t="shared" si="460"/>
        <v>7.0619399870275172</v>
      </c>
      <c r="BD65" s="215">
        <f t="shared" si="461"/>
        <v>13.716675068586524</v>
      </c>
      <c r="BE65" s="215">
        <f t="shared" si="462"/>
        <v>24.656034646547653</v>
      </c>
      <c r="BF65" s="215">
        <f t="shared" si="463"/>
        <v>1440.4686631931327</v>
      </c>
      <c r="BG65" s="215">
        <f t="shared" si="464"/>
        <v>445.70818194543006</v>
      </c>
      <c r="BH65" s="215">
        <f t="shared" si="465"/>
        <v>58.529105447663625</v>
      </c>
      <c r="BI65" s="215">
        <f t="shared" si="466"/>
        <v>124.31613077713341</v>
      </c>
      <c r="BJ65" s="194"/>
      <c r="BK65" s="66">
        <v>17</v>
      </c>
      <c r="BL65" s="66">
        <v>2021</v>
      </c>
      <c r="BM65" s="215">
        <f t="shared" si="622"/>
        <v>6.0949147502302958</v>
      </c>
      <c r="BN65" s="219">
        <f t="shared" si="623"/>
        <v>17.498590550402419</v>
      </c>
      <c r="BO65" s="219">
        <f t="shared" si="624"/>
        <v>31.563854484573515</v>
      </c>
      <c r="BP65" s="219">
        <f t="shared" si="625"/>
        <v>11.946647654124689</v>
      </c>
      <c r="BQ65" s="219">
        <f t="shared" si="626"/>
        <v>1.6317555257746841</v>
      </c>
      <c r="BR65" s="220">
        <f t="shared" si="627"/>
        <v>7.3194446631486851</v>
      </c>
      <c r="BS65" s="219">
        <f t="shared" si="628"/>
        <v>2.937258832251425</v>
      </c>
      <c r="BT65" s="219">
        <f t="shared" si="629"/>
        <v>1.2844292409249656</v>
      </c>
      <c r="BU65" s="219">
        <f t="shared" si="630"/>
        <v>19.288390873257026</v>
      </c>
      <c r="BV65" s="219">
        <f t="shared" si="631"/>
        <v>8.9069184891864133</v>
      </c>
      <c r="BW65" s="219">
        <f t="shared" si="632"/>
        <v>13.968374674305119</v>
      </c>
      <c r="BX65" s="220">
        <f t="shared" si="633"/>
        <v>3.1925331488152935</v>
      </c>
      <c r="BY65" s="195"/>
      <c r="BZ65" s="192">
        <v>17</v>
      </c>
      <c r="CA65" s="66">
        <v>2021</v>
      </c>
      <c r="CB65" s="218">
        <f t="shared" si="634"/>
        <v>0.30897743303027825</v>
      </c>
      <c r="CC65" s="218">
        <f t="shared" si="635"/>
        <v>0.10908666945445061</v>
      </c>
      <c r="CD65" s="73">
        <f t="shared" si="636"/>
        <v>0.7074544831475883</v>
      </c>
      <c r="CE65" s="73">
        <f t="shared" si="637"/>
        <v>0.58540172431281445</v>
      </c>
      <c r="CF65" s="73">
        <f t="shared" si="638"/>
        <v>0.33232258445774915</v>
      </c>
      <c r="CG65" s="73">
        <f t="shared" si="639"/>
        <v>6.655462671700656</v>
      </c>
      <c r="CH65" s="73">
        <f t="shared" si="640"/>
        <v>2.5947829747648252</v>
      </c>
      <c r="CI65" s="73">
        <f t="shared" si="641"/>
        <v>0.26439711193957866</v>
      </c>
      <c r="CJ65" s="73">
        <f t="shared" si="642"/>
        <v>0.68022267329379793</v>
      </c>
      <c r="CK65" s="73">
        <f t="shared" si="643"/>
        <v>0.88418388839247042</v>
      </c>
      <c r="CL65" s="73">
        <f t="shared" si="644"/>
        <v>0.31957388587761593</v>
      </c>
      <c r="CM65" s="73">
        <f t="shared" si="645"/>
        <v>4.5458500680850866</v>
      </c>
      <c r="CN65" s="73">
        <f t="shared" si="646"/>
        <v>8.2707682974054055</v>
      </c>
      <c r="CO65" s="73">
        <f t="shared" si="647"/>
        <v>4.7989664876646545</v>
      </c>
      <c r="CP65" s="73">
        <f t="shared" si="648"/>
        <v>39.034477671737257</v>
      </c>
      <c r="CQ65" s="73">
        <f t="shared" si="649"/>
        <v>41.229173129689805</v>
      </c>
      <c r="CR65" s="73">
        <f t="shared" si="650"/>
        <v>1.0443040601448228</v>
      </c>
      <c r="CS65" s="73">
        <f t="shared" si="651"/>
        <v>4.1206122602673911</v>
      </c>
      <c r="CT65" s="73">
        <f t="shared" si="652"/>
        <v>1.8626657013646095</v>
      </c>
      <c r="CU65" s="73">
        <f t="shared" si="653"/>
        <v>0.72155419457897352</v>
      </c>
      <c r="CV65" s="73">
        <f t="shared" si="654"/>
        <v>8.2719829175362687</v>
      </c>
      <c r="CW65" s="73">
        <f t="shared" si="655"/>
        <v>3.6380344369001163</v>
      </c>
      <c r="CX65" s="73">
        <f t="shared" si="656"/>
        <v>5.5384583916364392</v>
      </c>
      <c r="CY65" s="73">
        <f t="shared" si="657"/>
        <v>1.2392831601225764</v>
      </c>
      <c r="CZ65" s="190"/>
      <c r="DA65" s="66">
        <v>2021</v>
      </c>
      <c r="DB65" s="218">
        <f t="shared" si="467"/>
        <v>25.862000472483913</v>
      </c>
      <c r="DC65" s="218">
        <f t="shared" si="468"/>
        <v>3947.0185851558808</v>
      </c>
      <c r="DD65" s="73">
        <f t="shared" si="469"/>
        <v>3737.0624792979288</v>
      </c>
      <c r="DE65" s="73">
        <f t="shared" si="470"/>
        <v>1910.8328797851104</v>
      </c>
      <c r="DF65" s="73">
        <f t="shared" si="471"/>
        <v>79.307720503277665</v>
      </c>
      <c r="DG65" s="73">
        <f t="shared" si="472"/>
        <v>167.86074260019944</v>
      </c>
      <c r="DH65" s="72">
        <f t="shared" si="500"/>
        <v>0.95701304915321617</v>
      </c>
      <c r="DI65" s="72">
        <f t="shared" si="501"/>
        <v>0.96014968967931946</v>
      </c>
      <c r="DJ65" s="73">
        <f>SUM(AV48:AV65,BB48:BB65,BI48:BI65)</f>
        <v>6128.4214148441206</v>
      </c>
      <c r="DK65" s="73">
        <f>SUM(AV54:AV65,BB54:BB65,BI54:BI65)</f>
        <v>5134.9237331581235</v>
      </c>
      <c r="DL65" s="190"/>
    </row>
    <row r="66" spans="1:120" s="127" customFormat="1" x14ac:dyDescent="0.25">
      <c r="A66" s="178"/>
      <c r="B66" s="178"/>
      <c r="C66" s="182"/>
      <c r="D66" s="183"/>
      <c r="E66" s="183"/>
      <c r="F66" s="183"/>
      <c r="G66" s="183"/>
      <c r="H66" s="183"/>
      <c r="I66" s="183"/>
      <c r="J66" s="183"/>
      <c r="K66" s="183"/>
      <c r="L66" s="183"/>
      <c r="M66" s="183"/>
      <c r="N66" s="183"/>
      <c r="O66" s="183"/>
      <c r="P66" s="183"/>
      <c r="Q66" s="183"/>
      <c r="R66" s="183"/>
      <c r="S66" s="183"/>
      <c r="T66" s="183"/>
      <c r="U66" s="178"/>
      <c r="V66" s="190"/>
      <c r="W66" s="66">
        <v>18</v>
      </c>
      <c r="X66" s="66">
        <v>2022</v>
      </c>
      <c r="Y66" s="70">
        <f t="shared" si="658"/>
        <v>6.7732661508242652E-4</v>
      </c>
      <c r="Z66" s="70">
        <f t="shared" si="606"/>
        <v>2.5562115667186649E-4</v>
      </c>
      <c r="AA66" s="70">
        <f t="shared" si="607"/>
        <v>1.8841624350040005E-3</v>
      </c>
      <c r="AB66" s="70">
        <f t="shared" si="608"/>
        <v>7.5525454645140538E-5</v>
      </c>
      <c r="AC66" s="70">
        <f t="shared" si="609"/>
        <v>8.4332684384754689E-4</v>
      </c>
      <c r="AD66" s="70">
        <f t="shared" si="610"/>
        <v>5.1040528031911256E-4</v>
      </c>
      <c r="AE66" s="70">
        <f t="shared" si="611"/>
        <v>0.12680459430132304</v>
      </c>
      <c r="AF66" s="70">
        <f t="shared" si="612"/>
        <v>5.3620466931135799E-2</v>
      </c>
      <c r="AG66" s="70">
        <f t="shared" si="613"/>
        <v>5.9488056614860722E-3</v>
      </c>
      <c r="AH66" s="70">
        <f t="shared" si="614"/>
        <v>1.1603714298519779E-3</v>
      </c>
      <c r="AI66" s="70">
        <f t="shared" si="615"/>
        <v>4.4627832946829356E-4</v>
      </c>
      <c r="AJ66" s="70">
        <f t="shared" si="616"/>
        <v>8.6788353784968391E-4</v>
      </c>
      <c r="AK66" s="70">
        <f t="shared" si="617"/>
        <v>1.9290540904114823E-3</v>
      </c>
      <c r="AL66" s="70">
        <f t="shared" si="618"/>
        <v>0.13537630777562679</v>
      </c>
      <c r="AM66" s="70">
        <f t="shared" si="619"/>
        <v>4.4578697399399007E-2</v>
      </c>
      <c r="AN66" s="70">
        <f t="shared" si="620"/>
        <v>5.3593035479710775E-3</v>
      </c>
      <c r="AO66" s="70">
        <f t="shared" si="621"/>
        <v>1.1408391957883986E-2</v>
      </c>
      <c r="AP66" s="190"/>
      <c r="AQ66" s="66">
        <v>18</v>
      </c>
      <c r="AR66" s="66">
        <v>2022</v>
      </c>
      <c r="AS66" s="215">
        <f t="shared" si="450"/>
        <v>6.8243636706660835</v>
      </c>
      <c r="AT66" s="215">
        <f t="shared" si="451"/>
        <v>2.5754956267779905</v>
      </c>
      <c r="AU66" s="215">
        <f t="shared" si="452"/>
        <v>18.983765564136707</v>
      </c>
      <c r="AV66" s="215">
        <f t="shared" si="453"/>
        <v>0.76095218674983478</v>
      </c>
      <c r="AW66" s="215">
        <f t="shared" si="454"/>
        <v>8.4968890155753289</v>
      </c>
      <c r="AX66" s="215">
        <f t="shared" si="455"/>
        <v>5.1425577775383999</v>
      </c>
      <c r="AY66" s="215">
        <f t="shared" si="456"/>
        <v>1277.6120816073224</v>
      </c>
      <c r="AZ66" s="215">
        <f t="shared" si="457"/>
        <v>540.24979733664293</v>
      </c>
      <c r="BA66" s="215">
        <f t="shared" si="458"/>
        <v>59.936834513963234</v>
      </c>
      <c r="BB66" s="215">
        <f t="shared" si="459"/>
        <v>11.691252719187812</v>
      </c>
      <c r="BC66" s="215">
        <f t="shared" si="460"/>
        <v>4.4964505318580237</v>
      </c>
      <c r="BD66" s="215">
        <f t="shared" si="461"/>
        <v>8.7443085125922195</v>
      </c>
      <c r="BE66" s="215">
        <f t="shared" si="462"/>
        <v>19.436068744695465</v>
      </c>
      <c r="BF66" s="215">
        <f t="shared" si="463"/>
        <v>1363.9758664148612</v>
      </c>
      <c r="BG66" s="215">
        <f t="shared" si="464"/>
        <v>449.14999092580075</v>
      </c>
      <c r="BH66" s="215">
        <f t="shared" si="465"/>
        <v>53.997341339369719</v>
      </c>
      <c r="BI66" s="215">
        <f t="shared" si="466"/>
        <v>114.94456866814264</v>
      </c>
      <c r="BJ66" s="194"/>
      <c r="BK66" s="66">
        <v>18</v>
      </c>
      <c r="BL66" s="66">
        <v>2022</v>
      </c>
      <c r="BM66" s="215">
        <f t="shared" si="622"/>
        <v>3.9041227634838558</v>
      </c>
      <c r="BN66" s="219">
        <f t="shared" si="623"/>
        <v>12.425620788368164</v>
      </c>
      <c r="BO66" s="219">
        <f t="shared" si="624"/>
        <v>31.255377554840898</v>
      </c>
      <c r="BP66" s="219">
        <f t="shared" si="625"/>
        <v>12.351713407270317</v>
      </c>
      <c r="BQ66" s="219">
        <f t="shared" si="626"/>
        <v>1.0433592964539113</v>
      </c>
      <c r="BR66" s="220">
        <f t="shared" si="627"/>
        <v>5.2683085990818643</v>
      </c>
      <c r="BS66" s="219">
        <f t="shared" si="628"/>
        <v>1.8912673332809664</v>
      </c>
      <c r="BT66" s="219">
        <f t="shared" si="629"/>
        <v>0.96807874786107284</v>
      </c>
      <c r="BU66" s="219">
        <f t="shared" si="630"/>
        <v>18.352143817455129</v>
      </c>
      <c r="BV66" s="219">
        <f t="shared" si="631"/>
        <v>8.879679089925764</v>
      </c>
      <c r="BW66" s="219">
        <f t="shared" si="632"/>
        <v>14.259543014776281</v>
      </c>
      <c r="BX66" s="220">
        <f t="shared" si="633"/>
        <v>3.3349614405347254</v>
      </c>
      <c r="BY66" s="195"/>
      <c r="BZ66" s="192">
        <v>18</v>
      </c>
      <c r="CA66" s="66">
        <v>2022</v>
      </c>
      <c r="CB66" s="218">
        <f t="shared" si="634"/>
        <v>0.19581756445475879</v>
      </c>
      <c r="CC66" s="218">
        <f t="shared" si="635"/>
        <v>6.9257046276756315E-2</v>
      </c>
      <c r="CD66" s="73">
        <f t="shared" si="636"/>
        <v>0.49587757601831978</v>
      </c>
      <c r="CE66" s="73">
        <f t="shared" si="637"/>
        <v>0.37266250709910859</v>
      </c>
      <c r="CF66" s="73">
        <f t="shared" si="638"/>
        <v>0.21160543195635839</v>
      </c>
      <c r="CG66" s="73">
        <f t="shared" si="639"/>
        <v>6.5666771567847677</v>
      </c>
      <c r="CH66" s="73">
        <f t="shared" si="640"/>
        <v>2.6688750047787404</v>
      </c>
      <c r="CI66" s="73">
        <f t="shared" si="641"/>
        <v>0.16997825772610883</v>
      </c>
      <c r="CJ66" s="73">
        <f t="shared" si="642"/>
        <v>0.48801009633605924</v>
      </c>
      <c r="CK66" s="73">
        <f t="shared" si="643"/>
        <v>0.88026973506159545</v>
      </c>
      <c r="CL66" s="73">
        <f t="shared" si="644"/>
        <v>0.33317452944507409</v>
      </c>
      <c r="CM66" s="73">
        <f t="shared" si="645"/>
        <v>2.8990304456850402</v>
      </c>
      <c r="CN66" s="73">
        <f t="shared" si="646"/>
        <v>5.2834914714419732</v>
      </c>
      <c r="CO66" s="73">
        <f t="shared" si="647"/>
        <v>3.6442830671505804</v>
      </c>
      <c r="CP66" s="73">
        <f t="shared" si="648"/>
        <v>37.099553452011982</v>
      </c>
      <c r="CQ66" s="73">
        <f t="shared" si="649"/>
        <v>41.991149825905453</v>
      </c>
      <c r="CR66" s="73">
        <f t="shared" si="650"/>
        <v>0.66985969263762546</v>
      </c>
      <c r="CS66" s="73">
        <f t="shared" si="651"/>
        <v>3.0047399104146821</v>
      </c>
      <c r="CT66" s="73">
        <f t="shared" si="652"/>
        <v>1.2057880408494315</v>
      </c>
      <c r="CU66" s="73">
        <f t="shared" si="653"/>
        <v>0.52727713370684182</v>
      </c>
      <c r="CV66" s="73">
        <f t="shared" si="654"/>
        <v>7.9181687316182074</v>
      </c>
      <c r="CW66" s="73">
        <f t="shared" si="655"/>
        <v>3.6564213126731855</v>
      </c>
      <c r="CX66" s="73">
        <f t="shared" si="656"/>
        <v>5.7342236739385379</v>
      </c>
      <c r="CY66" s="73">
        <f t="shared" si="657"/>
        <v>1.3105819101090872</v>
      </c>
      <c r="CZ66" s="190"/>
      <c r="DA66" s="66">
        <v>2022</v>
      </c>
      <c r="DB66" s="218">
        <f t="shared" si="467"/>
        <v>16.462361916908609</v>
      </c>
      <c r="DC66" s="218">
        <f t="shared" si="468"/>
        <v>3819.6218115818006</v>
      </c>
      <c r="DD66" s="73">
        <f t="shared" si="469"/>
        <v>3650.4238050293225</v>
      </c>
      <c r="DE66" s="73">
        <f t="shared" si="470"/>
        <v>1832.5619260853573</v>
      </c>
      <c r="DF66" s="73">
        <f t="shared" si="471"/>
        <v>67.238100383819955</v>
      </c>
      <c r="DG66" s="73">
        <f t="shared" si="472"/>
        <v>140.81438169089694</v>
      </c>
      <c r="DH66" s="72">
        <f t="shared" si="500"/>
        <v>0.96285794382844758</v>
      </c>
      <c r="DI66" s="72">
        <f t="shared" si="501"/>
        <v>0.96460780111221311</v>
      </c>
      <c r="DJ66" s="73">
        <f>SUM(AV48:AV66,BB48:BB66,BI48:BI66)</f>
        <v>6255.8181884182004</v>
      </c>
      <c r="DK66" s="73">
        <f>SUM(AV54:AV66,BB54:BB66,BI54:BI66)</f>
        <v>5262.3205067322042</v>
      </c>
      <c r="DL66" s="190"/>
      <c r="DM66"/>
      <c r="DN66"/>
      <c r="DO66"/>
      <c r="DP66"/>
    </row>
    <row r="67" spans="1:120" s="127" customFormat="1" x14ac:dyDescent="0.25">
      <c r="A67" s="178"/>
      <c r="B67" s="178"/>
      <c r="C67" s="182"/>
      <c r="D67" s="183"/>
      <c r="E67" s="183"/>
      <c r="F67" s="183"/>
      <c r="G67" s="183"/>
      <c r="H67" s="183"/>
      <c r="I67" s="183"/>
      <c r="J67" s="183"/>
      <c r="K67" s="183"/>
      <c r="L67" s="183"/>
      <c r="M67" s="183"/>
      <c r="N67" s="183"/>
      <c r="O67" s="183"/>
      <c r="P67" s="183"/>
      <c r="Q67" s="183"/>
      <c r="R67" s="183"/>
      <c r="S67" s="183"/>
      <c r="T67" s="183"/>
      <c r="U67" s="178"/>
      <c r="V67" s="190"/>
      <c r="W67" s="66">
        <v>19</v>
      </c>
      <c r="X67" s="66">
        <v>2023</v>
      </c>
      <c r="Y67" s="70">
        <f t="shared" si="658"/>
        <v>4.2926257366125947E-4</v>
      </c>
      <c r="Z67" s="70">
        <f t="shared" si="606"/>
        <v>1.6213901506894086E-4</v>
      </c>
      <c r="AA67" s="70">
        <f t="shared" si="607"/>
        <v>1.3040992132410196E-3</v>
      </c>
      <c r="AB67" s="70">
        <f t="shared" si="608"/>
        <v>5.0942479852226775E-5</v>
      </c>
      <c r="AC67" s="70">
        <f t="shared" si="609"/>
        <v>5.3579676673255381E-4</v>
      </c>
      <c r="AD67" s="70">
        <f t="shared" si="610"/>
        <v>3.2429423427994791E-4</v>
      </c>
      <c r="AE67" s="70">
        <f t="shared" si="611"/>
        <v>0.1245247523416865</v>
      </c>
      <c r="AF67" s="70">
        <f t="shared" si="612"/>
        <v>5.469776544746708E-2</v>
      </c>
      <c r="AG67" s="70">
        <f t="shared" si="613"/>
        <v>5.4356611796024801E-3</v>
      </c>
      <c r="AH67" s="70">
        <f t="shared" si="614"/>
        <v>1.1152189542106901E-3</v>
      </c>
      <c r="AI67" s="70">
        <f t="shared" si="615"/>
        <v>2.8381691171732262E-4</v>
      </c>
      <c r="AJ67" s="70">
        <f t="shared" si="616"/>
        <v>5.5243048206531E-4</v>
      </c>
      <c r="AK67" s="70">
        <f t="shared" si="617"/>
        <v>1.5808695528367785E-3</v>
      </c>
      <c r="AL67" s="70">
        <f t="shared" si="618"/>
        <v>0.12786899483711858</v>
      </c>
      <c r="AM67" s="70">
        <f t="shared" si="619"/>
        <v>4.4541988433425272E-2</v>
      </c>
      <c r="AN67" s="70">
        <f t="shared" si="620"/>
        <v>5.0050023076804919E-3</v>
      </c>
      <c r="AO67" s="70">
        <f t="shared" si="621"/>
        <v>1.068919917494973E-2</v>
      </c>
      <c r="AP67" s="190"/>
      <c r="AQ67" s="66">
        <v>19</v>
      </c>
      <c r="AR67" s="66">
        <v>2023</v>
      </c>
      <c r="AS67" s="215">
        <f t="shared" si="450"/>
        <v>4.3250093051696004</v>
      </c>
      <c r="AT67" s="215">
        <f t="shared" si="451"/>
        <v>1.6336219179862095</v>
      </c>
      <c r="AU67" s="215">
        <f t="shared" si="452"/>
        <v>13.139373377057099</v>
      </c>
      <c r="AV67" s="215">
        <f t="shared" si="453"/>
        <v>0.51326789920231974</v>
      </c>
      <c r="AW67" s="215">
        <f t="shared" si="454"/>
        <v>5.3983881754078418</v>
      </c>
      <c r="AX67" s="215">
        <f t="shared" si="455"/>
        <v>3.2674070998335587</v>
      </c>
      <c r="AY67" s="215">
        <f t="shared" si="456"/>
        <v>1254.641670733522</v>
      </c>
      <c r="AZ67" s="215">
        <f t="shared" si="457"/>
        <v>551.10405390002779</v>
      </c>
      <c r="BA67" s="215">
        <f t="shared" si="458"/>
        <v>54.766678075414013</v>
      </c>
      <c r="BB67" s="215">
        <f t="shared" si="459"/>
        <v>11.236321660012557</v>
      </c>
      <c r="BC67" s="215">
        <f t="shared" si="460"/>
        <v>2.859580264993181</v>
      </c>
      <c r="BD67" s="215">
        <f t="shared" si="461"/>
        <v>5.5659801762201075</v>
      </c>
      <c r="BE67" s="215">
        <f t="shared" si="462"/>
        <v>15.927956327433792</v>
      </c>
      <c r="BF67" s="215">
        <f t="shared" si="463"/>
        <v>1288.3363853416981</v>
      </c>
      <c r="BG67" s="215">
        <f t="shared" si="464"/>
        <v>448.78013194167033</v>
      </c>
      <c r="BH67" s="215">
        <f t="shared" si="465"/>
        <v>50.427600450896335</v>
      </c>
      <c r="BI67" s="215">
        <f t="shared" si="466"/>
        <v>107.69838493525552</v>
      </c>
      <c r="BJ67" s="194"/>
      <c r="BK67" s="66">
        <v>19</v>
      </c>
      <c r="BL67" s="66">
        <v>2023</v>
      </c>
      <c r="BM67" s="215">
        <f t="shared" si="622"/>
        <v>2.4940043058230903</v>
      </c>
      <c r="BN67" s="219">
        <f t="shared" si="623"/>
        <v>8.7474731334559728</v>
      </c>
      <c r="BO67" s="219">
        <f t="shared" si="624"/>
        <v>30.83215035514549</v>
      </c>
      <c r="BP67" s="219">
        <f t="shared" si="625"/>
        <v>12.693050280989453</v>
      </c>
      <c r="BQ67" s="219">
        <f t="shared" si="626"/>
        <v>0.66558928886523527</v>
      </c>
      <c r="BR67" s="220">
        <f t="shared" si="627"/>
        <v>3.751262901181045</v>
      </c>
      <c r="BS67" s="219">
        <f t="shared" si="628"/>
        <v>1.2128800622030376</v>
      </c>
      <c r="BT67" s="219">
        <f t="shared" si="629"/>
        <v>0.7566803646381276</v>
      </c>
      <c r="BU67" s="219">
        <f t="shared" si="630"/>
        <v>17.390365396295021</v>
      </c>
      <c r="BV67" s="219">
        <f t="shared" si="631"/>
        <v>8.8015744207388025</v>
      </c>
      <c r="BW67" s="219">
        <f t="shared" si="632"/>
        <v>14.396251377987868</v>
      </c>
      <c r="BX67" s="220">
        <f t="shared" si="633"/>
        <v>3.4529966389872024</v>
      </c>
      <c r="BY67" s="195"/>
      <c r="BZ67" s="192">
        <v>19</v>
      </c>
      <c r="CA67" s="66">
        <v>2023</v>
      </c>
      <c r="CB67" s="218">
        <f t="shared" si="634"/>
        <v>0.12410135644189925</v>
      </c>
      <c r="CC67" s="218">
        <f t="shared" si="635"/>
        <v>4.3945922849577386E-2</v>
      </c>
      <c r="CD67" s="73">
        <f t="shared" si="636"/>
        <v>0.34522061991084307</v>
      </c>
      <c r="CE67" s="73">
        <f t="shared" si="637"/>
        <v>0.23696580676621182</v>
      </c>
      <c r="CF67" s="73">
        <f t="shared" si="638"/>
        <v>0.13457002211442595</v>
      </c>
      <c r="CG67" s="73">
        <f t="shared" si="639"/>
        <v>6.4611005237654062</v>
      </c>
      <c r="CH67" s="73">
        <f t="shared" si="640"/>
        <v>2.7321346587021287</v>
      </c>
      <c r="CI67" s="73">
        <f t="shared" si="641"/>
        <v>0.1088802735527601</v>
      </c>
      <c r="CJ67" s="73">
        <f t="shared" si="642"/>
        <v>0.34653238959451149</v>
      </c>
      <c r="CK67" s="73">
        <f t="shared" si="643"/>
        <v>0.8716667646816294</v>
      </c>
      <c r="CL67" s="73">
        <f t="shared" si="644"/>
        <v>0.34447122083548382</v>
      </c>
      <c r="CM67" s="73">
        <f t="shared" si="645"/>
        <v>1.8458592133774119</v>
      </c>
      <c r="CN67" s="73">
        <f t="shared" si="646"/>
        <v>3.3681981397769825</v>
      </c>
      <c r="CO67" s="73">
        <f t="shared" si="647"/>
        <v>2.872746458773574</v>
      </c>
      <c r="CP67" s="73">
        <f t="shared" si="648"/>
        <v>35.129466441247985</v>
      </c>
      <c r="CQ67" s="73">
        <f t="shared" si="649"/>
        <v>42.31541023309849</v>
      </c>
      <c r="CR67" s="73">
        <f t="shared" si="650"/>
        <v>0.42831436853962418</v>
      </c>
      <c r="CS67" s="73">
        <f t="shared" si="651"/>
        <v>2.1627183258507512</v>
      </c>
      <c r="CT67" s="73">
        <f t="shared" si="652"/>
        <v>0.77639311438256686</v>
      </c>
      <c r="CU67" s="73">
        <f t="shared" si="653"/>
        <v>0.39741059383474003</v>
      </c>
      <c r="CV67" s="73">
        <f t="shared" si="654"/>
        <v>7.5338255165188777</v>
      </c>
      <c r="CW67" s="73">
        <f t="shared" si="655"/>
        <v>3.6452391378141731</v>
      </c>
      <c r="CX67" s="73">
        <f t="shared" si="656"/>
        <v>5.8537525690291323</v>
      </c>
      <c r="CY67" s="73">
        <f t="shared" si="657"/>
        <v>1.3690508230112119</v>
      </c>
      <c r="CZ67" s="190"/>
      <c r="DA67" s="66">
        <v>2023</v>
      </c>
      <c r="DB67" s="218">
        <f t="shared" si="467"/>
        <v>10.467009194039875</v>
      </c>
      <c r="DC67" s="218">
        <f t="shared" si="468"/>
        <v>3700.1738370873304</v>
      </c>
      <c r="DD67" s="73">
        <f t="shared" si="469"/>
        <v>3558.7901982443518</v>
      </c>
      <c r="DE67" s="73">
        <f t="shared" si="470"/>
        <v>1753.0444736108022</v>
      </c>
      <c r="DF67" s="73">
        <f t="shared" si="471"/>
        <v>58.853160892109628</v>
      </c>
      <c r="DG67" s="73">
        <f t="shared" si="472"/>
        <v>122.28563424276504</v>
      </c>
      <c r="DH67" s="72">
        <f t="shared" si="500"/>
        <v>0.96677991983660316</v>
      </c>
      <c r="DI67" s="72">
        <f t="shared" si="501"/>
        <v>0.96751849565262238</v>
      </c>
      <c r="DJ67" s="73">
        <f>SUM(AV48:AV67,BB48:BB67,BI48:BI67)</f>
        <v>6375.2661629126715</v>
      </c>
      <c r="DK67" s="73">
        <f>SUM(AV54:AV67,BB54:BB67,BI54:BI67)</f>
        <v>5381.7684812266743</v>
      </c>
      <c r="DL67" s="190"/>
    </row>
    <row r="68" spans="1:120" s="127" customFormat="1" x14ac:dyDescent="0.25">
      <c r="A68" s="178"/>
      <c r="B68" s="190" t="s">
        <v>576</v>
      </c>
      <c r="C68" s="182"/>
      <c r="D68" s="183"/>
      <c r="E68" s="183"/>
      <c r="F68" s="183"/>
      <c r="G68" s="183"/>
      <c r="H68" s="183"/>
      <c r="I68" s="183"/>
      <c r="J68" s="183"/>
      <c r="K68" s="183"/>
      <c r="L68" s="183"/>
      <c r="M68" s="183"/>
      <c r="N68" s="183"/>
      <c r="O68" s="183"/>
      <c r="P68" s="183"/>
      <c r="Q68" s="183"/>
      <c r="R68" s="183"/>
      <c r="S68" s="183"/>
      <c r="T68" s="183"/>
      <c r="U68" s="178"/>
      <c r="V68" s="190"/>
      <c r="W68" s="197" t="s">
        <v>578</v>
      </c>
      <c r="X68" s="190"/>
      <c r="Y68" s="190"/>
      <c r="Z68" s="190"/>
      <c r="AA68" s="190"/>
      <c r="AB68" s="190"/>
      <c r="AC68" s="190"/>
      <c r="AD68" s="190"/>
      <c r="AE68" s="190"/>
      <c r="AF68" s="190"/>
      <c r="AG68" s="190"/>
      <c r="AH68" s="190"/>
      <c r="AI68" s="190"/>
      <c r="AJ68" s="190"/>
      <c r="AK68" s="190"/>
      <c r="AL68" s="190"/>
      <c r="AM68" s="190"/>
      <c r="AN68" s="190"/>
      <c r="AO68" s="190"/>
      <c r="AP68" s="190"/>
      <c r="AQ68" s="193" t="s">
        <v>90</v>
      </c>
      <c r="AR68" s="25"/>
      <c r="AS68" s="213"/>
      <c r="AT68" s="213"/>
      <c r="AU68" s="213"/>
      <c r="AV68" s="213"/>
      <c r="AW68" s="213"/>
      <c r="AX68" s="213"/>
      <c r="AY68" s="213"/>
      <c r="AZ68" s="213"/>
      <c r="BA68" s="213"/>
      <c r="BB68" s="213"/>
      <c r="BC68" s="213"/>
      <c r="BD68" s="213"/>
      <c r="BE68" s="213"/>
      <c r="BF68" s="213"/>
      <c r="BG68" s="213"/>
      <c r="BH68" s="213"/>
      <c r="BI68" s="213"/>
      <c r="BJ68" s="25"/>
      <c r="BK68" s="25"/>
      <c r="BL68" s="25"/>
      <c r="BM68" s="348" t="s">
        <v>570</v>
      </c>
      <c r="BN68" s="349"/>
      <c r="BO68" s="349"/>
      <c r="BP68" s="349"/>
      <c r="BQ68" s="350" t="s">
        <v>570</v>
      </c>
      <c r="BR68" s="350"/>
      <c r="BS68" s="350"/>
      <c r="BT68" s="350"/>
      <c r="BU68" s="350"/>
      <c r="BV68" s="350"/>
      <c r="BW68" s="350"/>
      <c r="BX68" s="351"/>
      <c r="BY68" s="199"/>
      <c r="BZ68" s="25"/>
      <c r="CA68" s="25"/>
      <c r="CB68" s="350" t="s">
        <v>302</v>
      </c>
      <c r="CC68" s="350"/>
      <c r="CD68" s="350"/>
      <c r="CE68" s="350" t="s">
        <v>302</v>
      </c>
      <c r="CF68" s="350"/>
      <c r="CG68" s="350"/>
      <c r="CH68" s="350"/>
      <c r="CI68" s="350"/>
      <c r="CJ68" s="350"/>
      <c r="CK68" s="350"/>
      <c r="CL68" s="350"/>
      <c r="CM68" s="350" t="s">
        <v>302</v>
      </c>
      <c r="CN68" s="350"/>
      <c r="CO68" s="350"/>
      <c r="CP68" s="350"/>
      <c r="CQ68" s="350"/>
      <c r="CR68" s="350"/>
      <c r="CS68" s="350"/>
      <c r="CT68" s="350"/>
      <c r="CU68" s="350"/>
      <c r="CV68" s="350"/>
      <c r="CW68" s="350"/>
      <c r="CX68" s="350"/>
      <c r="CY68" s="350"/>
      <c r="CZ68" s="190"/>
      <c r="DA68" s="190" t="s">
        <v>100</v>
      </c>
      <c r="DB68" s="217"/>
      <c r="DC68" s="217"/>
      <c r="DD68" s="217"/>
      <c r="DE68" s="217"/>
      <c r="DF68" s="217"/>
      <c r="DG68" s="217"/>
      <c r="DH68" s="222"/>
      <c r="DI68" s="222"/>
      <c r="DJ68" s="217"/>
      <c r="DK68" s="217"/>
      <c r="DL68" s="190"/>
    </row>
    <row r="69" spans="1:120" x14ac:dyDescent="0.25">
      <c r="A69" s="190"/>
      <c r="B69" s="188">
        <v>2007</v>
      </c>
      <c r="C69" s="187"/>
      <c r="D69" s="181" t="s">
        <v>320</v>
      </c>
      <c r="E69" s="181" t="s">
        <v>319</v>
      </c>
      <c r="F69" s="181" t="s">
        <v>318</v>
      </c>
      <c r="G69" s="181" t="s">
        <v>317</v>
      </c>
      <c r="H69" s="181" t="s">
        <v>321</v>
      </c>
      <c r="I69" s="181" t="s">
        <v>322</v>
      </c>
      <c r="J69" s="181" t="s">
        <v>323</v>
      </c>
      <c r="K69" s="181" t="s">
        <v>324</v>
      </c>
      <c r="L69" s="181" t="s">
        <v>325</v>
      </c>
      <c r="M69" s="181" t="s">
        <v>326</v>
      </c>
      <c r="N69" s="181" t="s">
        <v>327</v>
      </c>
      <c r="O69" s="181" t="s">
        <v>328</v>
      </c>
      <c r="P69" s="181" t="s">
        <v>329</v>
      </c>
      <c r="Q69" s="181" t="s">
        <v>330</v>
      </c>
      <c r="R69" s="181" t="s">
        <v>331</v>
      </c>
      <c r="S69" s="181" t="s">
        <v>332</v>
      </c>
      <c r="T69" s="181" t="s">
        <v>333</v>
      </c>
      <c r="U69" s="181" t="s">
        <v>87</v>
      </c>
      <c r="V69" s="190"/>
      <c r="W69" s="66" t="s">
        <v>88</v>
      </c>
      <c r="X69" s="66" t="s">
        <v>89</v>
      </c>
      <c r="Y69" s="61" t="s">
        <v>320</v>
      </c>
      <c r="Z69" s="61" t="s">
        <v>319</v>
      </c>
      <c r="AA69" s="61" t="s">
        <v>318</v>
      </c>
      <c r="AB69" s="61" t="s">
        <v>317</v>
      </c>
      <c r="AC69" s="61" t="s">
        <v>321</v>
      </c>
      <c r="AD69" s="61" t="s">
        <v>322</v>
      </c>
      <c r="AE69" s="61" t="s">
        <v>323</v>
      </c>
      <c r="AF69" s="61" t="s">
        <v>324</v>
      </c>
      <c r="AG69" s="61" t="s">
        <v>325</v>
      </c>
      <c r="AH69" s="61" t="s">
        <v>326</v>
      </c>
      <c r="AI69" s="61" t="s">
        <v>327</v>
      </c>
      <c r="AJ69" s="61" t="s">
        <v>328</v>
      </c>
      <c r="AK69" s="61" t="s">
        <v>329</v>
      </c>
      <c r="AL69" s="61" t="s">
        <v>330</v>
      </c>
      <c r="AM69" s="61" t="s">
        <v>331</v>
      </c>
      <c r="AN69" s="61" t="s">
        <v>332</v>
      </c>
      <c r="AO69" s="61" t="s">
        <v>333</v>
      </c>
      <c r="AP69" s="190"/>
      <c r="AQ69" s="66" t="s">
        <v>88</v>
      </c>
      <c r="AR69" s="66" t="s">
        <v>89</v>
      </c>
      <c r="AS69" s="214" t="s">
        <v>320</v>
      </c>
      <c r="AT69" s="214" t="s">
        <v>319</v>
      </c>
      <c r="AU69" s="214" t="s">
        <v>318</v>
      </c>
      <c r="AV69" s="214" t="s">
        <v>317</v>
      </c>
      <c r="AW69" s="214" t="s">
        <v>321</v>
      </c>
      <c r="AX69" s="214" t="s">
        <v>322</v>
      </c>
      <c r="AY69" s="214" t="s">
        <v>323</v>
      </c>
      <c r="AZ69" s="214" t="s">
        <v>324</v>
      </c>
      <c r="BA69" s="214" t="s">
        <v>325</v>
      </c>
      <c r="BB69" s="214" t="s">
        <v>326</v>
      </c>
      <c r="BC69" s="214" t="s">
        <v>327</v>
      </c>
      <c r="BD69" s="214" t="s">
        <v>328</v>
      </c>
      <c r="BE69" s="214" t="s">
        <v>329</v>
      </c>
      <c r="BF69" s="214" t="s">
        <v>330</v>
      </c>
      <c r="BG69" s="214" t="s">
        <v>331</v>
      </c>
      <c r="BH69" s="214" t="s">
        <v>332</v>
      </c>
      <c r="BI69" s="214" t="s">
        <v>333</v>
      </c>
      <c r="BJ69" s="189"/>
      <c r="BK69" s="66" t="s">
        <v>88</v>
      </c>
      <c r="BL69" s="66" t="s">
        <v>89</v>
      </c>
      <c r="BM69" s="122" t="s">
        <v>627</v>
      </c>
      <c r="BN69" s="122" t="s">
        <v>715</v>
      </c>
      <c r="BO69" s="122" t="s">
        <v>628</v>
      </c>
      <c r="BP69" s="122" t="s">
        <v>629</v>
      </c>
      <c r="BQ69" s="122" t="s">
        <v>627</v>
      </c>
      <c r="BR69" s="122" t="s">
        <v>716</v>
      </c>
      <c r="BS69" s="122" t="s">
        <v>717</v>
      </c>
      <c r="BT69" s="122" t="s">
        <v>721</v>
      </c>
      <c r="BU69" s="122" t="s">
        <v>720</v>
      </c>
      <c r="BV69" s="122" t="s">
        <v>719</v>
      </c>
      <c r="BW69" s="122" t="s">
        <v>629</v>
      </c>
      <c r="BX69" s="122" t="s">
        <v>722</v>
      </c>
      <c r="BY69" s="182"/>
      <c r="BZ69" s="192" t="s">
        <v>88</v>
      </c>
      <c r="CA69" s="66" t="s">
        <v>89</v>
      </c>
      <c r="CB69" s="218" t="s">
        <v>124</v>
      </c>
      <c r="CC69" s="218" t="s">
        <v>630</v>
      </c>
      <c r="CD69" s="218" t="s">
        <v>570</v>
      </c>
      <c r="CE69" s="218" t="s">
        <v>124</v>
      </c>
      <c r="CF69" s="218" t="s">
        <v>630</v>
      </c>
      <c r="CG69" s="218" t="s">
        <v>631</v>
      </c>
      <c r="CH69" s="218" t="s">
        <v>632</v>
      </c>
      <c r="CI69" s="227" t="s">
        <v>624</v>
      </c>
      <c r="CJ69" s="227" t="s">
        <v>725</v>
      </c>
      <c r="CK69" s="227" t="s">
        <v>625</v>
      </c>
      <c r="CL69" s="227" t="s">
        <v>626</v>
      </c>
      <c r="CM69" s="218" t="s">
        <v>124</v>
      </c>
      <c r="CN69" s="218" t="s">
        <v>633</v>
      </c>
      <c r="CO69" s="218" t="s">
        <v>634</v>
      </c>
      <c r="CP69" s="218" t="s">
        <v>635</v>
      </c>
      <c r="CQ69" s="218" t="s">
        <v>632</v>
      </c>
      <c r="CR69" s="122" t="s">
        <v>624</v>
      </c>
      <c r="CS69" s="122" t="s">
        <v>726</v>
      </c>
      <c r="CT69" s="122" t="s">
        <v>727</v>
      </c>
      <c r="CU69" s="122" t="s">
        <v>637</v>
      </c>
      <c r="CV69" s="122" t="s">
        <v>638</v>
      </c>
      <c r="CW69" s="122" t="s">
        <v>728</v>
      </c>
      <c r="CX69" s="122" t="s">
        <v>626</v>
      </c>
      <c r="CY69" s="122" t="s">
        <v>729</v>
      </c>
      <c r="CZ69" s="190"/>
      <c r="DA69" s="67" t="s">
        <v>89</v>
      </c>
      <c r="DB69" s="219" t="s">
        <v>91</v>
      </c>
      <c r="DC69" s="219" t="s">
        <v>99</v>
      </c>
      <c r="DD69" s="215" t="s">
        <v>92</v>
      </c>
      <c r="DE69" s="215" t="s">
        <v>97</v>
      </c>
      <c r="DF69" s="215" t="s">
        <v>93</v>
      </c>
      <c r="DG69" s="215" t="s">
        <v>94</v>
      </c>
      <c r="DH69" s="223" t="s">
        <v>96</v>
      </c>
      <c r="DI69" s="223" t="s">
        <v>98</v>
      </c>
      <c r="DJ69" s="219" t="s">
        <v>95</v>
      </c>
      <c r="DK69" s="219" t="s">
        <v>102</v>
      </c>
      <c r="DL69" s="190"/>
      <c r="DM69" s="127"/>
      <c r="DN69" s="127"/>
      <c r="DO69" s="127"/>
      <c r="DP69" s="127"/>
    </row>
    <row r="70" spans="1:120" x14ac:dyDescent="0.25">
      <c r="A70" s="190"/>
      <c r="B70" s="188">
        <v>2007</v>
      </c>
      <c r="C70" s="61" t="s">
        <v>320</v>
      </c>
      <c r="D70" s="172">
        <f>pAsympt_NoCare_2007_2009</f>
        <v>0.63376008575865694</v>
      </c>
      <c r="E70" s="172">
        <f>pAsympt_NoCare_Asympt_InCare_2007_2009</f>
        <v>7.4027434914144222E-2</v>
      </c>
      <c r="F70" s="169">
        <v>0</v>
      </c>
      <c r="G70" s="170">
        <f>pAsympt_NoCare_Asympt_Dead_2007_2009</f>
        <v>1.818504441305463E-2</v>
      </c>
      <c r="H70" s="170">
        <f>pAsympt_NoCare_Int_NoCare_2007_2009</f>
        <v>0.2</v>
      </c>
      <c r="I70" s="172">
        <f>pAsympt_NoCare_Int_InCare_2007_2009</f>
        <v>7.4027434914144222E-2</v>
      </c>
      <c r="J70" s="171">
        <f>pAsympt_NoCare_Int_ART1_2007_2009</f>
        <v>0</v>
      </c>
      <c r="K70" s="169">
        <v>0</v>
      </c>
      <c r="L70" s="169">
        <v>0</v>
      </c>
      <c r="M70" s="169">
        <v>0</v>
      </c>
      <c r="N70" s="169">
        <v>0</v>
      </c>
      <c r="O70" s="169">
        <v>0</v>
      </c>
      <c r="P70" s="169">
        <v>0</v>
      </c>
      <c r="Q70" s="169">
        <v>0</v>
      </c>
      <c r="R70" s="169">
        <v>0</v>
      </c>
      <c r="S70" s="169">
        <v>0</v>
      </c>
      <c r="T70" s="169">
        <v>0</v>
      </c>
      <c r="U70" s="61">
        <f>SUM(D70:T70)</f>
        <v>0.99999999999999989</v>
      </c>
      <c r="V70" s="190"/>
      <c r="W70" s="66">
        <v>0</v>
      </c>
      <c r="X70" s="66">
        <v>2004</v>
      </c>
      <c r="Y70" s="69">
        <v>0</v>
      </c>
      <c r="Z70" s="69">
        <v>0</v>
      </c>
      <c r="AA70" s="69">
        <v>0</v>
      </c>
      <c r="AB70" s="69">
        <v>0</v>
      </c>
      <c r="AC70" s="69">
        <v>0</v>
      </c>
      <c r="AD70" s="69">
        <v>0</v>
      </c>
      <c r="AE70" s="69">
        <v>0</v>
      </c>
      <c r="AF70" s="69">
        <v>0</v>
      </c>
      <c r="AG70" s="69">
        <v>0</v>
      </c>
      <c r="AH70" s="69">
        <v>0</v>
      </c>
      <c r="AI70" s="69">
        <v>0</v>
      </c>
      <c r="AJ70" s="69">
        <v>0</v>
      </c>
      <c r="AK70" s="69">
        <v>0</v>
      </c>
      <c r="AL70" s="69">
        <v>0</v>
      </c>
      <c r="AM70" s="69">
        <v>0</v>
      </c>
      <c r="AN70" s="69">
        <v>0</v>
      </c>
      <c r="AO70" s="69">
        <v>0</v>
      </c>
      <c r="AP70" s="190"/>
      <c r="AQ70" s="66">
        <v>0</v>
      </c>
      <c r="AR70" s="66">
        <v>2004</v>
      </c>
      <c r="AS70" s="215">
        <f t="shared" ref="AS70:AS89" si="659">Inc_2007*Y70</f>
        <v>0</v>
      </c>
      <c r="AT70" s="215">
        <f t="shared" ref="AT70:AT89" si="660">Inc_2007*Z70</f>
        <v>0</v>
      </c>
      <c r="AU70" s="215">
        <f t="shared" ref="AU70:AU89" si="661">Inc_2007*AA70</f>
        <v>0</v>
      </c>
      <c r="AV70" s="215">
        <f t="shared" ref="AV70:AV89" si="662">Inc_2007*AB70</f>
        <v>0</v>
      </c>
      <c r="AW70" s="215">
        <f t="shared" ref="AW70:AW89" si="663">Inc_2007*AC70</f>
        <v>0</v>
      </c>
      <c r="AX70" s="215">
        <f t="shared" ref="AX70:AX89" si="664">Inc_2007*AD70</f>
        <v>0</v>
      </c>
      <c r="AY70" s="215">
        <f t="shared" ref="AY70:AY89" si="665">Inc_2007*AE70</f>
        <v>0</v>
      </c>
      <c r="AZ70" s="215">
        <f t="shared" ref="AZ70:AZ89" si="666">Inc_2007*AF70</f>
        <v>0</v>
      </c>
      <c r="BA70" s="215">
        <f t="shared" ref="BA70:BA89" si="667">Inc_2007*AG70</f>
        <v>0</v>
      </c>
      <c r="BB70" s="215">
        <f t="shared" ref="BB70:BB89" si="668">Inc_2007*AH70</f>
        <v>0</v>
      </c>
      <c r="BC70" s="215">
        <f t="shared" ref="BC70:BC89" si="669">Inc_2007*AI70</f>
        <v>0</v>
      </c>
      <c r="BD70" s="215">
        <f t="shared" ref="BD70:BD89" si="670">Inc_2007*AJ70</f>
        <v>0</v>
      </c>
      <c r="BE70" s="215">
        <f t="shared" ref="BE70:BE89" si="671">Inc_2007*AK70</f>
        <v>0</v>
      </c>
      <c r="BF70" s="215">
        <f t="shared" ref="BF70:BF89" si="672">Inc_2007*AL70</f>
        <v>0</v>
      </c>
      <c r="BG70" s="215">
        <f t="shared" ref="BG70:BG89" si="673">Inc_2007*AM70</f>
        <v>0</v>
      </c>
      <c r="BH70" s="215">
        <f t="shared" ref="BH70:BH89" si="674">Inc_2007*AN70</f>
        <v>0</v>
      </c>
      <c r="BI70" s="215">
        <f t="shared" ref="BI70:BI89" si="675">Inc_2007*AO70</f>
        <v>0</v>
      </c>
      <c r="BJ70" s="194"/>
      <c r="BK70" s="66">
        <v>0</v>
      </c>
      <c r="BL70" s="66">
        <v>2004</v>
      </c>
      <c r="BM70" s="215">
        <f>BA70</f>
        <v>0</v>
      </c>
      <c r="BN70" s="219">
        <v>0</v>
      </c>
      <c r="BO70" s="219">
        <v>0</v>
      </c>
      <c r="BP70" s="219">
        <v>0</v>
      </c>
      <c r="BQ70" s="219">
        <f>BH70</f>
        <v>0</v>
      </c>
      <c r="BR70" s="219">
        <v>0</v>
      </c>
      <c r="BS70" s="219">
        <v>0</v>
      </c>
      <c r="BT70" s="219">
        <v>0</v>
      </c>
      <c r="BU70" s="219">
        <v>0</v>
      </c>
      <c r="BV70" s="219">
        <v>0</v>
      </c>
      <c r="BW70" s="219">
        <v>0</v>
      </c>
      <c r="BX70" s="219">
        <v>0</v>
      </c>
      <c r="BY70" s="195"/>
      <c r="BZ70" s="192">
        <v>0</v>
      </c>
      <c r="CA70" s="66">
        <v>2004</v>
      </c>
      <c r="CB70" s="218">
        <v>0</v>
      </c>
      <c r="CC70" s="218">
        <v>0</v>
      </c>
      <c r="CD70" s="218">
        <v>0</v>
      </c>
      <c r="CE70" s="218">
        <v>0</v>
      </c>
      <c r="CF70" s="218">
        <v>0</v>
      </c>
      <c r="CG70" s="218">
        <v>0</v>
      </c>
      <c r="CH70" s="218">
        <v>0</v>
      </c>
      <c r="CI70" s="218">
        <v>0</v>
      </c>
      <c r="CJ70" s="218">
        <v>0</v>
      </c>
      <c r="CK70" s="218">
        <v>0</v>
      </c>
      <c r="CL70" s="218">
        <v>0</v>
      </c>
      <c r="CM70" s="218">
        <v>0</v>
      </c>
      <c r="CN70" s="218">
        <v>0</v>
      </c>
      <c r="CO70" s="218">
        <v>0</v>
      </c>
      <c r="CP70" s="218">
        <v>0</v>
      </c>
      <c r="CQ70" s="218">
        <v>0</v>
      </c>
      <c r="CR70" s="218">
        <v>0</v>
      </c>
      <c r="CS70" s="218">
        <v>0</v>
      </c>
      <c r="CT70" s="218">
        <v>0</v>
      </c>
      <c r="CU70" s="218">
        <v>0</v>
      </c>
      <c r="CV70" s="218">
        <v>0</v>
      </c>
      <c r="CW70" s="218">
        <v>0</v>
      </c>
      <c r="CX70" s="218">
        <v>0</v>
      </c>
      <c r="CY70" s="218">
        <v>0</v>
      </c>
      <c r="CZ70" s="190"/>
      <c r="DA70" s="67">
        <v>2004</v>
      </c>
      <c r="DB70" s="218">
        <f t="shared" ref="DB70:DB89" si="676">SUM(AT70,AX70,BD70)</f>
        <v>0</v>
      </c>
      <c r="DC70" s="218">
        <f t="shared" ref="DC70:DC89" si="677">SUM(AS70:AU70,AW70:BA70,BC70:BH70)</f>
        <v>0</v>
      </c>
      <c r="DD70" s="73">
        <f t="shared" ref="DD70:DD89" si="678">SUM(AY70:AZ70,BE70:BG70)</f>
        <v>0</v>
      </c>
      <c r="DE70" s="73">
        <f t="shared" ref="DE70:DE89" si="679">SUM(BE70:BG70)</f>
        <v>0</v>
      </c>
      <c r="DF70" s="73">
        <f t="shared" ref="DF70:DF89" si="680">SUM(BC70,BD70,BH70)</f>
        <v>0</v>
      </c>
      <c r="DG70" s="73">
        <f t="shared" ref="DG70:DG89" si="681">SUM(BC70,BD70,BH70,AW70,AX70,BA70)</f>
        <v>0</v>
      </c>
      <c r="DH70" s="72" t="e">
        <f>DD70/(DD70+DG70)</f>
        <v>#DIV/0!</v>
      </c>
      <c r="DI70" s="72" t="e">
        <f>DE70/(DE70+DF70)</f>
        <v>#DIV/0!</v>
      </c>
      <c r="DJ70" s="73">
        <f>SUM(AV70,BB70,BI70)</f>
        <v>0</v>
      </c>
      <c r="DK70" s="73">
        <v>0</v>
      </c>
      <c r="DL70" s="190"/>
    </row>
    <row r="71" spans="1:120" x14ac:dyDescent="0.25">
      <c r="A71" s="190"/>
      <c r="B71" s="188">
        <v>2007</v>
      </c>
      <c r="C71" s="61" t="s">
        <v>319</v>
      </c>
      <c r="D71" s="169">
        <v>0</v>
      </c>
      <c r="E71" s="172">
        <f>pAsympt_InCare_2004_2012</f>
        <v>0.43814160225821164</v>
      </c>
      <c r="F71" s="170">
        <f>pAsympt_InCare_Asympt_LTFU_2004_2012</f>
        <v>0.30679530417926698</v>
      </c>
      <c r="G71" s="170">
        <f>pAsympt_InCare_Asympt_Dead_2004_2012</f>
        <v>1.7063093562521336E-2</v>
      </c>
      <c r="H71" s="169">
        <v>0</v>
      </c>
      <c r="I71" s="170">
        <f>pAsympt_InCare_Int_InCare_2004_2012</f>
        <v>0.2</v>
      </c>
      <c r="J71" s="170">
        <f>pAsympt_InCare_Int_ART1_2004_2012</f>
        <v>3.7999999999999999E-2</v>
      </c>
      <c r="K71" s="169">
        <v>0</v>
      </c>
      <c r="L71" s="169">
        <v>0</v>
      </c>
      <c r="M71" s="169">
        <v>0</v>
      </c>
      <c r="N71" s="169">
        <v>0</v>
      </c>
      <c r="O71" s="169">
        <v>0</v>
      </c>
      <c r="P71" s="169">
        <v>0</v>
      </c>
      <c r="Q71" s="169">
        <v>0</v>
      </c>
      <c r="R71" s="169">
        <v>0</v>
      </c>
      <c r="S71" s="169">
        <v>0</v>
      </c>
      <c r="T71" s="169">
        <v>0</v>
      </c>
      <c r="U71" s="61">
        <f t="shared" ref="U71:U86" si="682">SUM(D71:T71)</f>
        <v>1</v>
      </c>
      <c r="V71" s="190"/>
      <c r="W71" s="66">
        <v>1</v>
      </c>
      <c r="X71" s="66">
        <v>2005</v>
      </c>
      <c r="Y71" s="69">
        <v>0</v>
      </c>
      <c r="Z71" s="69">
        <v>0</v>
      </c>
      <c r="AA71" s="69">
        <v>0</v>
      </c>
      <c r="AB71" s="69">
        <v>0</v>
      </c>
      <c r="AC71" s="69">
        <v>0</v>
      </c>
      <c r="AD71" s="69">
        <v>0</v>
      </c>
      <c r="AE71" s="69">
        <v>0</v>
      </c>
      <c r="AF71" s="69">
        <v>0</v>
      </c>
      <c r="AG71" s="69">
        <v>0</v>
      </c>
      <c r="AH71" s="69">
        <v>0</v>
      </c>
      <c r="AI71" s="69">
        <v>0</v>
      </c>
      <c r="AJ71" s="69">
        <v>0</v>
      </c>
      <c r="AK71" s="69">
        <v>0</v>
      </c>
      <c r="AL71" s="69">
        <v>0</v>
      </c>
      <c r="AM71" s="69">
        <v>0</v>
      </c>
      <c r="AN71" s="69">
        <v>0</v>
      </c>
      <c r="AO71" s="69">
        <v>0</v>
      </c>
      <c r="AP71" s="190"/>
      <c r="AQ71" s="66">
        <v>1</v>
      </c>
      <c r="AR71" s="66">
        <v>2005</v>
      </c>
      <c r="AS71" s="215">
        <f t="shared" si="659"/>
        <v>0</v>
      </c>
      <c r="AT71" s="215">
        <f t="shared" si="660"/>
        <v>0</v>
      </c>
      <c r="AU71" s="215">
        <f t="shared" si="661"/>
        <v>0</v>
      </c>
      <c r="AV71" s="215">
        <f t="shared" si="662"/>
        <v>0</v>
      </c>
      <c r="AW71" s="215">
        <f t="shared" si="663"/>
        <v>0</v>
      </c>
      <c r="AX71" s="215">
        <f t="shared" si="664"/>
        <v>0</v>
      </c>
      <c r="AY71" s="215">
        <f t="shared" si="665"/>
        <v>0</v>
      </c>
      <c r="AZ71" s="215">
        <f t="shared" si="666"/>
        <v>0</v>
      </c>
      <c r="BA71" s="215">
        <f t="shared" si="667"/>
        <v>0</v>
      </c>
      <c r="BB71" s="215">
        <f t="shared" si="668"/>
        <v>0</v>
      </c>
      <c r="BC71" s="215">
        <f t="shared" si="669"/>
        <v>0</v>
      </c>
      <c r="BD71" s="215">
        <f t="shared" si="670"/>
        <v>0</v>
      </c>
      <c r="BE71" s="215">
        <f t="shared" si="671"/>
        <v>0</v>
      </c>
      <c r="BF71" s="215">
        <f t="shared" si="672"/>
        <v>0</v>
      </c>
      <c r="BG71" s="215">
        <f t="shared" si="673"/>
        <v>0</v>
      </c>
      <c r="BH71" s="215">
        <f t="shared" si="674"/>
        <v>0</v>
      </c>
      <c r="BI71" s="215">
        <f t="shared" si="675"/>
        <v>0</v>
      </c>
      <c r="BJ71" s="194"/>
      <c r="BK71" s="66">
        <v>1</v>
      </c>
      <c r="BL71" s="66">
        <v>2005</v>
      </c>
      <c r="BM71" s="215">
        <f t="shared" ref="BM71:BM78" si="683">(AX70*pInt_InCare_Int_LTFU_2004_2012)+(BM70*pInt_LTFU_2004_2012)</f>
        <v>0</v>
      </c>
      <c r="BN71" s="219">
        <f t="shared" ref="BN71:BN78" si="684">(AU70*pAsympt_LTFU_Int_LTFU_2004_2012)+(BN70*pInt_LTFU_2004_2012)</f>
        <v>0</v>
      </c>
      <c r="BO71" s="219">
        <f t="shared" ref="BO71:BO78" si="685">(AY70*pInt_ART1_Int_LTFU_2004_2012)+(BO70*pInt_LTFU_2004_2012)</f>
        <v>0</v>
      </c>
      <c r="BP71" s="219">
        <v>0</v>
      </c>
      <c r="BQ71" s="219">
        <f t="shared" ref="BQ71:BQ78" si="686">(BD70*pAIDS_InCare_AIDS_LTFU_2004_2012)+(BQ70*pAIDS_LTFU_2004_2012)</f>
        <v>0</v>
      </c>
      <c r="BR71" s="220">
        <f>(BN70*pInt_LTFU_AIDS_LTFU_2004_2012)</f>
        <v>0</v>
      </c>
      <c r="BS71" s="219">
        <f>(BM70*pInt_LTFU_AIDS_LTFU_2004_2012)</f>
        <v>0</v>
      </c>
      <c r="BT71" s="219">
        <f>(BE70*pAIDS_ART1ear_AIDS_LTFU_2004_2012)</f>
        <v>0</v>
      </c>
      <c r="BU71" s="219">
        <f>(BF70*pAIDS_ART1late_AIDS_LTFU_2004_2012)</f>
        <v>0</v>
      </c>
      <c r="BV71" s="219">
        <f>(BO70*pInt_LTFU_AIDS_LTFU_2004_2012)</f>
        <v>0</v>
      </c>
      <c r="BW71" s="219">
        <f>(BG70*pAIDS_ART2_AIDS_LTFU_2004_2012)</f>
        <v>0</v>
      </c>
      <c r="BX71" s="220">
        <f>(BP70*pInt_LTFU_AIDS_LTFU_2004_2012)</f>
        <v>0</v>
      </c>
      <c r="BY71" s="195"/>
      <c r="BZ71" s="192">
        <v>1</v>
      </c>
      <c r="CA71" s="66">
        <v>2005</v>
      </c>
      <c r="CB71" s="218">
        <f>pAsympt_NoCare_Asympt_Dead_2004_2006*AS70</f>
        <v>0</v>
      </c>
      <c r="CC71" s="218">
        <f t="shared" ref="CC71:CC78" si="687">pAsympt_InCare_Asympt_Dead_2004_2012*AT70</f>
        <v>0</v>
      </c>
      <c r="CD71" s="73">
        <f t="shared" ref="CD71:CD78" si="688">pAsympt_LTFU_Asympt_Dead_2004_2012*AU70</f>
        <v>0</v>
      </c>
      <c r="CE71" s="73">
        <f>pInt_NoCare_Int_Dead_2004_2006*AW70</f>
        <v>0</v>
      </c>
      <c r="CF71" s="73">
        <f t="shared" ref="CF71:CF78" si="689">pInt_InCare_Int_Dead_2004_2012*AX70</f>
        <v>0</v>
      </c>
      <c r="CG71" s="73">
        <f t="shared" ref="CG71:CG78" si="690">pInt_ART1_Int_Dead_2004_2012*AY70</f>
        <v>0</v>
      </c>
      <c r="CH71" s="73">
        <f t="shared" ref="CH71:CH78" si="691">pInt_ART2_Int_Dead_2004_2012*AZ70</f>
        <v>0</v>
      </c>
      <c r="CI71" s="73">
        <f t="shared" ref="CI71:CI78" si="692">(BM70*pInt_LTFU_Int_Dead_2004_2012)</f>
        <v>0</v>
      </c>
      <c r="CJ71" s="73">
        <f t="shared" ref="CJ71:CJ78" si="693">(BN70*pInt_LTFU_Int_Dead_2004_2012)</f>
        <v>0</v>
      </c>
      <c r="CK71" s="73">
        <f t="shared" ref="CK71:CK78" si="694">(BO70*pInt_LTFU_Int_Dead_2004_2012)</f>
        <v>0</v>
      </c>
      <c r="CL71" s="73">
        <f t="shared" ref="CL71:CL78" si="695">(BP70*pInt_LTFU_Int_Dead_2004_2012)</f>
        <v>0</v>
      </c>
      <c r="CM71" s="73">
        <f t="shared" ref="CM71:CM72" si="696">pAIDS_NoCare_AIDS_Dead_2004_2006*BC70</f>
        <v>0</v>
      </c>
      <c r="CN71" s="73">
        <f t="shared" ref="CN71:CN78" si="697">pAIDS_InCare_AIDS_Dead_2004_2012*BD70</f>
        <v>0</v>
      </c>
      <c r="CO71" s="73">
        <f t="shared" ref="CO71:CO78" si="698">pAIDS_ART1ear_AIDS_Dead_2004_2012*BE70</f>
        <v>0</v>
      </c>
      <c r="CP71" s="73">
        <f t="shared" ref="CP71:CP78" si="699">pAIDS_ART1late_AIDS_Dead_2004_2012*BF70</f>
        <v>0</v>
      </c>
      <c r="CQ71" s="73">
        <f t="shared" ref="CQ71:CQ78" si="700">pAIDS_ART2_AIDS_Dead_2004_2012*BG70</f>
        <v>0</v>
      </c>
      <c r="CR71" s="73">
        <f t="shared" ref="CR71:CR78" si="701">(BQ70*pAIDS_LTFU_AIDS_Dead_2004_2012)</f>
        <v>0</v>
      </c>
      <c r="CS71" s="73">
        <f t="shared" ref="CS71:CS78" si="702">(BR70*pAIDS_LTFU_AIDS_Dead_2004_2012)</f>
        <v>0</v>
      </c>
      <c r="CT71" s="73">
        <f t="shared" ref="CT71:CT78" si="703">(BS70*pAIDS_LTFU_AIDS_Dead_2004_2012)</f>
        <v>0</v>
      </c>
      <c r="CU71" s="73">
        <f t="shared" ref="CU71:CU78" si="704">(BT70*pAIDS_LTFU_AIDS_Dead_2004_2012)</f>
        <v>0</v>
      </c>
      <c r="CV71" s="73">
        <f t="shared" ref="CV71:CV78" si="705">(BU70*pAIDS_LTFU_AIDS_Dead_2004_2012)</f>
        <v>0</v>
      </c>
      <c r="CW71" s="73">
        <f t="shared" ref="CW71:CW78" si="706">(BV70*pAIDS_LTFU_AIDS_Dead_2004_2012)</f>
        <v>0</v>
      </c>
      <c r="CX71" s="73">
        <f t="shared" ref="CX71:CX78" si="707">(BW70*pAIDS_LTFU_AIDS_Dead_2004_2012)</f>
        <v>0</v>
      </c>
      <c r="CY71" s="73">
        <f t="shared" ref="CY71:CY78" si="708">(BX70*pAIDS_LTFU_AIDS_Dead_2004_2012)</f>
        <v>0</v>
      </c>
      <c r="CZ71" s="190"/>
      <c r="DA71" s="67">
        <v>2005</v>
      </c>
      <c r="DB71" s="218">
        <f t="shared" si="676"/>
        <v>0</v>
      </c>
      <c r="DC71" s="218">
        <f t="shared" si="677"/>
        <v>0</v>
      </c>
      <c r="DD71" s="73">
        <f t="shared" si="678"/>
        <v>0</v>
      </c>
      <c r="DE71" s="73">
        <f t="shared" si="679"/>
        <v>0</v>
      </c>
      <c r="DF71" s="73">
        <f t="shared" si="680"/>
        <v>0</v>
      </c>
      <c r="DG71" s="73">
        <f t="shared" si="681"/>
        <v>0</v>
      </c>
      <c r="DH71" s="72" t="e">
        <f t="shared" ref="DH71:DH89" si="709">DD71/(DD71+DG71)</f>
        <v>#DIV/0!</v>
      </c>
      <c r="DI71" s="72" t="e">
        <f t="shared" ref="DI71:DI89" si="710">DE71/(DE71+DF71)</f>
        <v>#DIV/0!</v>
      </c>
      <c r="DJ71" s="73">
        <f>SUM(AV70:AV71,BB70:BB71,BI70:BI71)</f>
        <v>0</v>
      </c>
      <c r="DK71" s="73">
        <v>0</v>
      </c>
      <c r="DL71" s="190"/>
    </row>
    <row r="72" spans="1:120" x14ac:dyDescent="0.25">
      <c r="A72" s="190"/>
      <c r="B72" s="188">
        <v>2007</v>
      </c>
      <c r="C72" s="61" t="s">
        <v>318</v>
      </c>
      <c r="D72" s="169">
        <v>0</v>
      </c>
      <c r="E72" s="169">
        <v>0</v>
      </c>
      <c r="F72" s="172">
        <f>pAsympt_LTFU_2004_2012</f>
        <v>0.66061495558694538</v>
      </c>
      <c r="G72" s="170">
        <f>pAsympt_LTFU_Asympt_Dead_2004_2012</f>
        <v>1.818504441305463E-2</v>
      </c>
      <c r="H72" s="169">
        <v>0</v>
      </c>
      <c r="I72" s="169">
        <v>0</v>
      </c>
      <c r="J72" s="171">
        <f>pAsympt_LTFU_Int_ART1_2004_2012</f>
        <v>0.1212</v>
      </c>
      <c r="K72" s="169">
        <v>0</v>
      </c>
      <c r="L72" s="170">
        <f>pAsympt_LTFU_Int_LTFU_2004_2012</f>
        <v>0.2</v>
      </c>
      <c r="M72" s="169">
        <v>0</v>
      </c>
      <c r="N72" s="169">
        <v>0</v>
      </c>
      <c r="O72" s="169">
        <v>0</v>
      </c>
      <c r="P72" s="169">
        <v>0</v>
      </c>
      <c r="Q72" s="169">
        <v>0</v>
      </c>
      <c r="R72" s="169">
        <v>0</v>
      </c>
      <c r="S72" s="169">
        <v>0</v>
      </c>
      <c r="T72" s="169">
        <v>0</v>
      </c>
      <c r="U72" s="61">
        <f t="shared" si="682"/>
        <v>1</v>
      </c>
      <c r="V72" s="190"/>
      <c r="W72" s="66">
        <v>2</v>
      </c>
      <c r="X72" s="66">
        <v>2006</v>
      </c>
      <c r="Y72" s="69">
        <v>0</v>
      </c>
      <c r="Z72" s="69">
        <v>0</v>
      </c>
      <c r="AA72" s="69">
        <v>0</v>
      </c>
      <c r="AB72" s="69">
        <v>0</v>
      </c>
      <c r="AC72" s="69">
        <v>0</v>
      </c>
      <c r="AD72" s="69">
        <v>0</v>
      </c>
      <c r="AE72" s="69">
        <v>0</v>
      </c>
      <c r="AF72" s="69">
        <v>0</v>
      </c>
      <c r="AG72" s="69">
        <v>0</v>
      </c>
      <c r="AH72" s="69">
        <v>0</v>
      </c>
      <c r="AI72" s="69">
        <v>0</v>
      </c>
      <c r="AJ72" s="69">
        <v>0</v>
      </c>
      <c r="AK72" s="69">
        <v>0</v>
      </c>
      <c r="AL72" s="69">
        <v>0</v>
      </c>
      <c r="AM72" s="69">
        <v>0</v>
      </c>
      <c r="AN72" s="69">
        <v>0</v>
      </c>
      <c r="AO72" s="69">
        <v>0</v>
      </c>
      <c r="AP72" s="190"/>
      <c r="AQ72" s="66">
        <v>2</v>
      </c>
      <c r="AR72" s="66">
        <v>2006</v>
      </c>
      <c r="AS72" s="215">
        <f t="shared" si="659"/>
        <v>0</v>
      </c>
      <c r="AT72" s="215">
        <f t="shared" si="660"/>
        <v>0</v>
      </c>
      <c r="AU72" s="215">
        <f t="shared" si="661"/>
        <v>0</v>
      </c>
      <c r="AV72" s="215">
        <f t="shared" si="662"/>
        <v>0</v>
      </c>
      <c r="AW72" s="215">
        <f t="shared" si="663"/>
        <v>0</v>
      </c>
      <c r="AX72" s="215">
        <f t="shared" si="664"/>
        <v>0</v>
      </c>
      <c r="AY72" s="215">
        <f t="shared" si="665"/>
        <v>0</v>
      </c>
      <c r="AZ72" s="215">
        <f t="shared" si="666"/>
        <v>0</v>
      </c>
      <c r="BA72" s="215">
        <f t="shared" si="667"/>
        <v>0</v>
      </c>
      <c r="BB72" s="215">
        <f t="shared" si="668"/>
        <v>0</v>
      </c>
      <c r="BC72" s="215">
        <f t="shared" si="669"/>
        <v>0</v>
      </c>
      <c r="BD72" s="215">
        <f t="shared" si="670"/>
        <v>0</v>
      </c>
      <c r="BE72" s="215">
        <f t="shared" si="671"/>
        <v>0</v>
      </c>
      <c r="BF72" s="215">
        <f t="shared" si="672"/>
        <v>0</v>
      </c>
      <c r="BG72" s="215">
        <f t="shared" si="673"/>
        <v>0</v>
      </c>
      <c r="BH72" s="215">
        <f t="shared" si="674"/>
        <v>0</v>
      </c>
      <c r="BI72" s="215">
        <f t="shared" si="675"/>
        <v>0</v>
      </c>
      <c r="BJ72" s="194"/>
      <c r="BK72" s="66">
        <v>2</v>
      </c>
      <c r="BL72" s="66">
        <v>2006</v>
      </c>
      <c r="BM72" s="215">
        <f t="shared" si="683"/>
        <v>0</v>
      </c>
      <c r="BN72" s="219">
        <f t="shared" si="684"/>
        <v>0</v>
      </c>
      <c r="BO72" s="219">
        <f t="shared" si="685"/>
        <v>0</v>
      </c>
      <c r="BP72" s="219">
        <f t="shared" ref="BP72:BP78" si="711">(AZ71*pInt_ART2_Int_LTFU_2004_2012)+(BP71*pInt_LTFU_2004_2012)</f>
        <v>0</v>
      </c>
      <c r="BQ72" s="219">
        <f t="shared" si="686"/>
        <v>0</v>
      </c>
      <c r="BR72" s="220">
        <f t="shared" ref="BR72:BR78" si="712">(BN71*pInt_LTFU_AIDS_LTFU_2004_2012)+(BR71*pAIDS_LTFU_2004_2012)</f>
        <v>0</v>
      </c>
      <c r="BS72" s="219">
        <f t="shared" ref="BS72:BS78" si="713">(BM71*pInt_LTFU_AIDS_LTFU_2004_2012)+(BS71*pAIDS_LTFU_2004_2012)</f>
        <v>0</v>
      </c>
      <c r="BT72" s="219">
        <f t="shared" ref="BT72:BT78" si="714">(BE71*pAIDS_ART1ear_AIDS_LTFU_2004_2012)+(BT71*pAIDS_LTFU_2004_2012)</f>
        <v>0</v>
      </c>
      <c r="BU72" s="219">
        <f t="shared" ref="BU72:BU78" si="715">(BF71*pAIDS_ART1late_AIDS_LTFU_2004_2012)+(BU71*pAIDS_LTFU_2004_2012)</f>
        <v>0</v>
      </c>
      <c r="BV72" s="219">
        <f t="shared" ref="BV72:BV78" si="716">(BO71*pInt_LTFU_AIDS_LTFU_2004_2012)+(BV71*pAIDS_LTFU_2004_2012)</f>
        <v>0</v>
      </c>
      <c r="BW72" s="219">
        <f t="shared" ref="BW72:BW78" si="717">(BG71*pAIDS_ART2_AIDS_LTFU_2004_2012)+(BW71*pAIDS_LTFU_2004_2012)</f>
        <v>0</v>
      </c>
      <c r="BX72" s="220">
        <f t="shared" ref="BX72:BX78" si="718">(BP71*pInt_LTFU_AIDS_LTFU_2004_2012)+(BX71*pAIDS_LTFU_2004_2012)</f>
        <v>0</v>
      </c>
      <c r="BY72" s="195"/>
      <c r="BZ72" s="192">
        <v>2</v>
      </c>
      <c r="CA72" s="66">
        <v>2006</v>
      </c>
      <c r="CB72" s="218">
        <f>pAsympt_NoCare_Asympt_Dead_2004_2006*AS71</f>
        <v>0</v>
      </c>
      <c r="CC72" s="218">
        <f t="shared" si="687"/>
        <v>0</v>
      </c>
      <c r="CD72" s="73">
        <f t="shared" si="688"/>
        <v>0</v>
      </c>
      <c r="CE72" s="73">
        <f>pInt_NoCare_Int_Dead_2004_2006*AW71</f>
        <v>0</v>
      </c>
      <c r="CF72" s="73">
        <f t="shared" si="689"/>
        <v>0</v>
      </c>
      <c r="CG72" s="73">
        <f t="shared" si="690"/>
        <v>0</v>
      </c>
      <c r="CH72" s="73">
        <f t="shared" si="691"/>
        <v>0</v>
      </c>
      <c r="CI72" s="73">
        <f t="shared" si="692"/>
        <v>0</v>
      </c>
      <c r="CJ72" s="73">
        <f t="shared" si="693"/>
        <v>0</v>
      </c>
      <c r="CK72" s="73">
        <f t="shared" si="694"/>
        <v>0</v>
      </c>
      <c r="CL72" s="73">
        <f t="shared" si="695"/>
        <v>0</v>
      </c>
      <c r="CM72" s="73">
        <f t="shared" si="696"/>
        <v>0</v>
      </c>
      <c r="CN72" s="73">
        <f t="shared" si="697"/>
        <v>0</v>
      </c>
      <c r="CO72" s="73">
        <f t="shared" si="698"/>
        <v>0</v>
      </c>
      <c r="CP72" s="73">
        <f t="shared" si="699"/>
        <v>0</v>
      </c>
      <c r="CQ72" s="73">
        <f t="shared" si="700"/>
        <v>0</v>
      </c>
      <c r="CR72" s="73">
        <f t="shared" si="701"/>
        <v>0</v>
      </c>
      <c r="CS72" s="73">
        <f t="shared" si="702"/>
        <v>0</v>
      </c>
      <c r="CT72" s="73">
        <f t="shared" si="703"/>
        <v>0</v>
      </c>
      <c r="CU72" s="73">
        <f t="shared" si="704"/>
        <v>0</v>
      </c>
      <c r="CV72" s="73">
        <f t="shared" si="705"/>
        <v>0</v>
      </c>
      <c r="CW72" s="73">
        <f t="shared" si="706"/>
        <v>0</v>
      </c>
      <c r="CX72" s="73">
        <f t="shared" si="707"/>
        <v>0</v>
      </c>
      <c r="CY72" s="73">
        <f t="shared" si="708"/>
        <v>0</v>
      </c>
      <c r="CZ72" s="190"/>
      <c r="DA72" s="66">
        <v>2006</v>
      </c>
      <c r="DB72" s="218">
        <f t="shared" si="676"/>
        <v>0</v>
      </c>
      <c r="DC72" s="218">
        <f t="shared" si="677"/>
        <v>0</v>
      </c>
      <c r="DD72" s="73">
        <f t="shared" si="678"/>
        <v>0</v>
      </c>
      <c r="DE72" s="73">
        <f t="shared" si="679"/>
        <v>0</v>
      </c>
      <c r="DF72" s="73">
        <f t="shared" si="680"/>
        <v>0</v>
      </c>
      <c r="DG72" s="73">
        <f t="shared" si="681"/>
        <v>0</v>
      </c>
      <c r="DH72" s="72" t="e">
        <f t="shared" si="709"/>
        <v>#DIV/0!</v>
      </c>
      <c r="DI72" s="72" t="e">
        <f t="shared" si="710"/>
        <v>#DIV/0!</v>
      </c>
      <c r="DJ72" s="73">
        <f>SUM(AV70:AV72,BB70:BB72,BI70:BI72)</f>
        <v>0</v>
      </c>
      <c r="DK72" s="73">
        <v>0</v>
      </c>
      <c r="DL72" s="190"/>
    </row>
    <row r="73" spans="1:120" x14ac:dyDescent="0.25">
      <c r="A73" s="190"/>
      <c r="B73" s="188">
        <v>2007</v>
      </c>
      <c r="C73" s="61" t="s">
        <v>317</v>
      </c>
      <c r="D73" s="169">
        <v>0</v>
      </c>
      <c r="E73" s="169">
        <v>0</v>
      </c>
      <c r="F73" s="169">
        <v>0</v>
      </c>
      <c r="G73" s="169">
        <v>0</v>
      </c>
      <c r="H73" s="169">
        <v>0</v>
      </c>
      <c r="I73" s="169">
        <v>0</v>
      </c>
      <c r="J73" s="169">
        <v>0</v>
      </c>
      <c r="K73" s="169">
        <v>0</v>
      </c>
      <c r="L73" s="169">
        <v>0</v>
      </c>
      <c r="M73" s="169">
        <v>0</v>
      </c>
      <c r="N73" s="169">
        <v>0</v>
      </c>
      <c r="O73" s="169">
        <v>0</v>
      </c>
      <c r="P73" s="169">
        <v>0</v>
      </c>
      <c r="Q73" s="169">
        <v>0</v>
      </c>
      <c r="R73" s="169">
        <v>0</v>
      </c>
      <c r="S73" s="169">
        <v>0</v>
      </c>
      <c r="T73" s="169">
        <v>0</v>
      </c>
      <c r="U73" s="61">
        <f t="shared" si="682"/>
        <v>0</v>
      </c>
      <c r="V73" s="190"/>
      <c r="W73" s="66">
        <v>3</v>
      </c>
      <c r="X73" s="66">
        <v>2007</v>
      </c>
      <c r="Y73" s="69">
        <v>1</v>
      </c>
      <c r="Z73" s="69">
        <v>0</v>
      </c>
      <c r="AA73" s="69">
        <v>0</v>
      </c>
      <c r="AB73" s="69">
        <v>0</v>
      </c>
      <c r="AC73" s="69">
        <v>0</v>
      </c>
      <c r="AD73" s="69">
        <v>0</v>
      </c>
      <c r="AE73" s="69">
        <v>0</v>
      </c>
      <c r="AF73" s="69">
        <v>0</v>
      </c>
      <c r="AG73" s="69">
        <v>0</v>
      </c>
      <c r="AH73" s="69">
        <v>0</v>
      </c>
      <c r="AI73" s="69">
        <v>0</v>
      </c>
      <c r="AJ73" s="69">
        <v>0</v>
      </c>
      <c r="AK73" s="69">
        <v>0</v>
      </c>
      <c r="AL73" s="69">
        <v>0</v>
      </c>
      <c r="AM73" s="69">
        <v>0</v>
      </c>
      <c r="AN73" s="69">
        <v>0</v>
      </c>
      <c r="AO73" s="69">
        <v>0</v>
      </c>
      <c r="AP73" s="190"/>
      <c r="AQ73" s="66">
        <v>3</v>
      </c>
      <c r="AR73" s="66">
        <v>2007</v>
      </c>
      <c r="AS73" s="215">
        <f t="shared" si="659"/>
        <v>10186</v>
      </c>
      <c r="AT73" s="215">
        <f t="shared" si="660"/>
        <v>0</v>
      </c>
      <c r="AU73" s="215">
        <f t="shared" si="661"/>
        <v>0</v>
      </c>
      <c r="AV73" s="215">
        <f t="shared" si="662"/>
        <v>0</v>
      </c>
      <c r="AW73" s="215">
        <f t="shared" si="663"/>
        <v>0</v>
      </c>
      <c r="AX73" s="215">
        <f t="shared" si="664"/>
        <v>0</v>
      </c>
      <c r="AY73" s="215">
        <f t="shared" si="665"/>
        <v>0</v>
      </c>
      <c r="AZ73" s="215">
        <f t="shared" si="666"/>
        <v>0</v>
      </c>
      <c r="BA73" s="215">
        <f t="shared" si="667"/>
        <v>0</v>
      </c>
      <c r="BB73" s="215">
        <f t="shared" si="668"/>
        <v>0</v>
      </c>
      <c r="BC73" s="215">
        <f t="shared" si="669"/>
        <v>0</v>
      </c>
      <c r="BD73" s="215">
        <f t="shared" si="670"/>
        <v>0</v>
      </c>
      <c r="BE73" s="215">
        <f t="shared" si="671"/>
        <v>0</v>
      </c>
      <c r="BF73" s="215">
        <f t="shared" si="672"/>
        <v>0</v>
      </c>
      <c r="BG73" s="215">
        <f t="shared" si="673"/>
        <v>0</v>
      </c>
      <c r="BH73" s="215">
        <f t="shared" si="674"/>
        <v>0</v>
      </c>
      <c r="BI73" s="215">
        <f t="shared" si="675"/>
        <v>0</v>
      </c>
      <c r="BJ73" s="194"/>
      <c r="BK73" s="66">
        <v>3</v>
      </c>
      <c r="BL73" s="66">
        <v>2007</v>
      </c>
      <c r="BM73" s="215">
        <f t="shared" si="683"/>
        <v>0</v>
      </c>
      <c r="BN73" s="219">
        <f t="shared" si="684"/>
        <v>0</v>
      </c>
      <c r="BO73" s="219">
        <f t="shared" si="685"/>
        <v>0</v>
      </c>
      <c r="BP73" s="219">
        <f t="shared" si="711"/>
        <v>0</v>
      </c>
      <c r="BQ73" s="219">
        <f t="shared" si="686"/>
        <v>0</v>
      </c>
      <c r="BR73" s="220">
        <f t="shared" si="712"/>
        <v>0</v>
      </c>
      <c r="BS73" s="219">
        <f t="shared" si="713"/>
        <v>0</v>
      </c>
      <c r="BT73" s="219">
        <f t="shared" si="714"/>
        <v>0</v>
      </c>
      <c r="BU73" s="219">
        <f t="shared" si="715"/>
        <v>0</v>
      </c>
      <c r="BV73" s="219">
        <f t="shared" si="716"/>
        <v>0</v>
      </c>
      <c r="BW73" s="219">
        <f t="shared" si="717"/>
        <v>0</v>
      </c>
      <c r="BX73" s="220">
        <f t="shared" si="718"/>
        <v>0</v>
      </c>
      <c r="BY73" s="195"/>
      <c r="BZ73" s="192">
        <v>3</v>
      </c>
      <c r="CA73" s="66">
        <v>2007</v>
      </c>
      <c r="CB73" s="218">
        <f>pAsympt_NoCare_Asympt_Dead_2007_2009*AS72</f>
        <v>0</v>
      </c>
      <c r="CC73" s="218">
        <f t="shared" si="687"/>
        <v>0</v>
      </c>
      <c r="CD73" s="73">
        <f t="shared" si="688"/>
        <v>0</v>
      </c>
      <c r="CE73" s="73">
        <f>pInt_NoCare_Int_Dead_2007_2009*AW72</f>
        <v>0</v>
      </c>
      <c r="CF73" s="73">
        <f t="shared" si="689"/>
        <v>0</v>
      </c>
      <c r="CG73" s="73">
        <f t="shared" si="690"/>
        <v>0</v>
      </c>
      <c r="CH73" s="73">
        <f t="shared" si="691"/>
        <v>0</v>
      </c>
      <c r="CI73" s="73">
        <f t="shared" si="692"/>
        <v>0</v>
      </c>
      <c r="CJ73" s="73">
        <f t="shared" si="693"/>
        <v>0</v>
      </c>
      <c r="CK73" s="73">
        <f t="shared" si="694"/>
        <v>0</v>
      </c>
      <c r="CL73" s="73">
        <f t="shared" si="695"/>
        <v>0</v>
      </c>
      <c r="CM73" s="73">
        <f>pAIDS_NoCare_AIDS_Dead_2007_2009*BC72</f>
        <v>0</v>
      </c>
      <c r="CN73" s="73">
        <f t="shared" si="697"/>
        <v>0</v>
      </c>
      <c r="CO73" s="73">
        <f t="shared" si="698"/>
        <v>0</v>
      </c>
      <c r="CP73" s="73">
        <f t="shared" si="699"/>
        <v>0</v>
      </c>
      <c r="CQ73" s="73">
        <f t="shared" si="700"/>
        <v>0</v>
      </c>
      <c r="CR73" s="73">
        <f t="shared" si="701"/>
        <v>0</v>
      </c>
      <c r="CS73" s="73">
        <f t="shared" si="702"/>
        <v>0</v>
      </c>
      <c r="CT73" s="73">
        <f t="shared" si="703"/>
        <v>0</v>
      </c>
      <c r="CU73" s="73">
        <f t="shared" si="704"/>
        <v>0</v>
      </c>
      <c r="CV73" s="73">
        <f t="shared" si="705"/>
        <v>0</v>
      </c>
      <c r="CW73" s="73">
        <f t="shared" si="706"/>
        <v>0</v>
      </c>
      <c r="CX73" s="73">
        <f t="shared" si="707"/>
        <v>0</v>
      </c>
      <c r="CY73" s="73">
        <f t="shared" si="708"/>
        <v>0</v>
      </c>
      <c r="CZ73" s="190"/>
      <c r="DA73" s="66">
        <v>2007</v>
      </c>
      <c r="DB73" s="218">
        <f t="shared" si="676"/>
        <v>0</v>
      </c>
      <c r="DC73" s="218">
        <f t="shared" si="677"/>
        <v>10186</v>
      </c>
      <c r="DD73" s="73">
        <f t="shared" si="678"/>
        <v>0</v>
      </c>
      <c r="DE73" s="73">
        <f t="shared" si="679"/>
        <v>0</v>
      </c>
      <c r="DF73" s="73">
        <f t="shared" si="680"/>
        <v>0</v>
      </c>
      <c r="DG73" s="73">
        <f t="shared" si="681"/>
        <v>0</v>
      </c>
      <c r="DH73" s="72" t="e">
        <f t="shared" si="709"/>
        <v>#DIV/0!</v>
      </c>
      <c r="DI73" s="72" t="e">
        <f t="shared" si="710"/>
        <v>#DIV/0!</v>
      </c>
      <c r="DJ73" s="73">
        <f>SUM(AV70:AV73,BB70:BB73,BI70:BI73)</f>
        <v>0</v>
      </c>
      <c r="DK73" s="218">
        <v>0</v>
      </c>
      <c r="DL73" s="190"/>
    </row>
    <row r="74" spans="1:120" x14ac:dyDescent="0.25">
      <c r="A74" s="190"/>
      <c r="B74" s="188">
        <v>2007</v>
      </c>
      <c r="C74" s="61" t="s">
        <v>321</v>
      </c>
      <c r="D74" s="169">
        <v>0</v>
      </c>
      <c r="E74" s="169">
        <v>0</v>
      </c>
      <c r="F74" s="169">
        <v>0</v>
      </c>
      <c r="G74" s="169">
        <v>0</v>
      </c>
      <c r="H74" s="172">
        <f>pInt_NoCare_2007_2009</f>
        <v>0.47470496953425423</v>
      </c>
      <c r="I74" s="172">
        <f>pInt_NoCare_Int_InCare_2007_2009</f>
        <v>9.8703246552192314E-2</v>
      </c>
      <c r="J74" s="170">
        <f>pInt_NoCare_Int_ART1_2007_2009</f>
        <v>0</v>
      </c>
      <c r="K74" s="169">
        <v>0</v>
      </c>
      <c r="L74" s="169">
        <v>0</v>
      </c>
      <c r="M74" s="170">
        <f>pInt_NoCare_Int_Dead_2007_2009</f>
        <v>2.7888537361361161E-2</v>
      </c>
      <c r="N74" s="170">
        <f>pInt_NoCare_AIDS_NoCare_2007_2009</f>
        <v>0.3</v>
      </c>
      <c r="O74" s="172">
        <f>pInt_NoCare_AIDS_InCare_2007_2009</f>
        <v>9.8703246552192314E-2</v>
      </c>
      <c r="P74" s="171">
        <f>pInt_NoCare_AIDS_ART1ear_2007_2009</f>
        <v>0</v>
      </c>
      <c r="Q74" s="169">
        <v>0</v>
      </c>
      <c r="R74" s="169">
        <v>0</v>
      </c>
      <c r="S74" s="169">
        <v>0</v>
      </c>
      <c r="T74" s="169">
        <v>0</v>
      </c>
      <c r="U74" s="61">
        <f t="shared" si="682"/>
        <v>1</v>
      </c>
      <c r="V74" s="190"/>
      <c r="W74" s="66">
        <v>4</v>
      </c>
      <c r="X74" s="66">
        <v>2008</v>
      </c>
      <c r="Y74" s="70">
        <f>MMULT($Y73:$AO73,D$92:D$108)</f>
        <v>0.63376008575865694</v>
      </c>
      <c r="Z74" s="70">
        <f t="shared" ref="Z74" si="719">MMULT($Y73:$AO73,E$92:E$108)</f>
        <v>7.4027434914144222E-2</v>
      </c>
      <c r="AA74" s="70">
        <f t="shared" ref="AA74" si="720">MMULT($Y73:$AO73,F$92:F$108)</f>
        <v>0</v>
      </c>
      <c r="AB74" s="70">
        <f t="shared" ref="AB74" si="721">MMULT($Y73:$AO73,G$92:G$108)</f>
        <v>1.818504441305463E-2</v>
      </c>
      <c r="AC74" s="70">
        <f t="shared" ref="AC74" si="722">MMULT($Y73:$AO73,H$92:H$108)</f>
        <v>0.2</v>
      </c>
      <c r="AD74" s="70">
        <f t="shared" ref="AD74" si="723">MMULT($Y73:$AO73,I$92:I$108)</f>
        <v>7.4027434914144222E-2</v>
      </c>
      <c r="AE74" s="70">
        <f t="shared" ref="AE74" si="724">MMULT($Y73:$AO73,J$92:J$108)</f>
        <v>0</v>
      </c>
      <c r="AF74" s="70">
        <f t="shared" ref="AF74" si="725">MMULT($Y73:$AO73,K$92:K$108)</f>
        <v>0</v>
      </c>
      <c r="AG74" s="70">
        <f t="shared" ref="AG74" si="726">MMULT($Y73:$AO73,L$92:L$108)</f>
        <v>0</v>
      </c>
      <c r="AH74" s="70">
        <f t="shared" ref="AH74" si="727">MMULT($Y73:$AO73,M$92:M$108)</f>
        <v>0</v>
      </c>
      <c r="AI74" s="70">
        <f t="shared" ref="AI74" si="728">MMULT($Y73:$AO73,N$92:N$108)</f>
        <v>0</v>
      </c>
      <c r="AJ74" s="70">
        <f t="shared" ref="AJ74" si="729">MMULT($Y73:$AO73,O$92:O$108)</f>
        <v>0</v>
      </c>
      <c r="AK74" s="70">
        <f t="shared" ref="AK74" si="730">MMULT($Y73:$AO73,P$92:P$108)</f>
        <v>0</v>
      </c>
      <c r="AL74" s="70">
        <f t="shared" ref="AL74" si="731">MMULT($Y73:$AO73,Q$92:Q$108)</f>
        <v>0</v>
      </c>
      <c r="AM74" s="70">
        <f t="shared" ref="AM74" si="732">MMULT($Y73:$AO73,R$92:R$108)</f>
        <v>0</v>
      </c>
      <c r="AN74" s="70">
        <f t="shared" ref="AN74" si="733">MMULT($Y73:$AO73,S$92:S$108)</f>
        <v>0</v>
      </c>
      <c r="AO74" s="70">
        <f t="shared" ref="AO74" si="734">MMULT($Y73:$AO73,T$92:T$108)</f>
        <v>0</v>
      </c>
      <c r="AP74" s="190"/>
      <c r="AQ74" s="66">
        <v>4</v>
      </c>
      <c r="AR74" s="66">
        <v>2008</v>
      </c>
      <c r="AS74" s="215">
        <f t="shared" si="659"/>
        <v>6455.4802335376799</v>
      </c>
      <c r="AT74" s="215">
        <f t="shared" si="660"/>
        <v>754.04345203547302</v>
      </c>
      <c r="AU74" s="215">
        <f t="shared" si="661"/>
        <v>0</v>
      </c>
      <c r="AV74" s="215">
        <f t="shared" si="662"/>
        <v>185.23286239137445</v>
      </c>
      <c r="AW74" s="215">
        <f t="shared" si="663"/>
        <v>2037.2</v>
      </c>
      <c r="AX74" s="215">
        <f t="shared" si="664"/>
        <v>754.04345203547302</v>
      </c>
      <c r="AY74" s="215">
        <f t="shared" si="665"/>
        <v>0</v>
      </c>
      <c r="AZ74" s="215">
        <f t="shared" si="666"/>
        <v>0</v>
      </c>
      <c r="BA74" s="215">
        <f t="shared" si="667"/>
        <v>0</v>
      </c>
      <c r="BB74" s="215">
        <f t="shared" si="668"/>
        <v>0</v>
      </c>
      <c r="BC74" s="215">
        <f t="shared" si="669"/>
        <v>0</v>
      </c>
      <c r="BD74" s="215">
        <f t="shared" si="670"/>
        <v>0</v>
      </c>
      <c r="BE74" s="215">
        <f t="shared" si="671"/>
        <v>0</v>
      </c>
      <c r="BF74" s="215">
        <f t="shared" si="672"/>
        <v>0</v>
      </c>
      <c r="BG74" s="215">
        <f t="shared" si="673"/>
        <v>0</v>
      </c>
      <c r="BH74" s="215">
        <f t="shared" si="674"/>
        <v>0</v>
      </c>
      <c r="BI74" s="215">
        <f t="shared" si="675"/>
        <v>0</v>
      </c>
      <c r="BJ74" s="194"/>
      <c r="BK74" s="66">
        <v>4</v>
      </c>
      <c r="BL74" s="66">
        <v>2008</v>
      </c>
      <c r="BM74" s="215">
        <f t="shared" si="683"/>
        <v>0</v>
      </c>
      <c r="BN74" s="219">
        <f t="shared" si="684"/>
        <v>0</v>
      </c>
      <c r="BO74" s="219">
        <f t="shared" si="685"/>
        <v>0</v>
      </c>
      <c r="BP74" s="219">
        <f t="shared" si="711"/>
        <v>0</v>
      </c>
      <c r="BQ74" s="219">
        <f t="shared" si="686"/>
        <v>0</v>
      </c>
      <c r="BR74" s="220">
        <f t="shared" si="712"/>
        <v>0</v>
      </c>
      <c r="BS74" s="219">
        <f t="shared" si="713"/>
        <v>0</v>
      </c>
      <c r="BT74" s="219">
        <f t="shared" si="714"/>
        <v>0</v>
      </c>
      <c r="BU74" s="219">
        <f t="shared" si="715"/>
        <v>0</v>
      </c>
      <c r="BV74" s="219">
        <f t="shared" si="716"/>
        <v>0</v>
      </c>
      <c r="BW74" s="219">
        <f t="shared" si="717"/>
        <v>0</v>
      </c>
      <c r="BX74" s="220">
        <f t="shared" si="718"/>
        <v>0</v>
      </c>
      <c r="BY74" s="195"/>
      <c r="BZ74" s="192">
        <v>4</v>
      </c>
      <c r="CA74" s="66">
        <v>2008</v>
      </c>
      <c r="CB74" s="218">
        <f>pAsympt_NoCare_Asympt_Dead_2007_2009*AS73</f>
        <v>185.23286239137445</v>
      </c>
      <c r="CC74" s="218">
        <f t="shared" si="687"/>
        <v>0</v>
      </c>
      <c r="CD74" s="73">
        <f t="shared" si="688"/>
        <v>0</v>
      </c>
      <c r="CE74" s="73">
        <f>pInt_NoCare_Int_Dead_2007_2009*AW73</f>
        <v>0</v>
      </c>
      <c r="CF74" s="73">
        <f t="shared" si="689"/>
        <v>0</v>
      </c>
      <c r="CG74" s="73">
        <f t="shared" si="690"/>
        <v>0</v>
      </c>
      <c r="CH74" s="73">
        <f t="shared" si="691"/>
        <v>0</v>
      </c>
      <c r="CI74" s="73">
        <f t="shared" si="692"/>
        <v>0</v>
      </c>
      <c r="CJ74" s="73">
        <f t="shared" si="693"/>
        <v>0</v>
      </c>
      <c r="CK74" s="73">
        <f t="shared" si="694"/>
        <v>0</v>
      </c>
      <c r="CL74" s="73">
        <f t="shared" si="695"/>
        <v>0</v>
      </c>
      <c r="CM74" s="73">
        <f>pAIDS_NoCare_AIDS_Dead_2007_2009*BC73</f>
        <v>0</v>
      </c>
      <c r="CN74" s="73">
        <f t="shared" si="697"/>
        <v>0</v>
      </c>
      <c r="CO74" s="73">
        <f t="shared" si="698"/>
        <v>0</v>
      </c>
      <c r="CP74" s="73">
        <f t="shared" si="699"/>
        <v>0</v>
      </c>
      <c r="CQ74" s="73">
        <f t="shared" si="700"/>
        <v>0</v>
      </c>
      <c r="CR74" s="73">
        <f t="shared" si="701"/>
        <v>0</v>
      </c>
      <c r="CS74" s="73">
        <f t="shared" si="702"/>
        <v>0</v>
      </c>
      <c r="CT74" s="73">
        <f t="shared" si="703"/>
        <v>0</v>
      </c>
      <c r="CU74" s="73">
        <f t="shared" si="704"/>
        <v>0</v>
      </c>
      <c r="CV74" s="73">
        <f t="shared" si="705"/>
        <v>0</v>
      </c>
      <c r="CW74" s="73">
        <f t="shared" si="706"/>
        <v>0</v>
      </c>
      <c r="CX74" s="73">
        <f t="shared" si="707"/>
        <v>0</v>
      </c>
      <c r="CY74" s="73">
        <f t="shared" si="708"/>
        <v>0</v>
      </c>
      <c r="CZ74" s="190"/>
      <c r="DA74" s="66">
        <v>2008</v>
      </c>
      <c r="DB74" s="218">
        <f t="shared" si="676"/>
        <v>1508.086904070946</v>
      </c>
      <c r="DC74" s="218">
        <f t="shared" si="677"/>
        <v>10000.767137608627</v>
      </c>
      <c r="DD74" s="73">
        <f t="shared" si="678"/>
        <v>0</v>
      </c>
      <c r="DE74" s="73">
        <f t="shared" si="679"/>
        <v>0</v>
      </c>
      <c r="DF74" s="73">
        <f t="shared" si="680"/>
        <v>0</v>
      </c>
      <c r="DG74" s="73">
        <f t="shared" si="681"/>
        <v>2791.2434520354732</v>
      </c>
      <c r="DH74" s="72">
        <f t="shared" si="709"/>
        <v>0</v>
      </c>
      <c r="DI74" s="72" t="e">
        <f t="shared" si="710"/>
        <v>#DIV/0!</v>
      </c>
      <c r="DJ74" s="73">
        <f>SUM(AV70:AV74,BB70:BB74,BI70:BI74)</f>
        <v>185.23286239137445</v>
      </c>
      <c r="DK74" s="218">
        <v>0</v>
      </c>
      <c r="DL74" s="190"/>
    </row>
    <row r="75" spans="1:120" x14ac:dyDescent="0.25">
      <c r="A75" s="190"/>
      <c r="B75" s="188">
        <v>2007</v>
      </c>
      <c r="C75" s="61" t="s">
        <v>322</v>
      </c>
      <c r="D75" s="169">
        <v>0</v>
      </c>
      <c r="E75" s="169">
        <v>0</v>
      </c>
      <c r="F75" s="169">
        <v>0</v>
      </c>
      <c r="G75" s="169">
        <v>0</v>
      </c>
      <c r="H75" s="169">
        <v>0</v>
      </c>
      <c r="I75" s="172">
        <f>pInt_InCare_2004_2012</f>
        <v>0.27388069643828394</v>
      </c>
      <c r="J75" s="172">
        <f>pInt_InCare_Int_ART1_2004_2012</f>
        <v>0.12845640705966965</v>
      </c>
      <c r="K75" s="169">
        <v>0</v>
      </c>
      <c r="L75" s="170">
        <f>pInt_InCare_Int_LTFU_2004_2012</f>
        <v>0.18249498008072801</v>
      </c>
      <c r="M75" s="170">
        <f>pInt_InCare_Int_Dead_2004_2012</f>
        <v>2.6167916421318438E-2</v>
      </c>
      <c r="N75" s="169">
        <v>0</v>
      </c>
      <c r="O75" s="170">
        <f>pInt_InCare_AIDS_InCare_2004_2012</f>
        <v>0.3</v>
      </c>
      <c r="P75" s="170">
        <f>pInt_InCare_AIDS_ART1ear_2004_2012</f>
        <v>8.8999999999999996E-2</v>
      </c>
      <c r="Q75" s="169">
        <v>0</v>
      </c>
      <c r="R75" s="169">
        <v>0</v>
      </c>
      <c r="S75" s="169">
        <v>0</v>
      </c>
      <c r="T75" s="169">
        <v>0</v>
      </c>
      <c r="U75" s="61">
        <f t="shared" si="682"/>
        <v>1</v>
      </c>
      <c r="V75" s="190"/>
      <c r="W75" s="66">
        <v>5</v>
      </c>
      <c r="X75" s="66">
        <v>2009</v>
      </c>
      <c r="Y75" s="70">
        <f>MMULT($Y74:$AO74,D$114:D$130)</f>
        <v>0.40165184630082018</v>
      </c>
      <c r="Z75" s="70">
        <f t="shared" ref="Z75" si="735">MMULT($Y74:$AO74,E$114:E$130)</f>
        <v>7.9350132444030066E-2</v>
      </c>
      <c r="AA75" s="70">
        <f t="shared" ref="AA75" si="736">MMULT($Y74:$AO74,F$114:F$130)</f>
        <v>2.2711269412095766E-2</v>
      </c>
      <c r="AB75" s="70">
        <f t="shared" ref="AB75" si="737">MMULT($Y74:$AO74,G$114:G$130)</f>
        <v>1.2788092354875989E-2</v>
      </c>
      <c r="AC75" s="70">
        <f t="shared" ref="AC75" si="738">MMULT($Y74:$AO74,H$114:H$130)</f>
        <v>0.22169301105858225</v>
      </c>
      <c r="AD75" s="70">
        <f t="shared" ref="AD75" si="739">MMULT($Y74:$AO74,I$114:I$130)</f>
        <v>0.1017364552227743</v>
      </c>
      <c r="AE75" s="70">
        <f t="shared" ref="AE75" si="740">MMULT($Y74:$AO74,J$114:J$130)</f>
        <v>1.2322340839651991E-2</v>
      </c>
      <c r="AF75" s="70">
        <f t="shared" ref="AF75" si="741">MMULT($Y74:$AO74,K$114:K$130)</f>
        <v>0</v>
      </c>
      <c r="AG75" s="70">
        <f t="shared" ref="AG75" si="742">MMULT($Y74:$AO74,L$114:L$130)</f>
        <v>1.3509635260084139E-2</v>
      </c>
      <c r="AH75" s="70">
        <f t="shared" ref="AH75" si="743">MMULT($Y74:$AO74,M$114:M$130)</f>
        <v>7.5148512019901498E-3</v>
      </c>
      <c r="AI75" s="70">
        <f t="shared" ref="AI75" si="744">MMULT($Y74:$AO74,N$114:N$130)</f>
        <v>0.06</v>
      </c>
      <c r="AJ75" s="70">
        <f t="shared" ref="AJ75" si="745">MMULT($Y74:$AO74,O$114:O$130)</f>
        <v>4.1948879784681731E-2</v>
      </c>
      <c r="AK75" s="70">
        <f t="shared" ref="AK75" si="746">MMULT($Y74:$AO74,P$114:P$130)</f>
        <v>6.5884417073588351E-3</v>
      </c>
      <c r="AL75" s="70">
        <f t="shared" ref="AL75" si="747">MMULT($Y74:$AO74,Q$114:Q$130)</f>
        <v>0</v>
      </c>
      <c r="AM75" s="70">
        <f t="shared" ref="AM75" si="748">MMULT($Y74:$AO74,R$114:R$130)</f>
        <v>0</v>
      </c>
      <c r="AN75" s="70">
        <f t="shared" ref="AN75" si="749">MMULT($Y74:$AO74,S$114:S$130)</f>
        <v>0</v>
      </c>
      <c r="AO75" s="70">
        <f t="shared" ref="AO75" si="750">MMULT($Y74:$AO74,T$114:T$130)</f>
        <v>0</v>
      </c>
      <c r="AP75" s="190"/>
      <c r="AQ75" s="66">
        <v>5</v>
      </c>
      <c r="AR75" s="66">
        <v>2009</v>
      </c>
      <c r="AS75" s="215">
        <f t="shared" si="659"/>
        <v>4091.2257064201544</v>
      </c>
      <c r="AT75" s="215">
        <f t="shared" si="660"/>
        <v>808.26044907489029</v>
      </c>
      <c r="AU75" s="215">
        <f t="shared" si="661"/>
        <v>231.33699023160747</v>
      </c>
      <c r="AV75" s="215">
        <f t="shared" si="662"/>
        <v>130.25950872676682</v>
      </c>
      <c r="AW75" s="215">
        <f t="shared" si="663"/>
        <v>2258.1650106427187</v>
      </c>
      <c r="AX75" s="215">
        <f t="shared" si="664"/>
        <v>1036.287532899179</v>
      </c>
      <c r="AY75" s="215">
        <f t="shared" si="665"/>
        <v>125.51536379269518</v>
      </c>
      <c r="AZ75" s="215">
        <f t="shared" si="666"/>
        <v>0</v>
      </c>
      <c r="BA75" s="215">
        <f t="shared" si="667"/>
        <v>137.60914475921703</v>
      </c>
      <c r="BB75" s="215">
        <f t="shared" si="668"/>
        <v>76.546274343471666</v>
      </c>
      <c r="BC75" s="215">
        <f t="shared" si="669"/>
        <v>611.16</v>
      </c>
      <c r="BD75" s="215">
        <f t="shared" si="670"/>
        <v>427.29128948676811</v>
      </c>
      <c r="BE75" s="215">
        <f t="shared" si="671"/>
        <v>67.109867231157097</v>
      </c>
      <c r="BF75" s="215">
        <f t="shared" si="672"/>
        <v>0</v>
      </c>
      <c r="BG75" s="215">
        <f t="shared" si="673"/>
        <v>0</v>
      </c>
      <c r="BH75" s="215">
        <f t="shared" si="674"/>
        <v>0</v>
      </c>
      <c r="BI75" s="215">
        <f t="shared" si="675"/>
        <v>0</v>
      </c>
      <c r="BJ75" s="194"/>
      <c r="BK75" s="66">
        <v>5</v>
      </c>
      <c r="BL75" s="66">
        <v>2009</v>
      </c>
      <c r="BM75" s="215">
        <f t="shared" si="683"/>
        <v>137.60914475921703</v>
      </c>
      <c r="BN75" s="219">
        <f t="shared" si="684"/>
        <v>0</v>
      </c>
      <c r="BO75" s="219">
        <f t="shared" si="685"/>
        <v>0</v>
      </c>
      <c r="BP75" s="219">
        <f t="shared" si="711"/>
        <v>0</v>
      </c>
      <c r="BQ75" s="219">
        <f t="shared" si="686"/>
        <v>0</v>
      </c>
      <c r="BR75" s="220">
        <f t="shared" si="712"/>
        <v>0</v>
      </c>
      <c r="BS75" s="219">
        <f t="shared" si="713"/>
        <v>0</v>
      </c>
      <c r="BT75" s="219">
        <f t="shared" si="714"/>
        <v>0</v>
      </c>
      <c r="BU75" s="219">
        <f t="shared" si="715"/>
        <v>0</v>
      </c>
      <c r="BV75" s="219">
        <f t="shared" si="716"/>
        <v>0</v>
      </c>
      <c r="BW75" s="219">
        <f t="shared" si="717"/>
        <v>0</v>
      </c>
      <c r="BX75" s="220">
        <f t="shared" si="718"/>
        <v>0</v>
      </c>
      <c r="BY75" s="195"/>
      <c r="BZ75" s="192">
        <v>5</v>
      </c>
      <c r="CA75" s="66">
        <v>2009</v>
      </c>
      <c r="CB75" s="218">
        <f>pAsympt_NoCare_Asympt_Dead_2007_2009*AS74</f>
        <v>117.39319475447898</v>
      </c>
      <c r="CC75" s="218">
        <f t="shared" si="687"/>
        <v>12.866313972287847</v>
      </c>
      <c r="CD75" s="73">
        <f t="shared" si="688"/>
        <v>0</v>
      </c>
      <c r="CE75" s="73">
        <f>pInt_NoCare_Int_Dead_2007_2009*AW74</f>
        <v>56.81452831256496</v>
      </c>
      <c r="CF75" s="73">
        <f t="shared" si="689"/>
        <v>19.731746030906695</v>
      </c>
      <c r="CG75" s="73">
        <f t="shared" si="690"/>
        <v>0</v>
      </c>
      <c r="CH75" s="73">
        <f t="shared" si="691"/>
        <v>0</v>
      </c>
      <c r="CI75" s="73">
        <f t="shared" si="692"/>
        <v>0</v>
      </c>
      <c r="CJ75" s="73">
        <f t="shared" si="693"/>
        <v>0</v>
      </c>
      <c r="CK75" s="73">
        <f t="shared" si="694"/>
        <v>0</v>
      </c>
      <c r="CL75" s="73">
        <f t="shared" si="695"/>
        <v>0</v>
      </c>
      <c r="CM75" s="73">
        <f>pAIDS_NoCare_AIDS_Dead_2007_2009*BC74</f>
        <v>0</v>
      </c>
      <c r="CN75" s="73">
        <f t="shared" si="697"/>
        <v>0</v>
      </c>
      <c r="CO75" s="73">
        <f t="shared" si="698"/>
        <v>0</v>
      </c>
      <c r="CP75" s="73">
        <f t="shared" si="699"/>
        <v>0</v>
      </c>
      <c r="CQ75" s="73">
        <f t="shared" si="700"/>
        <v>0</v>
      </c>
      <c r="CR75" s="73">
        <f t="shared" si="701"/>
        <v>0</v>
      </c>
      <c r="CS75" s="73">
        <f t="shared" si="702"/>
        <v>0</v>
      </c>
      <c r="CT75" s="73">
        <f t="shared" si="703"/>
        <v>0</v>
      </c>
      <c r="CU75" s="73">
        <f t="shared" si="704"/>
        <v>0</v>
      </c>
      <c r="CV75" s="73">
        <f t="shared" si="705"/>
        <v>0</v>
      </c>
      <c r="CW75" s="73">
        <f t="shared" si="706"/>
        <v>0</v>
      </c>
      <c r="CX75" s="73">
        <f t="shared" si="707"/>
        <v>0</v>
      </c>
      <c r="CY75" s="73">
        <f t="shared" si="708"/>
        <v>0</v>
      </c>
      <c r="CZ75" s="190"/>
      <c r="DA75" s="66">
        <v>2009</v>
      </c>
      <c r="DB75" s="218">
        <f t="shared" si="676"/>
        <v>2271.8392714608376</v>
      </c>
      <c r="DC75" s="218">
        <f t="shared" si="677"/>
        <v>9793.9613545383872</v>
      </c>
      <c r="DD75" s="73">
        <f t="shared" si="678"/>
        <v>192.62523102385228</v>
      </c>
      <c r="DE75" s="73">
        <f t="shared" si="679"/>
        <v>67.109867231157097</v>
      </c>
      <c r="DF75" s="73">
        <f t="shared" si="680"/>
        <v>1038.451289486768</v>
      </c>
      <c r="DG75" s="73">
        <f t="shared" si="681"/>
        <v>4470.5129777878828</v>
      </c>
      <c r="DH75" s="72">
        <f t="shared" si="709"/>
        <v>4.1308068171742478E-2</v>
      </c>
      <c r="DI75" s="72">
        <f t="shared" si="710"/>
        <v>6.0702084930684332E-2</v>
      </c>
      <c r="DJ75" s="73">
        <f>SUM(AV70:AV75,BB70:BB75,BI70:BI75)</f>
        <v>392.03864546161293</v>
      </c>
      <c r="DK75" s="218">
        <v>0</v>
      </c>
      <c r="DL75" s="190"/>
    </row>
    <row r="76" spans="1:120" x14ac:dyDescent="0.25">
      <c r="A76" s="190"/>
      <c r="B76" s="188">
        <v>2007</v>
      </c>
      <c r="C76" s="61" t="s">
        <v>323</v>
      </c>
      <c r="D76" s="169">
        <v>0</v>
      </c>
      <c r="E76" s="169">
        <v>0</v>
      </c>
      <c r="F76" s="169">
        <v>0</v>
      </c>
      <c r="G76" s="169">
        <v>0</v>
      </c>
      <c r="H76" s="169">
        <v>0</v>
      </c>
      <c r="I76" s="169">
        <v>0</v>
      </c>
      <c r="J76" s="172">
        <f>pInt_ART1_2004_2012</f>
        <v>0.97189504107250524</v>
      </c>
      <c r="K76" s="170">
        <f>pInt_ART1_Int_ART2_2004_2012</f>
        <v>8.6622645122074182E-3</v>
      </c>
      <c r="L76" s="170">
        <f>pInt_ART1_Int_LTFU_2004_2012</f>
        <v>1.438552517214986E-2</v>
      </c>
      <c r="M76" s="170">
        <f>pInt_ART1_Int_Dead_2004_2012</f>
        <v>5.0571692431374826E-3</v>
      </c>
      <c r="N76" s="169">
        <v>0</v>
      </c>
      <c r="O76" s="169">
        <v>0</v>
      </c>
      <c r="P76" s="169">
        <v>0</v>
      </c>
      <c r="Q76" s="169">
        <v>0</v>
      </c>
      <c r="R76" s="169">
        <v>0</v>
      </c>
      <c r="S76" s="169">
        <v>0</v>
      </c>
      <c r="T76" s="169">
        <v>0</v>
      </c>
      <c r="U76" s="61">
        <f t="shared" si="682"/>
        <v>1</v>
      </c>
      <c r="V76" s="190"/>
      <c r="W76" s="66">
        <v>6</v>
      </c>
      <c r="X76" s="66">
        <v>2010</v>
      </c>
      <c r="Y76" s="70">
        <f>MMULT($Y75:$AO75,D$136:D$152)</f>
        <v>0.25455090855673068</v>
      </c>
      <c r="Z76" s="70">
        <f t="shared" ref="Z76" si="751">MMULT($Y75:$AO75,E$136:E$152)</f>
        <v>6.4499850078608464E-2</v>
      </c>
      <c r="AA76" s="70">
        <f t="shared" ref="AA76" si="752">MMULT($Y75:$AO75,F$136:F$152)</f>
        <v>3.9347652253826124E-2</v>
      </c>
      <c r="AB76" s="70">
        <f t="shared" ref="AB76" si="753">MMULT($Y75:$AO75,G$136:G$152)</f>
        <v>9.0710208405925634E-3</v>
      </c>
      <c r="AC76" s="70">
        <f t="shared" ref="AC76" si="754">MMULT($Y75:$AO75,H$136:H$152)</f>
        <v>0.18556914332068541</v>
      </c>
      <c r="AD76" s="70">
        <f t="shared" ref="AD76" si="755">MMULT($Y75:$AO75,I$136:I$152)</f>
        <v>9.5348753537974701E-2</v>
      </c>
      <c r="AE76" s="70">
        <f t="shared" ref="AE76" si="756">MMULT($Y75:$AO75,J$136:J$152)</f>
        <v>3.2722894772762579E-2</v>
      </c>
      <c r="AF76" s="70">
        <f t="shared" ref="AF76" si="757">MMULT($Y75:$AO75,K$136:K$152)</f>
        <v>2.1534491176653887E-3</v>
      </c>
      <c r="AG76" s="70">
        <f t="shared" ref="AG76" si="758">MMULT($Y75:$AO75,L$136:L$152)</f>
        <v>2.9214321016294467E-2</v>
      </c>
      <c r="AH76" s="70">
        <f t="shared" ref="AH76" si="759">MMULT($Y75:$AO75,M$136:M$152)</f>
        <v>9.2840050097176517E-3</v>
      </c>
      <c r="AI76" s="70">
        <f t="shared" ref="AI76" si="760">MMULT($Y75:$AO75,N$136:N$152)</f>
        <v>7.0651352353037836E-2</v>
      </c>
      <c r="AJ76" s="70">
        <f t="shared" ref="AJ76" si="761">MMULT($Y75:$AO75,O$136:O$152)</f>
        <v>8.5697089693666254E-2</v>
      </c>
      <c r="AK76" s="70">
        <f t="shared" ref="AK76" si="762">MMULT($Y75:$AO75,P$136:P$152)</f>
        <v>3.0309750692456512E-2</v>
      </c>
      <c r="AL76" s="70">
        <f t="shared" ref="AL76" si="763">MMULT($Y75:$AO75,Q$136:Q$152)</f>
        <v>5.4057491247627015E-3</v>
      </c>
      <c r="AM76" s="70">
        <f t="shared" ref="AM76" si="764">MMULT($Y75:$AO75,R$136:R$152)</f>
        <v>0</v>
      </c>
      <c r="AN76" s="70">
        <f t="shared" ref="AN76" si="765">MMULT($Y75:$AO75,S$136:S$152)</f>
        <v>5.9232001121558263E-3</v>
      </c>
      <c r="AO76" s="70">
        <f t="shared" ref="AO76" si="766">MMULT($Y75:$AO75,T$136:T$152)</f>
        <v>4.1762871549142107E-2</v>
      </c>
      <c r="AP76" s="190"/>
      <c r="AQ76" s="66">
        <v>6</v>
      </c>
      <c r="AR76" s="66">
        <v>2010</v>
      </c>
      <c r="AS76" s="215">
        <f t="shared" si="659"/>
        <v>2592.8555545588588</v>
      </c>
      <c r="AT76" s="215">
        <f t="shared" si="660"/>
        <v>656.99547290070586</v>
      </c>
      <c r="AU76" s="215">
        <f t="shared" si="661"/>
        <v>400.79518585747292</v>
      </c>
      <c r="AV76" s="215">
        <f t="shared" si="662"/>
        <v>92.397418282275851</v>
      </c>
      <c r="AW76" s="215">
        <f t="shared" si="663"/>
        <v>1890.2072938645017</v>
      </c>
      <c r="AX76" s="215">
        <f t="shared" si="664"/>
        <v>971.22240353781035</v>
      </c>
      <c r="AY76" s="215">
        <f t="shared" si="665"/>
        <v>333.3154061553596</v>
      </c>
      <c r="AZ76" s="215">
        <f t="shared" si="666"/>
        <v>21.935032712539648</v>
      </c>
      <c r="BA76" s="215">
        <f t="shared" si="667"/>
        <v>297.57707387197541</v>
      </c>
      <c r="BB76" s="215">
        <f t="shared" si="668"/>
        <v>94.566875028984001</v>
      </c>
      <c r="BC76" s="215">
        <f t="shared" si="669"/>
        <v>719.65467506804339</v>
      </c>
      <c r="BD76" s="215">
        <f t="shared" si="670"/>
        <v>872.91055561968449</v>
      </c>
      <c r="BE76" s="215">
        <f t="shared" si="671"/>
        <v>308.73512055336204</v>
      </c>
      <c r="BF76" s="215">
        <f t="shared" si="672"/>
        <v>55.062960584832879</v>
      </c>
      <c r="BG76" s="215">
        <f t="shared" si="673"/>
        <v>0</v>
      </c>
      <c r="BH76" s="215">
        <f t="shared" si="674"/>
        <v>60.333716342419244</v>
      </c>
      <c r="BI76" s="215">
        <f t="shared" si="675"/>
        <v>425.39660959956149</v>
      </c>
      <c r="BJ76" s="194"/>
      <c r="BK76" s="66">
        <v>6</v>
      </c>
      <c r="BL76" s="66">
        <v>2010</v>
      </c>
      <c r="BM76" s="215">
        <f t="shared" si="683"/>
        <v>249.50407140032257</v>
      </c>
      <c r="BN76" s="219">
        <f t="shared" si="684"/>
        <v>46.267398046321496</v>
      </c>
      <c r="BO76" s="219">
        <f t="shared" si="685"/>
        <v>1.8056044253313637</v>
      </c>
      <c r="BP76" s="219">
        <f t="shared" si="711"/>
        <v>0</v>
      </c>
      <c r="BQ76" s="219">
        <f t="shared" si="686"/>
        <v>25.127068055994638</v>
      </c>
      <c r="BR76" s="220">
        <f t="shared" si="712"/>
        <v>0</v>
      </c>
      <c r="BS76" s="219">
        <f t="shared" si="713"/>
        <v>33.078909758379858</v>
      </c>
      <c r="BT76" s="219">
        <f t="shared" si="714"/>
        <v>2.1277385280447523</v>
      </c>
      <c r="BU76" s="219">
        <f t="shared" si="715"/>
        <v>0</v>
      </c>
      <c r="BV76" s="219">
        <f t="shared" si="716"/>
        <v>0</v>
      </c>
      <c r="BW76" s="219">
        <f t="shared" si="717"/>
        <v>0</v>
      </c>
      <c r="BX76" s="220">
        <f t="shared" si="718"/>
        <v>0</v>
      </c>
      <c r="BY76" s="195"/>
      <c r="BZ76" s="192">
        <v>6</v>
      </c>
      <c r="CA76" s="66">
        <v>2010</v>
      </c>
      <c r="CB76" s="218">
        <f>pAsympt_NoCare_Asympt_Dead_2010_2012*AS75</f>
        <v>74.399121175081305</v>
      </c>
      <c r="CC76" s="218">
        <f t="shared" si="687"/>
        <v>13.791423665450365</v>
      </c>
      <c r="CD76" s="73">
        <f t="shared" si="688"/>
        <v>4.2068734417441673</v>
      </c>
      <c r="CE76" s="73">
        <f>pInt_NoCare_Int_Dead_2010_2012*AW75</f>
        <v>62.976919267427988</v>
      </c>
      <c r="CF76" s="73">
        <f t="shared" si="689"/>
        <v>27.117485549359998</v>
      </c>
      <c r="CG76" s="73">
        <f t="shared" si="690"/>
        <v>0.63475243731363007</v>
      </c>
      <c r="CH76" s="73">
        <f t="shared" si="691"/>
        <v>0</v>
      </c>
      <c r="CI76" s="73">
        <f t="shared" si="692"/>
        <v>3.8377177748823805</v>
      </c>
      <c r="CJ76" s="73">
        <f t="shared" si="693"/>
        <v>0</v>
      </c>
      <c r="CK76" s="73">
        <f t="shared" si="694"/>
        <v>0</v>
      </c>
      <c r="CL76" s="73">
        <f t="shared" si="695"/>
        <v>0</v>
      </c>
      <c r="CM76" s="73">
        <f>pAIDS_NoCare_AIDS_Dead_2010_2012*BC75</f>
        <v>250.8901874611704</v>
      </c>
      <c r="CN76" s="73">
        <f t="shared" si="697"/>
        <v>164.58725402011166</v>
      </c>
      <c r="CO76" s="73">
        <f t="shared" si="698"/>
        <v>9.9191681182794671</v>
      </c>
      <c r="CP76" s="73">
        <f t="shared" si="699"/>
        <v>0</v>
      </c>
      <c r="CQ76" s="73">
        <f t="shared" si="700"/>
        <v>0</v>
      </c>
      <c r="CR76" s="73">
        <f t="shared" si="701"/>
        <v>0</v>
      </c>
      <c r="CS76" s="73">
        <f t="shared" si="702"/>
        <v>0</v>
      </c>
      <c r="CT76" s="73">
        <f t="shared" si="703"/>
        <v>0</v>
      </c>
      <c r="CU76" s="73">
        <f t="shared" si="704"/>
        <v>0</v>
      </c>
      <c r="CV76" s="73">
        <f t="shared" si="705"/>
        <v>0</v>
      </c>
      <c r="CW76" s="73">
        <f t="shared" si="706"/>
        <v>0</v>
      </c>
      <c r="CX76" s="73">
        <f t="shared" si="707"/>
        <v>0</v>
      </c>
      <c r="CY76" s="73">
        <f t="shared" si="708"/>
        <v>0</v>
      </c>
      <c r="CZ76" s="190"/>
      <c r="DA76" s="66">
        <v>2010</v>
      </c>
      <c r="DB76" s="218">
        <f t="shared" si="676"/>
        <v>2501.1284320582008</v>
      </c>
      <c r="DC76" s="218">
        <f t="shared" si="677"/>
        <v>9181.6004516275661</v>
      </c>
      <c r="DD76" s="73">
        <f t="shared" si="678"/>
        <v>719.04852000609424</v>
      </c>
      <c r="DE76" s="73">
        <f t="shared" si="679"/>
        <v>363.7980811381949</v>
      </c>
      <c r="DF76" s="73">
        <f t="shared" si="680"/>
        <v>1652.8989470301469</v>
      </c>
      <c r="DG76" s="73">
        <f t="shared" si="681"/>
        <v>4811.9057183044342</v>
      </c>
      <c r="DH76" s="72">
        <f t="shared" si="709"/>
        <v>0.13000442401521894</v>
      </c>
      <c r="DI76" s="72">
        <f t="shared" si="710"/>
        <v>0.1803930268438057</v>
      </c>
      <c r="DJ76" s="73">
        <f>SUM(AV70:AV76,BB70:BB76,BI70:BI76)</f>
        <v>1004.3995483724343</v>
      </c>
      <c r="DK76" s="218">
        <f>SUM(AV76,BB76,BI76)</f>
        <v>612.36090291082132</v>
      </c>
      <c r="DL76" s="190"/>
    </row>
    <row r="77" spans="1:120" x14ac:dyDescent="0.25">
      <c r="A77" s="190"/>
      <c r="B77" s="188">
        <v>2007</v>
      </c>
      <c r="C77" s="61" t="s">
        <v>324</v>
      </c>
      <c r="D77" s="169">
        <v>0</v>
      </c>
      <c r="E77" s="169">
        <v>0</v>
      </c>
      <c r="F77" s="169">
        <v>0</v>
      </c>
      <c r="G77" s="169">
        <v>0</v>
      </c>
      <c r="H77" s="169">
        <v>0</v>
      </c>
      <c r="I77" s="169">
        <v>0</v>
      </c>
      <c r="J77" s="169">
        <v>0</v>
      </c>
      <c r="K77" s="172">
        <f>pInt_ART2_2004_2012</f>
        <v>0.98055730558471266</v>
      </c>
      <c r="L77" s="170">
        <f>pInt_ART2_Int_LTFU_2004_2012</f>
        <v>1.438552517214986E-2</v>
      </c>
      <c r="M77" s="170">
        <f>pInt_ART2_Int_Dead_2004_2012</f>
        <v>5.0571692431374826E-3</v>
      </c>
      <c r="N77" s="169">
        <v>0</v>
      </c>
      <c r="O77" s="169">
        <v>0</v>
      </c>
      <c r="P77" s="169">
        <v>0</v>
      </c>
      <c r="Q77" s="169">
        <v>0</v>
      </c>
      <c r="R77" s="169">
        <v>0</v>
      </c>
      <c r="S77" s="169">
        <v>0</v>
      </c>
      <c r="T77" s="169">
        <v>0</v>
      </c>
      <c r="U77" s="61">
        <f t="shared" si="682"/>
        <v>1</v>
      </c>
      <c r="V77" s="190"/>
      <c r="W77" s="66">
        <v>7</v>
      </c>
      <c r="X77" s="66">
        <v>2011</v>
      </c>
      <c r="Y77" s="70">
        <f>MMULT($Y76:$AO76,D$158:D$174)</f>
        <v>0.16132420563685768</v>
      </c>
      <c r="Z77" s="70">
        <f t="shared" ref="Z77" si="767">MMULT($Y76:$AO76,E$158:E$174)</f>
        <v>4.7103818474375607E-2</v>
      </c>
      <c r="AA77" s="70">
        <f t="shared" ref="AA77" si="768">MMULT($Y76:$AO76,F$158:F$174)</f>
        <v>4.5781898670495716E-2</v>
      </c>
      <c r="AB77" s="70">
        <f t="shared" ref="AB77" si="769">MMULT($Y76:$AO76,G$158:G$174)</f>
        <v>6.4451253579327072E-3</v>
      </c>
      <c r="AC77" s="70">
        <f t="shared" ref="AC77" si="770">MMULT($Y76:$AO76,H$158:H$174)</f>
        <v>0.13900077623788976</v>
      </c>
      <c r="AD77" s="70">
        <f t="shared" ref="AD77" si="771">MMULT($Y76:$AO76,I$158:I$174)</f>
        <v>7.6174180760404872E-2</v>
      </c>
      <c r="AE77" s="70">
        <f t="shared" ref="AE77" si="772">MMULT($Y76:$AO76,J$158:J$174)</f>
        <v>5.5402212204146435E-2</v>
      </c>
      <c r="AF77" s="70">
        <f t="shared" ref="AF77" si="773">MMULT($Y76:$AO76,K$158:K$174)</f>
        <v>6.8210042686271607E-3</v>
      </c>
      <c r="AG77" s="70">
        <f t="shared" ref="AG77" si="774">MMULT($Y76:$AO76,L$158:L$174)</f>
        <v>3.8591987155444651E-2</v>
      </c>
      <c r="AH77" s="70">
        <f t="shared" ref="AH77" si="775">MMULT($Y76:$AO76,M$158:M$174)</f>
        <v>8.6614504568588175E-3</v>
      </c>
      <c r="AI77" s="70">
        <f t="shared" ref="AI77" si="776">MMULT($Y76:$AO76,N$158:N$174)</f>
        <v>6.0549747625561666E-2</v>
      </c>
      <c r="AJ77" s="70">
        <f t="shared" ref="AJ77" si="777">MMULT($Y76:$AO76,O$158:O$174)</f>
        <v>9.0594426191087832E-2</v>
      </c>
      <c r="AK77" s="70">
        <f t="shared" ref="AK77" si="778">MMULT($Y76:$AO76,P$158:P$174)</f>
        <v>5.0306465566524683E-2</v>
      </c>
      <c r="AL77" s="70">
        <f t="shared" ref="AL77" si="779">MMULT($Y76:$AO76,Q$158:Q$174)</f>
        <v>2.9911611370230826E-2</v>
      </c>
      <c r="AM77" s="70">
        <f t="shared" ref="AM77" si="780">MMULT($Y76:$AO76,R$158:R$174)</f>
        <v>1.3020451663654127E-3</v>
      </c>
      <c r="AN77" s="70">
        <f t="shared" ref="AN77" si="781">MMULT($Y76:$AO76,S$158:S$174)</f>
        <v>1.4359575091796228E-2</v>
      </c>
      <c r="AO77" s="70">
        <f t="shared" ref="AO77" si="782">MMULT($Y76:$AO76,T$158:T$174)</f>
        <v>6.9063584396026889E-2</v>
      </c>
      <c r="AP77" s="190"/>
      <c r="AQ77" s="66">
        <v>7</v>
      </c>
      <c r="AR77" s="66">
        <v>2011</v>
      </c>
      <c r="AS77" s="215">
        <f t="shared" si="659"/>
        <v>1643.2483586170322</v>
      </c>
      <c r="AT77" s="215">
        <f t="shared" si="660"/>
        <v>479.79949497998996</v>
      </c>
      <c r="AU77" s="215">
        <f t="shared" si="661"/>
        <v>466.33441985766939</v>
      </c>
      <c r="AV77" s="215">
        <f t="shared" si="662"/>
        <v>65.650046895902562</v>
      </c>
      <c r="AW77" s="215">
        <f t="shared" si="663"/>
        <v>1415.8619067591451</v>
      </c>
      <c r="AX77" s="215">
        <f t="shared" si="664"/>
        <v>775.91020522548399</v>
      </c>
      <c r="AY77" s="215">
        <f t="shared" si="665"/>
        <v>564.32693351143564</v>
      </c>
      <c r="AZ77" s="215">
        <f t="shared" si="666"/>
        <v>69.47874948023626</v>
      </c>
      <c r="BA77" s="215">
        <f t="shared" si="667"/>
        <v>393.09798116535922</v>
      </c>
      <c r="BB77" s="215">
        <f t="shared" si="668"/>
        <v>88.225534353563916</v>
      </c>
      <c r="BC77" s="215">
        <f t="shared" si="669"/>
        <v>616.75972931397109</v>
      </c>
      <c r="BD77" s="215">
        <f t="shared" si="670"/>
        <v>922.79482518242071</v>
      </c>
      <c r="BE77" s="215">
        <f t="shared" si="671"/>
        <v>512.42165826062046</v>
      </c>
      <c r="BF77" s="215">
        <f t="shared" si="672"/>
        <v>304.67967341717122</v>
      </c>
      <c r="BG77" s="215">
        <f t="shared" si="673"/>
        <v>13.262632064598094</v>
      </c>
      <c r="BH77" s="215">
        <f t="shared" si="674"/>
        <v>146.26663188503639</v>
      </c>
      <c r="BI77" s="215">
        <f t="shared" si="675"/>
        <v>703.48167065792984</v>
      </c>
      <c r="BJ77" s="194"/>
      <c r="BK77" s="66">
        <v>7</v>
      </c>
      <c r="BL77" s="66">
        <v>2011</v>
      </c>
      <c r="BM77" s="215">
        <f t="shared" si="683"/>
        <v>286.73268183683552</v>
      </c>
      <c r="BN77" s="219">
        <f t="shared" si="684"/>
        <v>100.46248472424804</v>
      </c>
      <c r="BO77" s="219">
        <f t="shared" si="685"/>
        <v>5.5872676390374671</v>
      </c>
      <c r="BP77" s="219">
        <f t="shared" si="711"/>
        <v>0.31554696523816972</v>
      </c>
      <c r="BQ77" s="219">
        <f t="shared" si="686"/>
        <v>56.753972475530595</v>
      </c>
      <c r="BR77" s="220">
        <f t="shared" si="712"/>
        <v>11.121899546772662</v>
      </c>
      <c r="BS77" s="219">
        <f t="shared" si="713"/>
        <v>67.114497819730815</v>
      </c>
      <c r="BT77" s="219">
        <f t="shared" si="714"/>
        <v>10.247674483597343</v>
      </c>
      <c r="BU77" s="219">
        <f t="shared" si="715"/>
        <v>0.59455081025303302</v>
      </c>
      <c r="BV77" s="219">
        <f t="shared" si="716"/>
        <v>0.43403674915192708</v>
      </c>
      <c r="BW77" s="219">
        <f t="shared" si="717"/>
        <v>0</v>
      </c>
      <c r="BX77" s="220">
        <f t="shared" si="718"/>
        <v>0</v>
      </c>
      <c r="BY77" s="195"/>
      <c r="BZ77" s="192">
        <v>7</v>
      </c>
      <c r="CA77" s="66">
        <v>2011</v>
      </c>
      <c r="CB77" s="218">
        <f>pAsympt_NoCare_Asympt_Dead_2010_2012*AS76</f>
        <v>47.151193416288237</v>
      </c>
      <c r="CC77" s="218">
        <f t="shared" si="687"/>
        <v>11.210375224257696</v>
      </c>
      <c r="CD77" s="73">
        <f t="shared" si="688"/>
        <v>7.2884782553566296</v>
      </c>
      <c r="CE77" s="73">
        <f>pInt_NoCare_Int_Dead_2010_2012*AW76</f>
        <v>52.715116735657531</v>
      </c>
      <c r="CF77" s="73">
        <f t="shared" si="689"/>
        <v>25.414866682289428</v>
      </c>
      <c r="CG77" s="73">
        <f t="shared" si="690"/>
        <v>1.6856324202727626</v>
      </c>
      <c r="CH77" s="73">
        <f t="shared" si="691"/>
        <v>0.11092917278107005</v>
      </c>
      <c r="CI77" s="73">
        <f t="shared" si="692"/>
        <v>6.9583036170596184</v>
      </c>
      <c r="CJ77" s="73">
        <f t="shared" si="693"/>
        <v>1.2903300590278055</v>
      </c>
      <c r="CK77" s="73">
        <f t="shared" si="694"/>
        <v>5.0355666475692784E-2</v>
      </c>
      <c r="CL77" s="73">
        <f t="shared" si="695"/>
        <v>0</v>
      </c>
      <c r="CM77" s="73">
        <f>pAIDS_NoCare_AIDS_Dead_2010_2012*BC76</f>
        <v>295.42885060398112</v>
      </c>
      <c r="CN77" s="73">
        <f t="shared" si="697"/>
        <v>336.23421513501933</v>
      </c>
      <c r="CO77" s="73">
        <f t="shared" si="698"/>
        <v>45.632567774836815</v>
      </c>
      <c r="CP77" s="73">
        <f t="shared" si="699"/>
        <v>1.4181573689459315</v>
      </c>
      <c r="CQ77" s="73">
        <f t="shared" si="700"/>
        <v>0</v>
      </c>
      <c r="CR77" s="73">
        <f t="shared" si="701"/>
        <v>10.315031767324566</v>
      </c>
      <c r="CS77" s="73">
        <f t="shared" si="702"/>
        <v>0</v>
      </c>
      <c r="CT77" s="73">
        <f t="shared" si="703"/>
        <v>13.579379982804932</v>
      </c>
      <c r="CU77" s="73">
        <f t="shared" si="704"/>
        <v>0.8734680250171849</v>
      </c>
      <c r="CV77" s="73">
        <f t="shared" si="705"/>
        <v>0</v>
      </c>
      <c r="CW77" s="73">
        <f t="shared" si="706"/>
        <v>0</v>
      </c>
      <c r="CX77" s="73">
        <f t="shared" si="707"/>
        <v>0</v>
      </c>
      <c r="CY77" s="73">
        <f t="shared" si="708"/>
        <v>0</v>
      </c>
      <c r="CZ77" s="190"/>
      <c r="DA77" s="66">
        <v>2011</v>
      </c>
      <c r="DB77" s="218">
        <f t="shared" si="676"/>
        <v>2178.5045253878943</v>
      </c>
      <c r="DC77" s="218">
        <f t="shared" si="677"/>
        <v>8324.2431997201693</v>
      </c>
      <c r="DD77" s="73">
        <f t="shared" si="678"/>
        <v>1464.1696467340616</v>
      </c>
      <c r="DE77" s="73">
        <f t="shared" si="679"/>
        <v>830.36396374238973</v>
      </c>
      <c r="DF77" s="73">
        <f t="shared" si="680"/>
        <v>1685.8211863814281</v>
      </c>
      <c r="DG77" s="73">
        <f t="shared" si="681"/>
        <v>4270.6912795314165</v>
      </c>
      <c r="DH77" s="72">
        <f t="shared" si="709"/>
        <v>0.25531040169225583</v>
      </c>
      <c r="DI77" s="72">
        <f t="shared" si="710"/>
        <v>0.33000908685178781</v>
      </c>
      <c r="DJ77" s="73">
        <f>SUM(AV70:AV77,BB70:BB77,BI70:BI77)</f>
        <v>1861.7568002798307</v>
      </c>
      <c r="DK77" s="218">
        <f>SUM(AV76:AV77,BB76:BB77,BI76:BI77)</f>
        <v>1469.7181548182175</v>
      </c>
      <c r="DL77" s="190"/>
    </row>
    <row r="78" spans="1:120" x14ac:dyDescent="0.25">
      <c r="A78" s="190"/>
      <c r="B78" s="188">
        <v>2007</v>
      </c>
      <c r="C78" s="61" t="s">
        <v>325</v>
      </c>
      <c r="D78" s="169">
        <v>0</v>
      </c>
      <c r="E78" s="169">
        <v>0</v>
      </c>
      <c r="F78" s="169">
        <v>0</v>
      </c>
      <c r="G78" s="169">
        <v>0</v>
      </c>
      <c r="H78" s="169">
        <v>0</v>
      </c>
      <c r="I78" s="169">
        <v>0</v>
      </c>
      <c r="J78" s="171">
        <f>pInt_LTFU_Int_ART1_2004_2012</f>
        <v>0.1414</v>
      </c>
      <c r="K78" s="171">
        <f>pInt_LTFU_Int_ART2_2004_2012</f>
        <v>0.1515</v>
      </c>
      <c r="L78" s="172">
        <f>pInt_LTFU_2004_2012</f>
        <v>0.43882838478243957</v>
      </c>
      <c r="M78" s="171">
        <f>pInt_LTFU_Int_Dead_2004_2012</f>
        <v>2.7888537361361161E-2</v>
      </c>
      <c r="N78" s="169">
        <v>0</v>
      </c>
      <c r="O78" s="169">
        <v>0</v>
      </c>
      <c r="P78" s="169">
        <v>0</v>
      </c>
      <c r="Q78" s="169">
        <v>0</v>
      </c>
      <c r="R78" s="169">
        <v>0</v>
      </c>
      <c r="S78" s="170">
        <f>pInt_LTFU_AIDS_LTFU_2004_2012</f>
        <v>0.24038307785619925</v>
      </c>
      <c r="T78" s="169">
        <v>0</v>
      </c>
      <c r="U78" s="61">
        <f t="shared" si="682"/>
        <v>1</v>
      </c>
      <c r="V78" s="190"/>
      <c r="W78" s="66">
        <v>8</v>
      </c>
      <c r="X78" s="66">
        <v>2012</v>
      </c>
      <c r="Y78" s="70">
        <f>MMULT($Y77:$AO77,D$180:D$196)</f>
        <v>0.10224084239936213</v>
      </c>
      <c r="Z78" s="70">
        <f t="shared" ref="Z78" si="783">MMULT($Y77:$AO77,E$180:E$196)</f>
        <v>3.2580559631701381E-2</v>
      </c>
      <c r="AA78" s="70">
        <f t="shared" ref="AA78" si="784">MMULT($Y77:$AO77,F$180:F$196)</f>
        <v>4.4695437273746599E-2</v>
      </c>
      <c r="AB78" s="70">
        <f t="shared" ref="AB78" si="785">MMULT($Y77:$AO77,G$180:G$196)</f>
        <v>4.5699705668242382E-3</v>
      </c>
      <c r="AC78" s="70">
        <f t="shared" ref="AC78" si="786">MMULT($Y77:$AO77,H$180:H$196)</f>
        <v>9.8249200376616691E-2</v>
      </c>
      <c r="AD78" s="70">
        <f t="shared" ref="AD78" si="787">MMULT($Y77:$AO77,I$180:I$196)</f>
        <v>5.594564639296358E-2</v>
      </c>
      <c r="AE78" s="70">
        <f t="shared" ref="AE78" si="788">MMULT($Y77:$AO77,J$180:J$196)</f>
        <v>7.6425815081522214E-2</v>
      </c>
      <c r="AF78" s="70">
        <f t="shared" ref="AF78" si="789">MMULT($Y77:$AO77,K$180:K$196)</f>
        <v>1.3014980237750499E-2</v>
      </c>
      <c r="AG78" s="70">
        <f t="shared" ref="AG78" si="790">MMULT($Y77:$AO77,L$180:L$196)</f>
        <v>4.0888158370464653E-2</v>
      </c>
      <c r="AH78" s="70">
        <f t="shared" ref="AH78" si="791">MMULT($Y77:$AO77,M$180:M$196)</f>
        <v>7.2607953491582531E-3</v>
      </c>
      <c r="AI78" s="70">
        <f t="shared" ref="AI78" si="792">MMULT($Y77:$AO77,N$180:N$196)</f>
        <v>4.5881646094644783E-2</v>
      </c>
      <c r="AJ78" s="70">
        <f t="shared" ref="AJ78" si="793">MMULT($Y77:$AO77,O$180:O$196)</f>
        <v>7.6112426945225728E-2</v>
      </c>
      <c r="AK78" s="70">
        <f t="shared" ref="AK78" si="794">MMULT($Y77:$AO77,P$180:P$196)</f>
        <v>5.1732637851712213E-2</v>
      </c>
      <c r="AL78" s="70">
        <f t="shared" ref="AL78" si="795">MMULT($Y77:$AO77,Q$180:Q$196)</f>
        <v>6.917908436530279E-2</v>
      </c>
      <c r="AM78" s="70">
        <f t="shared" ref="AM78" si="796">MMULT($Y77:$AO77,R$180:R$196)</f>
        <v>4.814356553364014E-3</v>
      </c>
      <c r="AN78" s="70">
        <f t="shared" ref="AN78" si="797">MMULT($Y77:$AO77,S$180:S$196)</f>
        <v>1.9656586642475035E-2</v>
      </c>
      <c r="AO78" s="70">
        <f t="shared" ref="AO78" si="798">MMULT($Y77:$AO77,T$180:T$196)</f>
        <v>7.3975810286973753E-2</v>
      </c>
      <c r="AP78" s="190"/>
      <c r="AQ78" s="66">
        <v>8</v>
      </c>
      <c r="AR78" s="66">
        <v>2012</v>
      </c>
      <c r="AS78" s="215">
        <f t="shared" si="659"/>
        <v>1041.4252206799026</v>
      </c>
      <c r="AT78" s="215">
        <f t="shared" si="660"/>
        <v>331.86558040851025</v>
      </c>
      <c r="AU78" s="215">
        <f t="shared" si="661"/>
        <v>455.26772407038288</v>
      </c>
      <c r="AV78" s="215">
        <f t="shared" si="662"/>
        <v>46.549720193671689</v>
      </c>
      <c r="AW78" s="215">
        <f t="shared" si="663"/>
        <v>1000.7663550362176</v>
      </c>
      <c r="AX78" s="215">
        <f t="shared" si="664"/>
        <v>569.86235415872704</v>
      </c>
      <c r="AY78" s="215">
        <f t="shared" si="665"/>
        <v>778.47335242038525</v>
      </c>
      <c r="AZ78" s="215">
        <f t="shared" si="666"/>
        <v>132.57058870172659</v>
      </c>
      <c r="BA78" s="215">
        <f t="shared" si="667"/>
        <v>416.48678116155293</v>
      </c>
      <c r="BB78" s="215">
        <f t="shared" si="668"/>
        <v>73.958461426525972</v>
      </c>
      <c r="BC78" s="215">
        <f t="shared" si="669"/>
        <v>467.35044712005174</v>
      </c>
      <c r="BD78" s="215">
        <f t="shared" si="670"/>
        <v>775.28118086406926</v>
      </c>
      <c r="BE78" s="215">
        <f t="shared" si="671"/>
        <v>526.94864915754056</v>
      </c>
      <c r="BF78" s="215">
        <f t="shared" si="672"/>
        <v>704.65815334497427</v>
      </c>
      <c r="BG78" s="215">
        <f t="shared" si="673"/>
        <v>49.039035852565846</v>
      </c>
      <c r="BH78" s="215">
        <f t="shared" si="674"/>
        <v>200.22199154025071</v>
      </c>
      <c r="BI78" s="215">
        <f t="shared" si="675"/>
        <v>753.51760358311469</v>
      </c>
      <c r="BJ78" s="194"/>
      <c r="BK78" s="66">
        <v>8</v>
      </c>
      <c r="BL78" s="66">
        <v>2012</v>
      </c>
      <c r="BM78" s="215">
        <f t="shared" si="683"/>
        <v>267.42615708185394</v>
      </c>
      <c r="BN78" s="219">
        <f t="shared" si="684"/>
        <v>137.35267387430616</v>
      </c>
      <c r="BO78" s="219">
        <f t="shared" si="685"/>
        <v>10.569990940736904</v>
      </c>
      <c r="BP78" s="219">
        <f t="shared" si="711"/>
        <v>1.1379592646558994</v>
      </c>
      <c r="BQ78" s="219">
        <f t="shared" si="686"/>
        <v>66.512060584108696</v>
      </c>
      <c r="BR78" s="220">
        <f t="shared" si="712"/>
        <v>26.549423291365887</v>
      </c>
      <c r="BS78" s="219">
        <f t="shared" si="713"/>
        <v>83.408004057604188</v>
      </c>
      <c r="BT78" s="219">
        <f t="shared" si="714"/>
        <v>18.457779938177332</v>
      </c>
      <c r="BU78" s="219">
        <f t="shared" si="715"/>
        <v>3.4181210720615898</v>
      </c>
      <c r="BV78" s="219">
        <f t="shared" si="716"/>
        <v>1.4367433253800943</v>
      </c>
      <c r="BW78" s="219">
        <f t="shared" si="717"/>
        <v>0.36400712084078934</v>
      </c>
      <c r="BX78" s="220">
        <f t="shared" si="718"/>
        <v>7.5852150712134345E-2</v>
      </c>
      <c r="BY78" s="195"/>
      <c r="BZ78" s="192">
        <v>8</v>
      </c>
      <c r="CA78" s="66">
        <v>2012</v>
      </c>
      <c r="CB78" s="218">
        <f>pAsympt_NoCare_Asympt_Dead_2010_2012*AS77</f>
        <v>29.882544383129851</v>
      </c>
      <c r="CC78" s="218">
        <f t="shared" si="687"/>
        <v>8.1868636740940541</v>
      </c>
      <c r="CD78" s="73">
        <f t="shared" si="688"/>
        <v>8.4803121364477825</v>
      </c>
      <c r="CE78" s="73">
        <f>pInt_NoCare_Int_Dead_2010_2012*AW77</f>
        <v>39.486317685180474</v>
      </c>
      <c r="CF78" s="73">
        <f t="shared" si="689"/>
        <v>20.303953400788501</v>
      </c>
      <c r="CG78" s="73">
        <f t="shared" si="690"/>
        <v>2.8538968112281236</v>
      </c>
      <c r="CH78" s="73">
        <f t="shared" si="691"/>
        <v>0.35136579492310516</v>
      </c>
      <c r="CI78" s="73">
        <f t="shared" si="692"/>
        <v>7.9965551101298704</v>
      </c>
      <c r="CJ78" s="73">
        <f t="shared" si="693"/>
        <v>2.8017517586473666</v>
      </c>
      <c r="CK78" s="73">
        <f t="shared" si="694"/>
        <v>0.15582072229922056</v>
      </c>
      <c r="CL78" s="73">
        <f t="shared" si="695"/>
        <v>8.8001433293088283E-3</v>
      </c>
      <c r="CM78" s="73">
        <f>pAIDS_NoCare_AIDS_Dead_2010_2012*BC77</f>
        <v>253.18895887506207</v>
      </c>
      <c r="CN78" s="73">
        <f t="shared" si="697"/>
        <v>355.44901110240596</v>
      </c>
      <c r="CO78" s="73">
        <f t="shared" si="698"/>
        <v>75.73843885321908</v>
      </c>
      <c r="CP78" s="73">
        <f t="shared" si="699"/>
        <v>7.847084854053759</v>
      </c>
      <c r="CQ78" s="73">
        <f t="shared" si="700"/>
        <v>1.2495017876485417</v>
      </c>
      <c r="CR78" s="73">
        <f t="shared" si="701"/>
        <v>23.298342158439652</v>
      </c>
      <c r="CS78" s="73">
        <f t="shared" si="702"/>
        <v>4.5657036818739769</v>
      </c>
      <c r="CT78" s="73">
        <f t="shared" si="703"/>
        <v>27.55149050879406</v>
      </c>
      <c r="CU78" s="73">
        <f t="shared" si="704"/>
        <v>4.2068214088467677</v>
      </c>
      <c r="CV78" s="73">
        <f t="shared" si="705"/>
        <v>0.24407187027877189</v>
      </c>
      <c r="CW78" s="73">
        <f t="shared" si="706"/>
        <v>0.17817848249192353</v>
      </c>
      <c r="CX78" s="73">
        <f t="shared" si="707"/>
        <v>0</v>
      </c>
      <c r="CY78" s="73">
        <f t="shared" si="708"/>
        <v>0</v>
      </c>
      <c r="CZ78" s="190"/>
      <c r="DA78" s="66">
        <v>2012</v>
      </c>
      <c r="DB78" s="218">
        <f t="shared" si="676"/>
        <v>1677.0091154313066</v>
      </c>
      <c r="DC78" s="218">
        <f t="shared" si="677"/>
        <v>7450.2174145168583</v>
      </c>
      <c r="DD78" s="73">
        <f t="shared" si="678"/>
        <v>2191.6897794771926</v>
      </c>
      <c r="DE78" s="73">
        <f t="shared" si="679"/>
        <v>1280.6458383550805</v>
      </c>
      <c r="DF78" s="73">
        <f t="shared" si="680"/>
        <v>1442.8536195243717</v>
      </c>
      <c r="DG78" s="73">
        <f t="shared" si="681"/>
        <v>3429.9691098808689</v>
      </c>
      <c r="DH78" s="72">
        <f t="shared" si="709"/>
        <v>0.38986530890839277</v>
      </c>
      <c r="DI78" s="72">
        <f t="shared" si="710"/>
        <v>0.47022070617638601</v>
      </c>
      <c r="DJ78" s="73">
        <f>SUM(AV70:AV78,BB70:BB78,BI70:BI78)</f>
        <v>2735.7825854831426</v>
      </c>
      <c r="DK78" s="73">
        <f>SUM(AV76:AV78,BB76:BB78,BI76:BI78)</f>
        <v>2343.7439400215299</v>
      </c>
      <c r="DL78" s="190"/>
    </row>
    <row r="79" spans="1:120" x14ac:dyDescent="0.25">
      <c r="A79" s="190"/>
      <c r="B79" s="188">
        <v>2007</v>
      </c>
      <c r="C79" s="61" t="s">
        <v>326</v>
      </c>
      <c r="D79" s="169">
        <v>0</v>
      </c>
      <c r="E79" s="169">
        <v>0</v>
      </c>
      <c r="F79" s="169">
        <v>0</v>
      </c>
      <c r="G79" s="169">
        <v>0</v>
      </c>
      <c r="H79" s="169">
        <v>0</v>
      </c>
      <c r="I79" s="169">
        <v>0</v>
      </c>
      <c r="J79" s="169">
        <v>0</v>
      </c>
      <c r="K79" s="169">
        <v>0</v>
      </c>
      <c r="L79" s="169">
        <v>0</v>
      </c>
      <c r="M79" s="169">
        <v>0</v>
      </c>
      <c r="N79" s="169">
        <v>0</v>
      </c>
      <c r="O79" s="169">
        <v>0</v>
      </c>
      <c r="P79" s="169">
        <v>0</v>
      </c>
      <c r="Q79" s="169">
        <v>0</v>
      </c>
      <c r="R79" s="169">
        <v>0</v>
      </c>
      <c r="S79" s="169">
        <v>0</v>
      </c>
      <c r="T79" s="169">
        <v>0</v>
      </c>
      <c r="U79" s="61">
        <f t="shared" si="682"/>
        <v>0</v>
      </c>
      <c r="V79" s="190"/>
      <c r="W79" s="66">
        <v>9</v>
      </c>
      <c r="X79" s="66">
        <v>2013</v>
      </c>
      <c r="Y79" s="70">
        <f>MMULT($Y78:$AO78,D$202:D$218)</f>
        <v>6.4796165047057069E-2</v>
      </c>
      <c r="Z79" s="70">
        <f t="shared" ref="Z79:Z89" si="799">MMULT($Y78:$AO78,E$202:E$218)</f>
        <v>2.1843525905788908E-2</v>
      </c>
      <c r="AA79" s="70">
        <f t="shared" ref="AA79:AA89" si="800">MMULT($Y78:$AO78,F$202:F$218)</f>
        <v>3.9070613095608941E-2</v>
      </c>
      <c r="AB79" s="70">
        <f t="shared" ref="AB79:AB89" si="801">MMULT($Y78:$AO78,G$202:G$218)</f>
        <v>3.2279679090595247E-3</v>
      </c>
      <c r="AC79" s="70">
        <f t="shared" ref="AC79:AC89" si="802">MMULT($Y78:$AO78,H$202:H$218)</f>
        <v>6.708755215141908E-2</v>
      </c>
      <c r="AD79" s="70">
        <f t="shared" ref="AD79:AD89" si="803">MMULT($Y78:$AO78,I$202:I$218)</f>
        <v>3.9104686877750108E-2</v>
      </c>
      <c r="AE79" s="70">
        <f t="shared" ref="AE79:AE89" si="804">MMULT($Y78:$AO78,J$202:J$218)</f>
        <v>9.5178545986641258E-2</v>
      </c>
      <c r="AF79" s="70">
        <f t="shared" ref="AF79:AF89" si="805">MMULT($Y78:$AO78,K$202:K$218)</f>
        <v>2.0444451372172889E-2</v>
      </c>
      <c r="AG79" s="70">
        <f t="shared" ref="AG79:AG89" si="806">MMULT($Y78:$AO78,L$202:L$218)</f>
        <v>3.6726542787591979E-2</v>
      </c>
      <c r="AH79" s="70">
        <f t="shared" ref="AH79:AH89" si="807">MMULT($Y78:$AO78,M$202:M$218)</f>
        <v>5.7966356658971764E-3</v>
      </c>
      <c r="AI79" s="70">
        <f t="shared" ref="AI79:AI89" si="808">MMULT($Y78:$AO78,N$202:N$218)</f>
        <v>3.2643231150590313E-2</v>
      </c>
      <c r="AJ79" s="70">
        <f t="shared" ref="AJ79:AJ89" si="809">MMULT($Y78:$AO78,O$202:O$218)</f>
        <v>5.7361820503332731E-2</v>
      </c>
      <c r="AK79" s="70">
        <f t="shared" ref="AK79:AK89" si="810">MMULT($Y78:$AO78,P$202:P$218)</f>
        <v>4.4464841763559221E-2</v>
      </c>
      <c r="AL79" s="70">
        <f t="shared" ref="AL79:AL89" si="811">MMULT($Y78:$AO78,Q$202:Q$218)</f>
        <v>0.10698003308425716</v>
      </c>
      <c r="AM79" s="70">
        <f t="shared" ref="AM79:AM89" si="812">MMULT($Y78:$AO78,R$202:R$218)</f>
        <v>1.0911334810488739E-2</v>
      </c>
      <c r="AN79" s="70">
        <f t="shared" ref="AN79:AN89" si="813">MMULT($Y78:$AO78,S$202:S$218)</f>
        <v>1.9675835782457882E-2</v>
      </c>
      <c r="AO79" s="70">
        <f t="shared" ref="AO79:AO89" si="814">MMULT($Y78:$AO78,T$202:T$218)</f>
        <v>6.6103594323179318E-2</v>
      </c>
      <c r="AP79" s="190"/>
      <c r="AQ79" s="66">
        <v>9</v>
      </c>
      <c r="AR79" s="66">
        <v>2013</v>
      </c>
      <c r="AS79" s="215">
        <f t="shared" si="659"/>
        <v>660.01373716932335</v>
      </c>
      <c r="AT79" s="215">
        <f t="shared" si="660"/>
        <v>222.49815487636582</v>
      </c>
      <c r="AU79" s="215">
        <f t="shared" si="661"/>
        <v>397.97326499187267</v>
      </c>
      <c r="AV79" s="215">
        <f t="shared" si="662"/>
        <v>32.88008112168032</v>
      </c>
      <c r="AW79" s="215">
        <f t="shared" si="663"/>
        <v>683.35380621435479</v>
      </c>
      <c r="AX79" s="215">
        <f t="shared" si="664"/>
        <v>398.32034053676261</v>
      </c>
      <c r="AY79" s="215">
        <f t="shared" si="665"/>
        <v>969.48866941992787</v>
      </c>
      <c r="AZ79" s="215">
        <f t="shared" si="666"/>
        <v>208.24718167695303</v>
      </c>
      <c r="BA79" s="215">
        <f t="shared" si="667"/>
        <v>374.09656483441188</v>
      </c>
      <c r="BB79" s="215">
        <f t="shared" si="668"/>
        <v>59.044530892828639</v>
      </c>
      <c r="BC79" s="215">
        <f t="shared" si="669"/>
        <v>332.50395249991294</v>
      </c>
      <c r="BD79" s="215">
        <f t="shared" si="670"/>
        <v>584.28750364694724</v>
      </c>
      <c r="BE79" s="215">
        <f t="shared" si="671"/>
        <v>452.91887820361421</v>
      </c>
      <c r="BF79" s="215">
        <f t="shared" si="672"/>
        <v>1089.6986169962433</v>
      </c>
      <c r="BG79" s="215">
        <f t="shared" si="673"/>
        <v>111.14285637963829</v>
      </c>
      <c r="BH79" s="215">
        <f t="shared" si="674"/>
        <v>200.418063280116</v>
      </c>
      <c r="BI79" s="215">
        <f t="shared" si="675"/>
        <v>673.33121177590453</v>
      </c>
      <c r="BJ79" s="194"/>
      <c r="BK79" s="66">
        <v>9</v>
      </c>
      <c r="BL79" s="66">
        <v>2013</v>
      </c>
      <c r="BM79" s="215">
        <f t="shared" ref="BM79:BM89" si="815">(AX78*pInt_InCare_Int_LTFU_2013plus_u)+(BM78*pInt_LTFU_2013plus_u)</f>
        <v>210.54719078565171</v>
      </c>
      <c r="BN79" s="219">
        <f t="shared" ref="BN79:BN89" si="816">(AU78*pAsympt_LTFU_Int_LTFU_2013plus_u)+(BN78*pInt_LTFU_2013plus_u)</f>
        <v>145.77874881136557</v>
      </c>
      <c r="BO79" s="219">
        <f t="shared" ref="BO79:BO89" si="817">(AY78*pInt_ART1_Int_LTFU_2013plus_u)+(BO78*pInt_LTFU_2013plus_u)</f>
        <v>15.410132424774165</v>
      </c>
      <c r="BP79" s="219">
        <f t="shared" ref="BP79:BP89" si="818">(AZ78*pInt_ART2_Int_LTFU_2013plus_u)+(BP78*pInt_LTFU_2013plus_u)</f>
        <v>2.3604928126204765</v>
      </c>
      <c r="BQ79" s="219">
        <f t="shared" ref="BQ79:BQ89" si="819">(BD78*pAIDS_InCare_AIDS_LTFU_2013plus_u)+(BQ78*pAIDS_LTFU_2013plus_u)</f>
        <v>55.240699292721644</v>
      </c>
      <c r="BR79" s="220">
        <f t="shared" ref="BR79:BR89" si="820">(BN78*pInt_LTFU_AIDS_LTFU_2013plus_u)+(BR78*pAIDS_LTFU_2013plus_u)</f>
        <v>36.869188523820682</v>
      </c>
      <c r="BS79" s="219">
        <f t="shared" ref="BS79:BS89" si="821">(BM78*pInt_LTFU_AIDS_LTFU_2013plus_u)+(BS78*pAIDS_LTFU_2013plus_u)</f>
        <v>76.385994834925839</v>
      </c>
      <c r="BT79" s="219">
        <f t="shared" ref="BT79:BT89" si="822">(BE78*pAIDS_ART1ear_AIDS_LTFU_2013plus_u)+(BT78*pAIDS_LTFU_2013plus_u)</f>
        <v>19.385017266911923</v>
      </c>
      <c r="BU79" s="219">
        <f t="shared" ref="BU79:BU89" si="823">(BF78*pAIDS_ART1late_AIDS_LTFU_2013plus_u)+(BU78*pAIDS_LTFU_2013plus_u)</f>
        <v>8.1045740929362999</v>
      </c>
      <c r="BV79" s="219">
        <f t="shared" ref="BV79:BV89" si="824">(BO78*pInt_LTFU_AIDS_LTFU_2013plus_u)+(BV78*pAIDS_LTFU_2013plus_u)</f>
        <v>2.7492972366008828</v>
      </c>
      <c r="BW79" s="219">
        <f t="shared" ref="BW79:BW89" si="825">(BG78*pAIDS_ART2_AIDS_LTFU_2013plus_u)+(BW78*pAIDS_LTFU_2013plus_u)</f>
        <v>1.3987408525494351</v>
      </c>
      <c r="BX79" s="220">
        <f t="shared" ref="BX79:BX89" si="826">(BP78*pInt_LTFU_AIDS_LTFU_2013plus_u)+(BX78*pAIDS_LTFU_2013plus_u)</f>
        <v>0.28455117964932392</v>
      </c>
      <c r="BY79" s="195"/>
      <c r="BZ79" s="192">
        <v>9</v>
      </c>
      <c r="CA79" s="66">
        <v>2013</v>
      </c>
      <c r="CB79" s="218">
        <f t="shared" ref="CB79:CB89" si="827">pAsympt_NoCare_Asympt_Dead_2013plus_u*AS78</f>
        <v>18.938363890939247</v>
      </c>
      <c r="CC79" s="218">
        <f t="shared" ref="CC79:CC89" si="828">pAsympt_InCare_Asympt_Dead_2013plus_u*AT78</f>
        <v>5.6626534486908584</v>
      </c>
      <c r="CD79" s="73">
        <f t="shared" ref="CD79:CD89" si="829">pAsympt_LTFU_Asympt_Dead_2013plus_u*AU78</f>
        <v>8.2790637820502138</v>
      </c>
      <c r="CE79" s="73">
        <f t="shared" ref="CE79:CE89" si="830">pInt_NoCare_Int_Dead_2013plus_u*AW78</f>
        <v>27.909909882420784</v>
      </c>
      <c r="CF79" s="73">
        <f t="shared" ref="CF79:CF89" si="831">pInt_InCare_Int_Dead_2013plus_u*AX78</f>
        <v>14.912110455281336</v>
      </c>
      <c r="CG79" s="73">
        <f t="shared" ref="CG79:CG89" si="832">pInt_ART1_Int_Dead_2013plus_u*AY78</f>
        <v>3.9368714944624985</v>
      </c>
      <c r="CH79" s="73">
        <f t="shared" ref="CH79:CH89" si="833">pInt_ART2_Int_Dead_2013plus_u*AZ78</f>
        <v>0.67043190372700112</v>
      </c>
      <c r="CI79" s="73">
        <f t="shared" ref="CI79:CI89" si="834">(BM78*pInt_LTFU_Int_Dead_2013plus_u)</f>
        <v>7.458124373182522</v>
      </c>
      <c r="CJ79" s="73">
        <f t="shared" ref="CJ79:CJ89" si="835">(BN78*pInt_LTFU_Int_Dead_2013plus_u)</f>
        <v>3.8305651770264424</v>
      </c>
      <c r="CK79" s="73">
        <f t="shared" ref="CK79:CK89" si="836">(BO78*pInt_LTFU_Int_Dead_2013plus_u)</f>
        <v>0.29478158725999015</v>
      </c>
      <c r="CL79" s="73">
        <f t="shared" ref="CL79:CL89" si="837">(BP78*pInt_LTFU_Int_Dead_2013plus_u)</f>
        <v>3.173601946806312E-2</v>
      </c>
      <c r="CM79" s="73">
        <f t="shared" ref="CM79:CM89" si="838">pAIDS_NoCare_AIDS_Dead_2013plus_u*BC78</f>
        <v>191.85424649520846</v>
      </c>
      <c r="CN79" s="73">
        <f t="shared" ref="CN79:CN89" si="839">pAIDS_InCare_AIDS_Dead_2013plus_u*BD78</f>
        <v>298.62860252815454</v>
      </c>
      <c r="CO79" s="73">
        <f t="shared" ref="CO79:CO89" si="840">pAIDS_ART1ear_AIDS_Dead_2013plus_u*BE78</f>
        <v>77.885599485543594</v>
      </c>
      <c r="CP79" s="73">
        <f t="shared" ref="CP79:CP89" si="841">pAIDS_ART1late_AIDS_Dead_2013plus_u*BF78</f>
        <v>18.148609194640173</v>
      </c>
      <c r="CQ79" s="73">
        <f t="shared" ref="CQ79:CQ89" si="842">pAIDS_ART2_AIDS_Dead_2013plus_u*BG78</f>
        <v>4.6200756127361347</v>
      </c>
      <c r="CR79" s="73">
        <f t="shared" ref="CR79:CR89" si="843">(BQ78*pAIDS_LTFU_AIDS_Dead_2013plus_u)</f>
        <v>27.304181144668753</v>
      </c>
      <c r="CS79" s="73">
        <f t="shared" ref="CS79:CS89" si="844">(BR78*pAIDS_LTFU_AIDS_Dead_2013plus_u)</f>
        <v>10.898929554546685</v>
      </c>
      <c r="CT79" s="73">
        <f t="shared" ref="CT79:CT89" si="845">(BS78*pAIDS_LTFU_AIDS_Dead_2013plus_u)</f>
        <v>34.240214958070517</v>
      </c>
      <c r="CU79" s="73">
        <f t="shared" ref="CU79:CU89" si="846">(BT78*pAIDS_LTFU_AIDS_Dead_2013plus_u)</f>
        <v>7.5771907009724808</v>
      </c>
      <c r="CV79" s="73">
        <f t="shared" ref="CV79:CV89" si="847">(BU78*pAIDS_LTFU_AIDS_Dead_2013plus_u)</f>
        <v>1.4031890773848241</v>
      </c>
      <c r="CW79" s="73">
        <f t="shared" ref="CW79:CW89" si="848">(BV78*pAIDS_LTFU_AIDS_Dead_2013plus_u)</f>
        <v>0.58980431022677737</v>
      </c>
      <c r="CX79" s="73">
        <f t="shared" ref="CX79:CX89" si="849">(BW78*pAIDS_LTFU_AIDS_Dead_2013plus_u)</f>
        <v>0.1494302879523309</v>
      </c>
      <c r="CY79" s="73">
        <f t="shared" ref="CY79:CY89" si="850">(BX78*pAIDS_LTFU_AIDS_Dead_2013plus_u)</f>
        <v>3.1138425799300245E-2</v>
      </c>
      <c r="CZ79" s="190"/>
      <c r="DA79" s="66">
        <v>2013</v>
      </c>
      <c r="DB79" s="218">
        <f t="shared" si="676"/>
        <v>1205.1059990600756</v>
      </c>
      <c r="DC79" s="218">
        <f t="shared" si="677"/>
        <v>6684.9615907264451</v>
      </c>
      <c r="DD79" s="73">
        <f t="shared" si="678"/>
        <v>2831.4962026763769</v>
      </c>
      <c r="DE79" s="73">
        <f t="shared" si="679"/>
        <v>1653.7603515794958</v>
      </c>
      <c r="DF79" s="73">
        <f t="shared" si="680"/>
        <v>1117.2095194269762</v>
      </c>
      <c r="DG79" s="73">
        <f t="shared" si="681"/>
        <v>2572.9802310125051</v>
      </c>
      <c r="DH79" s="72">
        <f t="shared" si="709"/>
        <v>0.52391683772107955</v>
      </c>
      <c r="DI79" s="72">
        <f t="shared" si="710"/>
        <v>0.59681643199491619</v>
      </c>
      <c r="DJ79" s="73">
        <f>SUM(AV70:AV79,BB70:BB79,BI70:BI79)</f>
        <v>3501.0384092735562</v>
      </c>
      <c r="DK79" s="73">
        <f>SUM(AV76:AV79,BB76:BB79,BI76:BI79)</f>
        <v>3108.9997638119435</v>
      </c>
      <c r="DL79" s="190"/>
    </row>
    <row r="80" spans="1:120" x14ac:dyDescent="0.25">
      <c r="A80" s="190"/>
      <c r="B80" s="188">
        <v>2007</v>
      </c>
      <c r="C80" s="61" t="s">
        <v>327</v>
      </c>
      <c r="D80" s="169">
        <v>0</v>
      </c>
      <c r="E80" s="169">
        <v>0</v>
      </c>
      <c r="F80" s="169">
        <v>0</v>
      </c>
      <c r="G80" s="169">
        <v>0</v>
      </c>
      <c r="H80" s="169">
        <v>0</v>
      </c>
      <c r="I80" s="169">
        <v>0</v>
      </c>
      <c r="J80" s="169">
        <v>0</v>
      </c>
      <c r="K80" s="169">
        <v>0</v>
      </c>
      <c r="L80" s="169">
        <v>0</v>
      </c>
      <c r="M80" s="169">
        <v>0</v>
      </c>
      <c r="N80" s="172">
        <f>pAIDS_NoCare_2007_2009</f>
        <v>6.9057483924386043E-2</v>
      </c>
      <c r="O80" s="172">
        <f>pAIDS_NoCare_AIDS_InCare_2007_2009</f>
        <v>0.46884042112291341</v>
      </c>
      <c r="P80" s="170">
        <f>pAIDS_NoCare_AIDS_ART1ear_2007_2009</f>
        <v>5.1587356649849515E-2</v>
      </c>
      <c r="Q80" s="169">
        <v>0</v>
      </c>
      <c r="R80" s="169">
        <v>0</v>
      </c>
      <c r="S80" s="169">
        <v>0</v>
      </c>
      <c r="T80" s="170">
        <f>pAIDS_NoCare_AIDS_Dead_2007_2009</f>
        <v>0.41051473830285101</v>
      </c>
      <c r="U80" s="61">
        <f t="shared" si="682"/>
        <v>0.99999999999999989</v>
      </c>
      <c r="V80" s="190"/>
      <c r="W80" s="66">
        <v>10</v>
      </c>
      <c r="X80" s="66">
        <v>2014</v>
      </c>
      <c r="Y80" s="70">
        <f t="shared" ref="Y80:Y89" si="851">MMULT($Y79:$AO79,D$202:D$218)</f>
        <v>4.1065223117054975E-2</v>
      </c>
      <c r="Z80" s="70">
        <f t="shared" si="799"/>
        <v>1.4367251330038269E-2</v>
      </c>
      <c r="AA80" s="70">
        <f t="shared" si="800"/>
        <v>3.2117509317258985E-2</v>
      </c>
      <c r="AB80" s="70">
        <f t="shared" si="801"/>
        <v>2.261540099831108E-3</v>
      </c>
      <c r="AC80" s="70">
        <f t="shared" si="802"/>
        <v>4.4806027409578501E-2</v>
      </c>
      <c r="AD80" s="70">
        <f t="shared" si="803"/>
        <v>2.6497177148528745E-2</v>
      </c>
      <c r="AE80" s="70">
        <f t="shared" si="804"/>
        <v>0.10942183923476553</v>
      </c>
      <c r="AF80" s="70">
        <f t="shared" si="805"/>
        <v>2.7177365289508655E-2</v>
      </c>
      <c r="AG80" s="70">
        <f t="shared" si="806"/>
        <v>3.1246726332427963E-2</v>
      </c>
      <c r="AH80" s="70">
        <f t="shared" si="807"/>
        <v>4.5032365092836585E-3</v>
      </c>
      <c r="AI80" s="70">
        <f t="shared" si="808"/>
        <v>2.2380525055847634E-2</v>
      </c>
      <c r="AJ80" s="70">
        <f t="shared" si="809"/>
        <v>4.0718872740305043E-2</v>
      </c>
      <c r="AK80" s="70">
        <f t="shared" si="810"/>
        <v>3.4169875011443251E-2</v>
      </c>
      <c r="AL80" s="70">
        <f t="shared" si="811"/>
        <v>0.13627961765098304</v>
      </c>
      <c r="AM80" s="70">
        <f t="shared" si="812"/>
        <v>1.7427516060382058E-2</v>
      </c>
      <c r="AN80" s="70">
        <f t="shared" si="813"/>
        <v>1.7920680234229984E-2</v>
      </c>
      <c r="AO80" s="70">
        <f t="shared" si="814"/>
        <v>5.3928197777248874E-2</v>
      </c>
      <c r="AP80" s="190"/>
      <c r="AQ80" s="66">
        <v>10</v>
      </c>
      <c r="AR80" s="66">
        <v>2014</v>
      </c>
      <c r="AS80" s="215">
        <f t="shared" si="659"/>
        <v>418.290362670322</v>
      </c>
      <c r="AT80" s="215">
        <f t="shared" si="660"/>
        <v>146.34482204776981</v>
      </c>
      <c r="AU80" s="215">
        <f t="shared" si="661"/>
        <v>327.14894990560003</v>
      </c>
      <c r="AV80" s="215">
        <f t="shared" si="662"/>
        <v>23.036047456879668</v>
      </c>
      <c r="AW80" s="215">
        <f t="shared" si="663"/>
        <v>456.3941951939666</v>
      </c>
      <c r="AX80" s="215">
        <f t="shared" si="664"/>
        <v>269.90024643491381</v>
      </c>
      <c r="AY80" s="215">
        <f t="shared" si="665"/>
        <v>1114.5708544453216</v>
      </c>
      <c r="AZ80" s="215">
        <f t="shared" si="666"/>
        <v>276.82864283893514</v>
      </c>
      <c r="BA80" s="215">
        <f t="shared" si="667"/>
        <v>318.27915442211122</v>
      </c>
      <c r="BB80" s="215">
        <f t="shared" si="668"/>
        <v>45.869967083563346</v>
      </c>
      <c r="BC80" s="215">
        <f t="shared" si="669"/>
        <v>227.96802821886399</v>
      </c>
      <c r="BD80" s="215">
        <f t="shared" si="670"/>
        <v>414.76243773274717</v>
      </c>
      <c r="BE80" s="215">
        <f t="shared" si="671"/>
        <v>348.05434686656093</v>
      </c>
      <c r="BF80" s="215">
        <f t="shared" si="672"/>
        <v>1388.1441853929132</v>
      </c>
      <c r="BG80" s="215">
        <f t="shared" si="673"/>
        <v>177.51667859105163</v>
      </c>
      <c r="BH80" s="215">
        <f t="shared" si="674"/>
        <v>182.54004886586662</v>
      </c>
      <c r="BI80" s="215">
        <f t="shared" si="675"/>
        <v>549.31262255905699</v>
      </c>
      <c r="BJ80" s="194"/>
      <c r="BK80" s="66">
        <v>10</v>
      </c>
      <c r="BL80" s="66">
        <v>2014</v>
      </c>
      <c r="BM80" s="215">
        <f t="shared" si="815"/>
        <v>156.57943975721264</v>
      </c>
      <c r="BN80" s="219">
        <f t="shared" si="816"/>
        <v>137.67704442289192</v>
      </c>
      <c r="BO80" s="219">
        <f t="shared" si="817"/>
        <v>20.086437829340717</v>
      </c>
      <c r="BP80" s="219">
        <f t="shared" si="818"/>
        <v>3.9362324126660071</v>
      </c>
      <c r="BQ80" s="219">
        <f t="shared" si="819"/>
        <v>42.3739166153185</v>
      </c>
      <c r="BR80" s="220">
        <f t="shared" si="820"/>
        <v>40.391920190841851</v>
      </c>
      <c r="BS80" s="219">
        <f t="shared" si="821"/>
        <v>61.694463805653641</v>
      </c>
      <c r="BT80" s="219">
        <f t="shared" si="822"/>
        <v>17.172409580238678</v>
      </c>
      <c r="BU80" s="219">
        <f t="shared" si="823"/>
        <v>12.942043153804704</v>
      </c>
      <c r="BV80" s="219">
        <f t="shared" si="824"/>
        <v>4.1032175714943167</v>
      </c>
      <c r="BW80" s="219">
        <f t="shared" si="825"/>
        <v>3.2533712385941302</v>
      </c>
      <c r="BX80" s="220">
        <f t="shared" si="826"/>
        <v>0.60870670992080134</v>
      </c>
      <c r="BY80" s="195"/>
      <c r="BZ80" s="192">
        <v>10</v>
      </c>
      <c r="CA80" s="66">
        <v>2014</v>
      </c>
      <c r="CB80" s="218">
        <f t="shared" si="827"/>
        <v>12.002379123650311</v>
      </c>
      <c r="CC80" s="218">
        <f t="shared" si="828"/>
        <v>3.7965068341437931</v>
      </c>
      <c r="CD80" s="73">
        <f t="shared" si="829"/>
        <v>7.2371614990855635</v>
      </c>
      <c r="CE80" s="73">
        <f t="shared" si="830"/>
        <v>19.057738155637388</v>
      </c>
      <c r="CF80" s="73">
        <f t="shared" si="831"/>
        <v>10.423213380077103</v>
      </c>
      <c r="CG80" s="73">
        <f t="shared" si="832"/>
        <v>4.9028682805607415</v>
      </c>
      <c r="CH80" s="73">
        <f t="shared" si="833"/>
        <v>1.0531412421467503</v>
      </c>
      <c r="CI80" s="73">
        <f t="shared" si="834"/>
        <v>5.8718531965552838</v>
      </c>
      <c r="CJ80" s="73">
        <f t="shared" si="835"/>
        <v>4.0655560827182526</v>
      </c>
      <c r="CK80" s="73">
        <f t="shared" si="836"/>
        <v>0.42976605387183736</v>
      </c>
      <c r="CL80" s="73">
        <f t="shared" si="837"/>
        <v>6.5830691995990648E-2</v>
      </c>
      <c r="CM80" s="73">
        <f t="shared" si="838"/>
        <v>136.49777304516536</v>
      </c>
      <c r="CN80" s="73">
        <f t="shared" si="839"/>
        <v>225.06022975339636</v>
      </c>
      <c r="CO80" s="73">
        <f t="shared" si="840"/>
        <v>66.943635596382492</v>
      </c>
      <c r="CP80" s="73">
        <f t="shared" si="841"/>
        <v>28.065401990918087</v>
      </c>
      <c r="CQ80" s="73">
        <f t="shared" si="842"/>
        <v>10.471013374593795</v>
      </c>
      <c r="CR80" s="73">
        <f t="shared" si="843"/>
        <v>22.677121213818111</v>
      </c>
      <c r="CS80" s="73">
        <f t="shared" si="844"/>
        <v>15.135345278294725</v>
      </c>
      <c r="CT80" s="73">
        <f t="shared" si="845"/>
        <v>31.357576679662511</v>
      </c>
      <c r="CU80" s="73">
        <f t="shared" si="846"/>
        <v>7.9578352903225964</v>
      </c>
      <c r="CV80" s="73">
        <f t="shared" si="847"/>
        <v>3.3270471128178114</v>
      </c>
      <c r="CW80" s="73">
        <f t="shared" si="848"/>
        <v>1.1286270355999628</v>
      </c>
      <c r="CX80" s="73">
        <f t="shared" si="849"/>
        <v>0.57420373503783806</v>
      </c>
      <c r="CY80" s="73">
        <f t="shared" si="850"/>
        <v>0.11681245304750976</v>
      </c>
      <c r="CZ80" s="190"/>
      <c r="DA80" s="66">
        <v>2014</v>
      </c>
      <c r="DB80" s="218">
        <f t="shared" si="676"/>
        <v>831.00750621543079</v>
      </c>
      <c r="DC80" s="218">
        <f t="shared" si="677"/>
        <v>6066.7429536269428</v>
      </c>
      <c r="DD80" s="73">
        <f t="shared" si="678"/>
        <v>3305.1147081347826</v>
      </c>
      <c r="DE80" s="73">
        <f t="shared" si="679"/>
        <v>1913.7152108505259</v>
      </c>
      <c r="DF80" s="73">
        <f t="shared" si="680"/>
        <v>825.27051481747787</v>
      </c>
      <c r="DG80" s="73">
        <f t="shared" si="681"/>
        <v>1869.8441108684697</v>
      </c>
      <c r="DH80" s="72">
        <f t="shared" si="709"/>
        <v>0.63867459118667547</v>
      </c>
      <c r="DI80" s="72">
        <f t="shared" si="710"/>
        <v>0.69869484638653789</v>
      </c>
      <c r="DJ80" s="73">
        <f>SUM(AV70:AV80,BB70:BB80,BI70:BI80)</f>
        <v>4119.2570463730563</v>
      </c>
      <c r="DK80" s="73">
        <f>SUM(AV76:AV80,BB76:BB80,BI76:BI80)</f>
        <v>3727.2184009114435</v>
      </c>
      <c r="DL80" s="190"/>
    </row>
    <row r="81" spans="1:120" x14ac:dyDescent="0.25">
      <c r="A81" s="190"/>
      <c r="B81" s="188">
        <v>2007</v>
      </c>
      <c r="C81" s="61" t="s">
        <v>328</v>
      </c>
      <c r="D81" s="169">
        <v>0</v>
      </c>
      <c r="E81" s="169">
        <v>0</v>
      </c>
      <c r="F81" s="169">
        <v>0</v>
      </c>
      <c r="G81" s="169">
        <v>0</v>
      </c>
      <c r="H81" s="169">
        <v>0</v>
      </c>
      <c r="I81" s="169">
        <v>0</v>
      </c>
      <c r="J81" s="169">
        <v>0</v>
      </c>
      <c r="K81" s="169">
        <v>0</v>
      </c>
      <c r="L81" s="169">
        <v>0</v>
      </c>
      <c r="M81" s="169">
        <v>0</v>
      </c>
      <c r="N81" s="169">
        <v>0</v>
      </c>
      <c r="O81" s="172">
        <f>pAIDS_InCare_2007</f>
        <v>0.17221742283672103</v>
      </c>
      <c r="P81" s="172">
        <f>pAIDS_InCare_AIDS_ART1ear_2007</f>
        <v>0.38378962260532939</v>
      </c>
      <c r="Q81" s="169">
        <v>0</v>
      </c>
      <c r="R81" s="169">
        <v>0</v>
      </c>
      <c r="S81" s="170">
        <f>pAIDS_InCare_AIDS_LTFU_2004_2012</f>
        <v>5.8805476905872532E-2</v>
      </c>
      <c r="T81" s="170">
        <f>pAIDS_InCare_AIDS_Dead_2004_2012</f>
        <v>0.385187477652077</v>
      </c>
      <c r="U81" s="61">
        <f t="shared" si="682"/>
        <v>1</v>
      </c>
      <c r="V81" s="190"/>
      <c r="W81" s="66">
        <v>11</v>
      </c>
      <c r="X81" s="66">
        <v>2015</v>
      </c>
      <c r="Y81" s="70">
        <f t="shared" si="851"/>
        <v>2.6025499324363141E-2</v>
      </c>
      <c r="Z81" s="70">
        <f t="shared" si="799"/>
        <v>9.3348436493219875E-3</v>
      </c>
      <c r="AA81" s="70">
        <f t="shared" si="800"/>
        <v>2.5300725389099103E-2</v>
      </c>
      <c r="AB81" s="70">
        <f t="shared" si="801"/>
        <v>1.575980993267395E-3</v>
      </c>
      <c r="AC81" s="70">
        <f t="shared" si="802"/>
        <v>2.9482688499825917E-2</v>
      </c>
      <c r="AD81" s="70">
        <f t="shared" si="803"/>
        <v>1.7592969099059799E-2</v>
      </c>
      <c r="AE81" s="70">
        <f t="shared" si="804"/>
        <v>0.11956273061024301</v>
      </c>
      <c r="AF81" s="70">
        <f t="shared" si="805"/>
        <v>3.2961867907313758E-2</v>
      </c>
      <c r="AG81" s="70">
        <f t="shared" si="806"/>
        <v>2.5673737676915859E-2</v>
      </c>
      <c r="AH81" s="70">
        <f t="shared" si="807"/>
        <v>3.5051812769491216E-3</v>
      </c>
      <c r="AI81" s="70">
        <f t="shared" si="808"/>
        <v>1.4987350972137069E-2</v>
      </c>
      <c r="AJ81" s="70">
        <f t="shared" si="809"/>
        <v>2.7877042345714864E-2</v>
      </c>
      <c r="AK81" s="70">
        <f t="shared" si="810"/>
        <v>2.4941263259445189E-2</v>
      </c>
      <c r="AL81" s="70">
        <f t="shared" si="811"/>
        <v>0.15516491461918261</v>
      </c>
      <c r="AM81" s="70">
        <f t="shared" si="812"/>
        <v>2.3639616513703041E-2</v>
      </c>
      <c r="AN81" s="70">
        <f t="shared" si="813"/>
        <v>1.5538886735502747E-2</v>
      </c>
      <c r="AO81" s="70">
        <f t="shared" si="814"/>
        <v>4.2430907060308026E-2</v>
      </c>
      <c r="AP81" s="190"/>
      <c r="AQ81" s="66">
        <v>11</v>
      </c>
      <c r="AR81" s="66">
        <v>2015</v>
      </c>
      <c r="AS81" s="215">
        <f t="shared" si="659"/>
        <v>265.09573611796293</v>
      </c>
      <c r="AT81" s="215">
        <f t="shared" si="660"/>
        <v>95.084717411993765</v>
      </c>
      <c r="AU81" s="215">
        <f t="shared" si="661"/>
        <v>257.71318881336344</v>
      </c>
      <c r="AV81" s="215">
        <f t="shared" si="662"/>
        <v>16.052942397421685</v>
      </c>
      <c r="AW81" s="215">
        <f t="shared" si="663"/>
        <v>300.31066505922678</v>
      </c>
      <c r="AX81" s="215">
        <f t="shared" si="664"/>
        <v>179.20198324302311</v>
      </c>
      <c r="AY81" s="215">
        <f t="shared" si="665"/>
        <v>1217.8659739959353</v>
      </c>
      <c r="AZ81" s="215">
        <f t="shared" si="666"/>
        <v>335.74958650389794</v>
      </c>
      <c r="BA81" s="215">
        <f t="shared" si="667"/>
        <v>261.51269197706495</v>
      </c>
      <c r="BB81" s="215">
        <f t="shared" si="668"/>
        <v>35.703776487003751</v>
      </c>
      <c r="BC81" s="215">
        <f t="shared" si="669"/>
        <v>152.66115700218819</v>
      </c>
      <c r="BD81" s="215">
        <f t="shared" si="670"/>
        <v>283.95555333345163</v>
      </c>
      <c r="BE81" s="215">
        <f t="shared" si="671"/>
        <v>254.05170756070871</v>
      </c>
      <c r="BF81" s="215">
        <f t="shared" si="672"/>
        <v>1580.509820310994</v>
      </c>
      <c r="BG81" s="215">
        <f t="shared" si="673"/>
        <v>240.79313380857917</v>
      </c>
      <c r="BH81" s="215">
        <f t="shared" si="674"/>
        <v>158.27910028783097</v>
      </c>
      <c r="BI81" s="215">
        <f t="shared" si="675"/>
        <v>432.20121931629757</v>
      </c>
      <c r="BJ81" s="194"/>
      <c r="BK81" s="66">
        <v>11</v>
      </c>
      <c r="BL81" s="66">
        <v>2015</v>
      </c>
      <c r="BM81" s="215">
        <f t="shared" si="815"/>
        <v>111.64113336952872</v>
      </c>
      <c r="BN81" s="219">
        <f t="shared" si="816"/>
        <v>120.28423241215302</v>
      </c>
      <c r="BO81" s="219">
        <f t="shared" si="817"/>
        <v>24.036694063144864</v>
      </c>
      <c r="BP81" s="219">
        <f t="shared" si="818"/>
        <v>5.5506321322383867</v>
      </c>
      <c r="BQ81" s="219">
        <f t="shared" si="819"/>
        <v>30.538133734783109</v>
      </c>
      <c r="BR81" s="220">
        <f t="shared" si="820"/>
        <v>38.955503999858081</v>
      </c>
      <c r="BS81" s="219">
        <f t="shared" si="821"/>
        <v>46.59000508434665</v>
      </c>
      <c r="BT81" s="219">
        <f t="shared" si="822"/>
        <v>13.526631304390866</v>
      </c>
      <c r="BU81" s="219">
        <f t="shared" si="823"/>
        <v>16.86640067777595</v>
      </c>
      <c r="BV81" s="219">
        <f t="shared" si="824"/>
        <v>5.4237561437447077</v>
      </c>
      <c r="BW81" s="219">
        <f t="shared" si="825"/>
        <v>5.3441513081119627</v>
      </c>
      <c r="BX81" s="220">
        <f t="shared" si="826"/>
        <v>1.0345180348196579</v>
      </c>
      <c r="BY81" s="195"/>
      <c r="BZ81" s="192">
        <v>11</v>
      </c>
      <c r="CA81" s="66">
        <v>2015</v>
      </c>
      <c r="CB81" s="218">
        <f t="shared" si="827"/>
        <v>7.6066288227125343</v>
      </c>
      <c r="CC81" s="218">
        <f t="shared" si="828"/>
        <v>2.4970953909916318</v>
      </c>
      <c r="CD81" s="73">
        <f t="shared" si="829"/>
        <v>5.9492181837175204</v>
      </c>
      <c r="CE81" s="73">
        <f t="shared" si="830"/>
        <v>12.728166564175297</v>
      </c>
      <c r="CF81" s="73">
        <f t="shared" si="831"/>
        <v>7.0627270908020741</v>
      </c>
      <c r="CG81" s="73">
        <f t="shared" si="832"/>
        <v>5.6365734443983442</v>
      </c>
      <c r="CH81" s="73">
        <f t="shared" si="833"/>
        <v>1.3999692981845542</v>
      </c>
      <c r="CI81" s="73">
        <f t="shared" si="834"/>
        <v>4.3667715556900237</v>
      </c>
      <c r="CJ81" s="73">
        <f t="shared" si="835"/>
        <v>3.8396113971896018</v>
      </c>
      <c r="CK81" s="73">
        <f t="shared" si="836"/>
        <v>0.56018137186022676</v>
      </c>
      <c r="CL81" s="73">
        <f t="shared" si="837"/>
        <v>0.10977576470363672</v>
      </c>
      <c r="CM81" s="73">
        <f t="shared" si="838"/>
        <v>93.584235445683902</v>
      </c>
      <c r="CN81" s="73">
        <f t="shared" si="839"/>
        <v>159.76129721510353</v>
      </c>
      <c r="CO81" s="73">
        <f t="shared" si="840"/>
        <v>51.444142617294936</v>
      </c>
      <c r="CP81" s="73">
        <f t="shared" si="841"/>
        <v>35.751926245256435</v>
      </c>
      <c r="CQ81" s="73">
        <f t="shared" si="842"/>
        <v>16.724237402997893</v>
      </c>
      <c r="CR81" s="73">
        <f t="shared" si="843"/>
        <v>17.395117290204304</v>
      </c>
      <c r="CS81" s="73">
        <f t="shared" si="844"/>
        <v>16.581478546693088</v>
      </c>
      <c r="CT81" s="73">
        <f t="shared" si="845"/>
        <v>25.326486663912618</v>
      </c>
      <c r="CU81" s="73">
        <f t="shared" si="846"/>
        <v>7.0495272248610528</v>
      </c>
      <c r="CV81" s="73">
        <f t="shared" si="847"/>
        <v>5.3128994583883422</v>
      </c>
      <c r="CW81" s="73">
        <f t="shared" si="848"/>
        <v>1.6844312875616492</v>
      </c>
      <c r="CX81" s="73">
        <f t="shared" si="849"/>
        <v>1.3355568426134916</v>
      </c>
      <c r="CY81" s="73">
        <f t="shared" si="850"/>
        <v>0.2498830757263272</v>
      </c>
      <c r="CZ81" s="190"/>
      <c r="DA81" s="66">
        <v>2015</v>
      </c>
      <c r="DB81" s="218">
        <f t="shared" si="676"/>
        <v>558.24225398846852</v>
      </c>
      <c r="DC81" s="218">
        <f t="shared" si="677"/>
        <v>5582.7850154262205</v>
      </c>
      <c r="DD81" s="73">
        <f t="shared" si="678"/>
        <v>3628.9702221801153</v>
      </c>
      <c r="DE81" s="73">
        <f t="shared" si="679"/>
        <v>2075.3546616802819</v>
      </c>
      <c r="DF81" s="73">
        <f t="shared" si="680"/>
        <v>594.89581062347077</v>
      </c>
      <c r="DG81" s="73">
        <f t="shared" si="681"/>
        <v>1335.9211509027855</v>
      </c>
      <c r="DH81" s="72">
        <f t="shared" si="709"/>
        <v>0.73092640895519567</v>
      </c>
      <c r="DI81" s="72">
        <f t="shared" si="710"/>
        <v>0.77721347986122602</v>
      </c>
      <c r="DJ81" s="73">
        <f>SUM(AV70:AV81,BB70:BB81,BI70:BI81)</f>
        <v>4603.2149845737795</v>
      </c>
      <c r="DK81" s="73">
        <f>SUM(AV76:AV81,BB76:BB81,BI76:BI81)</f>
        <v>4211.1763391121667</v>
      </c>
      <c r="DL81" s="190"/>
    </row>
    <row r="82" spans="1:120" x14ac:dyDescent="0.25">
      <c r="A82" s="190"/>
      <c r="B82" s="188">
        <v>2007</v>
      </c>
      <c r="C82" s="61" t="s">
        <v>329</v>
      </c>
      <c r="D82" s="169">
        <v>0</v>
      </c>
      <c r="E82" s="169">
        <v>0</v>
      </c>
      <c r="F82" s="169">
        <v>0</v>
      </c>
      <c r="G82" s="169">
        <v>0</v>
      </c>
      <c r="H82" s="169">
        <v>0</v>
      </c>
      <c r="I82" s="169">
        <v>0</v>
      </c>
      <c r="J82" s="169">
        <v>0</v>
      </c>
      <c r="K82" s="169">
        <v>0</v>
      </c>
      <c r="L82" s="169">
        <v>0</v>
      </c>
      <c r="M82" s="169">
        <v>0</v>
      </c>
      <c r="N82" s="169">
        <v>0</v>
      </c>
      <c r="O82" s="169">
        <v>0</v>
      </c>
      <c r="P82" s="169">
        <v>0</v>
      </c>
      <c r="Q82" s="172">
        <f>pAIDS_ART1ear_AIDS_ART1late_2004_2012</f>
        <v>0.82048978572958342</v>
      </c>
      <c r="R82" s="169">
        <v>0</v>
      </c>
      <c r="S82" s="170">
        <f>pAIDS_ART1ear_AIDS_LTFU_2004_2012</f>
        <v>3.1705300812410298E-2</v>
      </c>
      <c r="T82" s="170">
        <f>pAIDS_ART1ear_AIDS_Dead_2004_2012</f>
        <v>0.14780491345800628</v>
      </c>
      <c r="U82" s="61">
        <f t="shared" si="682"/>
        <v>1</v>
      </c>
      <c r="V82" s="190"/>
      <c r="W82" s="66">
        <v>12</v>
      </c>
      <c r="X82" s="66">
        <v>2016</v>
      </c>
      <c r="Y82" s="70">
        <f t="shared" si="851"/>
        <v>1.6493922683720252E-2</v>
      </c>
      <c r="Z82" s="70">
        <f t="shared" si="799"/>
        <v>6.0165843106862234E-3</v>
      </c>
      <c r="AA82" s="70">
        <f t="shared" si="800"/>
        <v>1.9322386449666943E-2</v>
      </c>
      <c r="AB82" s="70">
        <f t="shared" si="801"/>
        <v>1.0926509865486222E-3</v>
      </c>
      <c r="AC82" s="70">
        <f t="shared" si="802"/>
        <v>1.9200678610970398E-2</v>
      </c>
      <c r="AD82" s="70">
        <f t="shared" si="803"/>
        <v>1.1521981388494302E-2</v>
      </c>
      <c r="AE82" s="70">
        <f t="shared" si="804"/>
        <v>0.12628793988801257</v>
      </c>
      <c r="AF82" s="70">
        <f t="shared" si="805"/>
        <v>3.7764865139708968E-2</v>
      </c>
      <c r="AG82" s="70">
        <f t="shared" si="806"/>
        <v>2.0694065908401615E-2</v>
      </c>
      <c r="AH82" s="70">
        <f t="shared" si="807"/>
        <v>2.7699461055811373E-3</v>
      </c>
      <c r="AI82" s="70">
        <f t="shared" si="808"/>
        <v>9.8797952987752635E-3</v>
      </c>
      <c r="AJ82" s="70">
        <f t="shared" si="809"/>
        <v>1.8646268206401223E-2</v>
      </c>
      <c r="AK82" s="70">
        <f t="shared" si="810"/>
        <v>1.7702897433186572E-2</v>
      </c>
      <c r="AL82" s="70">
        <f t="shared" si="811"/>
        <v>0.16521014317267355</v>
      </c>
      <c r="AM82" s="70">
        <f t="shared" si="812"/>
        <v>2.9120448220848992E-2</v>
      </c>
      <c r="AN82" s="70">
        <f t="shared" si="813"/>
        <v>1.3180320211736176E-2</v>
      </c>
      <c r="AO82" s="70">
        <f t="shared" si="814"/>
        <v>3.3179242586415289E-2</v>
      </c>
      <c r="AP82" s="190"/>
      <c r="AQ82" s="66">
        <v>12</v>
      </c>
      <c r="AR82" s="66">
        <v>2016</v>
      </c>
      <c r="AS82" s="215">
        <f t="shared" si="659"/>
        <v>168.00709645637448</v>
      </c>
      <c r="AT82" s="215">
        <f t="shared" si="660"/>
        <v>61.284927788649874</v>
      </c>
      <c r="AU82" s="215">
        <f t="shared" si="661"/>
        <v>196.81782837630749</v>
      </c>
      <c r="AV82" s="215">
        <f t="shared" si="662"/>
        <v>11.129742948984266</v>
      </c>
      <c r="AW82" s="215">
        <f t="shared" si="663"/>
        <v>195.57811233134447</v>
      </c>
      <c r="AX82" s="215">
        <f t="shared" si="664"/>
        <v>117.36290242320295</v>
      </c>
      <c r="AY82" s="215">
        <f t="shared" si="665"/>
        <v>1286.3689556992961</v>
      </c>
      <c r="AZ82" s="215">
        <f t="shared" si="666"/>
        <v>384.67291631307558</v>
      </c>
      <c r="BA82" s="215">
        <f t="shared" si="667"/>
        <v>210.78975534297885</v>
      </c>
      <c r="BB82" s="215">
        <f t="shared" si="668"/>
        <v>28.214671031449463</v>
      </c>
      <c r="BC82" s="215">
        <f t="shared" si="669"/>
        <v>100.63559491332484</v>
      </c>
      <c r="BD82" s="215">
        <f t="shared" si="670"/>
        <v>189.93088795040285</v>
      </c>
      <c r="BE82" s="215">
        <f t="shared" si="671"/>
        <v>180.32171325443844</v>
      </c>
      <c r="BF82" s="215">
        <f t="shared" si="672"/>
        <v>1682.8305183568527</v>
      </c>
      <c r="BG82" s="215">
        <f t="shared" si="673"/>
        <v>296.62088557756783</v>
      </c>
      <c r="BH82" s="215">
        <f t="shared" si="674"/>
        <v>134.25474167674469</v>
      </c>
      <c r="BI82" s="215">
        <f t="shared" si="675"/>
        <v>337.96376498522613</v>
      </c>
      <c r="BJ82" s="194"/>
      <c r="BK82" s="66">
        <v>12</v>
      </c>
      <c r="BL82" s="66">
        <v>2016</v>
      </c>
      <c r="BM82" s="215">
        <f t="shared" si="815"/>
        <v>77.184458806064697</v>
      </c>
      <c r="BN82" s="219">
        <f t="shared" si="816"/>
        <v>99.467290197442381</v>
      </c>
      <c r="BO82" s="219">
        <f t="shared" si="817"/>
        <v>27.096542816311796</v>
      </c>
      <c r="BP82" s="219">
        <f t="shared" si="818"/>
        <v>7.0414635231599796</v>
      </c>
      <c r="BQ82" s="219">
        <f t="shared" si="819"/>
        <v>21.12877485849809</v>
      </c>
      <c r="BR82" s="220">
        <f t="shared" si="820"/>
        <v>34.566163497167487</v>
      </c>
      <c r="BS82" s="219">
        <f t="shared" si="821"/>
        <v>33.596162334855677</v>
      </c>
      <c r="BT82" s="219">
        <f t="shared" si="822"/>
        <v>10.017300652797157</v>
      </c>
      <c r="BU82" s="219">
        <f t="shared" si="823"/>
        <v>19.512864731130655</v>
      </c>
      <c r="BV82" s="219">
        <f t="shared" si="824"/>
        <v>6.5649215798833147</v>
      </c>
      <c r="BW82" s="219">
        <f t="shared" si="825"/>
        <v>7.3841826666051045</v>
      </c>
      <c r="BX82" s="220">
        <f t="shared" si="826"/>
        <v>1.4843713558072116</v>
      </c>
      <c r="BY82" s="195"/>
      <c r="BZ82" s="192">
        <v>12</v>
      </c>
      <c r="CA82" s="66">
        <v>2016</v>
      </c>
      <c r="CB82" s="218">
        <f t="shared" si="827"/>
        <v>4.8207777350165664</v>
      </c>
      <c r="CC82" s="218">
        <f t="shared" si="828"/>
        <v>1.6224394295667512</v>
      </c>
      <c r="CD82" s="73">
        <f t="shared" si="829"/>
        <v>4.6865257844009474</v>
      </c>
      <c r="CE82" s="73">
        <f t="shared" si="830"/>
        <v>8.3752252025194647</v>
      </c>
      <c r="CF82" s="73">
        <f t="shared" si="831"/>
        <v>4.6893425200379362</v>
      </c>
      <c r="CG82" s="73">
        <f t="shared" si="832"/>
        <v>6.1589543459559168</v>
      </c>
      <c r="CH82" s="73">
        <f t="shared" si="833"/>
        <v>1.6979424822636404</v>
      </c>
      <c r="CI82" s="73">
        <f t="shared" si="834"/>
        <v>3.1135079190408059</v>
      </c>
      <c r="CJ82" s="73">
        <f t="shared" si="835"/>
        <v>3.3545513096089787</v>
      </c>
      <c r="CK82" s="73">
        <f t="shared" si="836"/>
        <v>0.67034824042362351</v>
      </c>
      <c r="CL82" s="73">
        <f t="shared" si="837"/>
        <v>0.154799011599102</v>
      </c>
      <c r="CM82" s="73">
        <f t="shared" si="838"/>
        <v>62.669654915763736</v>
      </c>
      <c r="CN82" s="73">
        <f t="shared" si="839"/>
        <v>109.37612335381206</v>
      </c>
      <c r="CO82" s="73">
        <f t="shared" si="840"/>
        <v>37.550090649869269</v>
      </c>
      <c r="CP82" s="73">
        <f t="shared" si="841"/>
        <v>40.706340969665263</v>
      </c>
      <c r="CQ82" s="73">
        <f t="shared" si="842"/>
        <v>22.685651662646169</v>
      </c>
      <c r="CR82" s="73">
        <f t="shared" si="843"/>
        <v>12.536353978391954</v>
      </c>
      <c r="CS82" s="73">
        <f t="shared" si="844"/>
        <v>15.991808529957407</v>
      </c>
      <c r="CT82" s="73">
        <f t="shared" si="845"/>
        <v>19.125883744729062</v>
      </c>
      <c r="CU82" s="73">
        <f t="shared" si="846"/>
        <v>5.5528815100411686</v>
      </c>
      <c r="CV82" s="73">
        <f t="shared" si="847"/>
        <v>6.923906060348223</v>
      </c>
      <c r="CW82" s="73">
        <f t="shared" si="848"/>
        <v>2.2265318339678393</v>
      </c>
      <c r="CX82" s="73">
        <f t="shared" si="849"/>
        <v>2.1938528757004212</v>
      </c>
      <c r="CY82" s="73">
        <f t="shared" si="850"/>
        <v>0.42468490033357154</v>
      </c>
      <c r="CZ82" s="190"/>
      <c r="DA82" s="66">
        <v>2016</v>
      </c>
      <c r="DB82" s="218">
        <f t="shared" si="676"/>
        <v>368.57871816225565</v>
      </c>
      <c r="DC82" s="218">
        <f t="shared" si="677"/>
        <v>5205.4768364605607</v>
      </c>
      <c r="DD82" s="73">
        <f t="shared" si="678"/>
        <v>3830.8149892012307</v>
      </c>
      <c r="DE82" s="73">
        <f t="shared" si="679"/>
        <v>2159.773117188859</v>
      </c>
      <c r="DF82" s="73">
        <f t="shared" si="680"/>
        <v>424.82122454047237</v>
      </c>
      <c r="DG82" s="73">
        <f t="shared" si="681"/>
        <v>948.55199463799863</v>
      </c>
      <c r="DH82" s="72">
        <f t="shared" si="709"/>
        <v>0.80153187695245076</v>
      </c>
      <c r="DI82" s="72">
        <f t="shared" si="710"/>
        <v>0.83563330706039229</v>
      </c>
      <c r="DJ82" s="73">
        <f>SUM(AV70:AV82,BB70:BB82,BI70:BI82)</f>
        <v>4980.5231635394393</v>
      </c>
      <c r="DK82" s="73">
        <f>SUM(AV76:AV82,BB76:BB82,BI76:BI82)</f>
        <v>4588.4845180778266</v>
      </c>
      <c r="DL82" s="190"/>
    </row>
    <row r="83" spans="1:120" x14ac:dyDescent="0.25">
      <c r="A83" s="190"/>
      <c r="B83" s="188">
        <v>2007</v>
      </c>
      <c r="C83" s="61" t="s">
        <v>330</v>
      </c>
      <c r="D83" s="169">
        <v>0</v>
      </c>
      <c r="E83" s="169">
        <v>0</v>
      </c>
      <c r="F83" s="169">
        <v>0</v>
      </c>
      <c r="G83" s="169">
        <v>0</v>
      </c>
      <c r="H83" s="169">
        <v>0</v>
      </c>
      <c r="I83" s="169">
        <v>0</v>
      </c>
      <c r="J83" s="169">
        <v>0</v>
      </c>
      <c r="K83" s="169">
        <v>0</v>
      </c>
      <c r="L83" s="169">
        <v>0</v>
      </c>
      <c r="M83" s="169">
        <v>0</v>
      </c>
      <c r="N83" s="169">
        <v>0</v>
      </c>
      <c r="O83" s="169">
        <v>0</v>
      </c>
      <c r="P83" s="169">
        <v>0</v>
      </c>
      <c r="Q83" s="172">
        <f>pAIDS_ART1late_2004_2012</f>
        <v>0.93285322767942069</v>
      </c>
      <c r="R83" s="170">
        <f>pAIDS_ART1late_AIDS_ART2_2004_2012</f>
        <v>3.0593921587134254E-2</v>
      </c>
      <c r="S83" s="170">
        <f>pAIDS_ART1late_AIDS_LTFU_2004_2012</f>
        <v>1.0797654247759469E-2</v>
      </c>
      <c r="T83" s="170">
        <f>pAIDS_ART1late_AIDS_Dead_2004_2012</f>
        <v>2.5755196485685583E-2</v>
      </c>
      <c r="U83" s="61">
        <f t="shared" si="682"/>
        <v>1</v>
      </c>
      <c r="V83" s="190"/>
      <c r="W83" s="66">
        <v>13</v>
      </c>
      <c r="X83" s="66">
        <v>2017</v>
      </c>
      <c r="Y83" s="70">
        <f t="shared" si="851"/>
        <v>1.0453189854531204E-2</v>
      </c>
      <c r="Z83" s="70">
        <f t="shared" si="799"/>
        <v>3.8571186779537076E-3</v>
      </c>
      <c r="AA83" s="70">
        <f t="shared" si="800"/>
        <v>1.4415361176856073E-2</v>
      </c>
      <c r="AB83" s="70">
        <f t="shared" si="801"/>
        <v>7.5398271332237723E-4</v>
      </c>
      <c r="AC83" s="70">
        <f t="shared" si="802"/>
        <v>1.2413442091801759E-2</v>
      </c>
      <c r="AD83" s="70">
        <f t="shared" si="803"/>
        <v>7.4751372520230532E-3</v>
      </c>
      <c r="AE83" s="70">
        <f t="shared" si="804"/>
        <v>0.13032851545124147</v>
      </c>
      <c r="AF83" s="70">
        <f t="shared" si="805"/>
        <v>4.1677725063647343E-2</v>
      </c>
      <c r="AG83" s="70">
        <f t="shared" si="806"/>
        <v>1.657227006467106E-2</v>
      </c>
      <c r="AH83" s="70">
        <f t="shared" si="807"/>
        <v>2.2437551188691941E-3</v>
      </c>
      <c r="AI83" s="70">
        <f t="shared" si="808"/>
        <v>6.4424773883125178E-3</v>
      </c>
      <c r="AJ83" s="70">
        <f t="shared" si="809"/>
        <v>1.2279167104441326E-2</v>
      </c>
      <c r="AK83" s="70">
        <f t="shared" si="810"/>
        <v>1.2402775293652803E-2</v>
      </c>
      <c r="AL83" s="70">
        <f t="shared" si="811"/>
        <v>0.16864186182575577</v>
      </c>
      <c r="AM83" s="70">
        <f t="shared" si="812"/>
        <v>3.3693919340740945E-2</v>
      </c>
      <c r="AN83" s="70">
        <f t="shared" si="813"/>
        <v>1.1127675695073981E-2</v>
      </c>
      <c r="AO83" s="70">
        <f t="shared" si="814"/>
        <v>2.6263922810388481E-2</v>
      </c>
      <c r="AP83" s="190"/>
      <c r="AQ83" s="66">
        <v>13</v>
      </c>
      <c r="AR83" s="66">
        <v>2017</v>
      </c>
      <c r="AS83" s="215">
        <f t="shared" si="659"/>
        <v>106.47619185825485</v>
      </c>
      <c r="AT83" s="215">
        <f t="shared" si="660"/>
        <v>39.288610853636463</v>
      </c>
      <c r="AU83" s="215">
        <f t="shared" si="661"/>
        <v>146.83486894745596</v>
      </c>
      <c r="AV83" s="215">
        <f t="shared" si="662"/>
        <v>7.6800679179017344</v>
      </c>
      <c r="AW83" s="215">
        <f t="shared" si="663"/>
        <v>126.44332114709272</v>
      </c>
      <c r="AX83" s="215">
        <f t="shared" si="664"/>
        <v>76.141748049106823</v>
      </c>
      <c r="AY83" s="215">
        <f t="shared" si="665"/>
        <v>1327.5262583863455</v>
      </c>
      <c r="AZ83" s="215">
        <f t="shared" si="666"/>
        <v>424.52930749831182</v>
      </c>
      <c r="BA83" s="215">
        <f t="shared" si="667"/>
        <v>168.80514287873942</v>
      </c>
      <c r="BB83" s="215">
        <f t="shared" si="668"/>
        <v>22.854889640801609</v>
      </c>
      <c r="BC83" s="215">
        <f t="shared" si="669"/>
        <v>65.623074677351312</v>
      </c>
      <c r="BD83" s="215">
        <f t="shared" si="670"/>
        <v>125.07559612583934</v>
      </c>
      <c r="BE83" s="215">
        <f t="shared" si="671"/>
        <v>126.33466914114746</v>
      </c>
      <c r="BF83" s="215">
        <f t="shared" si="672"/>
        <v>1717.7860045571483</v>
      </c>
      <c r="BG83" s="215">
        <f t="shared" si="673"/>
        <v>343.20626240478725</v>
      </c>
      <c r="BH83" s="215">
        <f t="shared" si="674"/>
        <v>113.34650463002357</v>
      </c>
      <c r="BI83" s="215">
        <f t="shared" si="675"/>
        <v>267.52431774661704</v>
      </c>
      <c r="BJ83" s="194"/>
      <c r="BK83" s="66">
        <v>13</v>
      </c>
      <c r="BL83" s="66">
        <v>2017</v>
      </c>
      <c r="BM83" s="215">
        <f t="shared" si="815"/>
        <v>52.170619792345946</v>
      </c>
      <c r="BN83" s="219">
        <f t="shared" si="816"/>
        <v>78.994157447314649</v>
      </c>
      <c r="BO83" s="219">
        <f t="shared" si="817"/>
        <v>29.301124780375673</v>
      </c>
      <c r="BP83" s="219">
        <f t="shared" si="818"/>
        <v>8.3392408587031426</v>
      </c>
      <c r="BQ83" s="219">
        <f t="shared" si="819"/>
        <v>14.234450274764615</v>
      </c>
      <c r="BR83" s="220">
        <f t="shared" si="820"/>
        <v>28.92529424052994</v>
      </c>
      <c r="BS83" s="219">
        <f t="shared" si="821"/>
        <v>23.428145774839287</v>
      </c>
      <c r="BT83" s="219">
        <f t="shared" si="822"/>
        <v>7.1705168484512605</v>
      </c>
      <c r="BU83" s="219">
        <f t="shared" si="823"/>
        <v>21.001651180772303</v>
      </c>
      <c r="BV83" s="219">
        <f t="shared" si="824"/>
        <v>7.4660237268859468</v>
      </c>
      <c r="BW83" s="219">
        <f t="shared" si="825"/>
        <v>9.2124135028578316</v>
      </c>
      <c r="BX83" s="220">
        <f t="shared" si="826"/>
        <v>1.9080090809223935</v>
      </c>
      <c r="BY83" s="195"/>
      <c r="BZ83" s="192">
        <v>13</v>
      </c>
      <c r="CA83" s="66">
        <v>2017</v>
      </c>
      <c r="CB83" s="218">
        <f t="shared" si="827"/>
        <v>3.0552165107675231</v>
      </c>
      <c r="CC83" s="218">
        <f t="shared" si="828"/>
        <v>1.0457104568300966</v>
      </c>
      <c r="CD83" s="73">
        <f t="shared" si="829"/>
        <v>3.5791409503041156</v>
      </c>
      <c r="CE83" s="73">
        <f t="shared" si="830"/>
        <v>5.4543874928171903</v>
      </c>
      <c r="CF83" s="73">
        <f t="shared" si="831"/>
        <v>3.0711426215737259</v>
      </c>
      <c r="CG83" s="73">
        <f t="shared" si="832"/>
        <v>6.5053855180893629</v>
      </c>
      <c r="CH83" s="73">
        <f t="shared" si="833"/>
        <v>1.9453560410464845</v>
      </c>
      <c r="CI83" s="73">
        <f t="shared" si="834"/>
        <v>2.1525616631293767</v>
      </c>
      <c r="CJ83" s="73">
        <f t="shared" si="835"/>
        <v>2.7739972389047245</v>
      </c>
      <c r="CK83" s="73">
        <f t="shared" si="836"/>
        <v>0.75568294669643388</v>
      </c>
      <c r="CL83" s="73">
        <f t="shared" si="837"/>
        <v>0.19637611854430889</v>
      </c>
      <c r="CM83" s="73">
        <f t="shared" si="838"/>
        <v>41.312394909795273</v>
      </c>
      <c r="CN83" s="73">
        <f t="shared" si="839"/>
        <v>73.15899965783494</v>
      </c>
      <c r="CO83" s="73">
        <f t="shared" si="840"/>
        <v>26.652435222171697</v>
      </c>
      <c r="CP83" s="73">
        <f t="shared" si="841"/>
        <v>43.341630652388865</v>
      </c>
      <c r="CQ83" s="73">
        <f t="shared" si="842"/>
        <v>27.945307159080564</v>
      </c>
      <c r="CR83" s="73">
        <f t="shared" si="843"/>
        <v>8.673673481696202</v>
      </c>
      <c r="CS83" s="73">
        <f t="shared" si="844"/>
        <v>14.189919562173273</v>
      </c>
      <c r="CT83" s="73">
        <f t="shared" si="845"/>
        <v>13.791719788873378</v>
      </c>
      <c r="CU83" s="73">
        <f t="shared" si="846"/>
        <v>4.112249555984004</v>
      </c>
      <c r="CV83" s="73">
        <f t="shared" si="847"/>
        <v>8.0103185586390317</v>
      </c>
      <c r="CW83" s="73">
        <f t="shared" si="848"/>
        <v>2.694997064344538</v>
      </c>
      <c r="CX83" s="73">
        <f t="shared" si="849"/>
        <v>3.0313158149618431</v>
      </c>
      <c r="CY83" s="73">
        <f t="shared" si="850"/>
        <v>0.60935631867344564</v>
      </c>
      <c r="CZ83" s="190"/>
      <c r="DA83" s="66">
        <v>2017</v>
      </c>
      <c r="DB83" s="218">
        <f t="shared" si="676"/>
        <v>240.5059550285826</v>
      </c>
      <c r="DC83" s="218">
        <f t="shared" si="677"/>
        <v>4907.4175611552409</v>
      </c>
      <c r="DD83" s="73">
        <f t="shared" si="678"/>
        <v>3939.3825019877404</v>
      </c>
      <c r="DE83" s="73">
        <f t="shared" si="679"/>
        <v>2187.326936103083</v>
      </c>
      <c r="DF83" s="73">
        <f t="shared" si="680"/>
        <v>304.04517543321424</v>
      </c>
      <c r="DG83" s="73">
        <f t="shared" si="681"/>
        <v>675.43538750815321</v>
      </c>
      <c r="DH83" s="72">
        <f t="shared" si="709"/>
        <v>0.85363769412319424</v>
      </c>
      <c r="DI83" s="72">
        <f t="shared" si="710"/>
        <v>0.87796075342365221</v>
      </c>
      <c r="DJ83" s="73">
        <f>SUM(AV70:AV83,BB70:BB83,BI70:BI83)</f>
        <v>5278.5824388447591</v>
      </c>
      <c r="DK83" s="73">
        <f>SUM(AV76:AV83,BB76:BB83,BI76:BI83)</f>
        <v>4886.5437933831463</v>
      </c>
      <c r="DL83" s="190"/>
    </row>
    <row r="84" spans="1:120" x14ac:dyDescent="0.25">
      <c r="A84" s="190"/>
      <c r="B84" s="188">
        <v>2007</v>
      </c>
      <c r="C84" s="61" t="s">
        <v>331</v>
      </c>
      <c r="D84" s="169">
        <v>0</v>
      </c>
      <c r="E84" s="169">
        <v>0</v>
      </c>
      <c r="F84" s="169">
        <v>0</v>
      </c>
      <c r="G84" s="169">
        <v>0</v>
      </c>
      <c r="H84" s="169">
        <v>0</v>
      </c>
      <c r="I84" s="169">
        <v>0</v>
      </c>
      <c r="J84" s="169">
        <v>0</v>
      </c>
      <c r="K84" s="169">
        <v>0</v>
      </c>
      <c r="L84" s="169">
        <v>0</v>
      </c>
      <c r="M84" s="169">
        <v>0</v>
      </c>
      <c r="N84" s="169">
        <v>0</v>
      </c>
      <c r="O84" s="169">
        <v>0</v>
      </c>
      <c r="P84" s="169">
        <v>0</v>
      </c>
      <c r="Q84" s="169">
        <v>0</v>
      </c>
      <c r="R84" s="172">
        <f>pAIDS_ART2_2004_2012</f>
        <v>0.87834172729587623</v>
      </c>
      <c r="S84" s="170">
        <f>pAIDS_ART2_AIDS_LTFU_2004_2012</f>
        <v>2.7446069457994882E-2</v>
      </c>
      <c r="T84" s="171">
        <f>pAIDS_ART2_AIDS_Dead_2004_2012</f>
        <v>9.4212203246128889E-2</v>
      </c>
      <c r="U84" s="61">
        <f t="shared" si="682"/>
        <v>1</v>
      </c>
      <c r="V84" s="190"/>
      <c r="W84" s="66">
        <v>14</v>
      </c>
      <c r="X84" s="66">
        <v>2018</v>
      </c>
      <c r="Y84" s="70">
        <f t="shared" si="851"/>
        <v>6.6248144986592187E-3</v>
      </c>
      <c r="Z84" s="70">
        <f t="shared" si="799"/>
        <v>2.4637869892602136E-3</v>
      </c>
      <c r="AA84" s="70">
        <f t="shared" si="800"/>
        <v>1.0560753933790645E-2</v>
      </c>
      <c r="AB84" s="70">
        <f t="shared" si="801"/>
        <v>5.1805008187776589E-4</v>
      </c>
      <c r="AC84" s="70">
        <f t="shared" si="802"/>
        <v>7.9833606209102244E-3</v>
      </c>
      <c r="AD84" s="70">
        <f t="shared" si="803"/>
        <v>4.8177893990965477E-3</v>
      </c>
      <c r="AE84" s="70">
        <f t="shared" si="804"/>
        <v>0.13234325342580999</v>
      </c>
      <c r="AF84" s="70">
        <f t="shared" si="805"/>
        <v>4.4841796635736467E-2</v>
      </c>
      <c r="AG84" s="70">
        <f t="shared" si="806"/>
        <v>1.3324510156018932E-2</v>
      </c>
      <c r="AH84" s="70">
        <f t="shared" si="807"/>
        <v>1.8738425524298797E-3</v>
      </c>
      <c r="AI84" s="70">
        <f t="shared" si="808"/>
        <v>4.1689339062171401E-3</v>
      </c>
      <c r="AJ84" s="70">
        <f t="shared" si="809"/>
        <v>7.9998477358549022E-3</v>
      </c>
      <c r="AK84" s="70">
        <f t="shared" si="810"/>
        <v>8.6735553182361244E-3</v>
      </c>
      <c r="AL84" s="70">
        <f t="shared" si="811"/>
        <v>0.16749445556916451</v>
      </c>
      <c r="AM84" s="70">
        <f t="shared" si="812"/>
        <v>3.733915027408552E-2</v>
      </c>
      <c r="AN84" s="70">
        <f t="shared" si="813"/>
        <v>9.4591731909191533E-3</v>
      </c>
      <c r="AO84" s="70">
        <f t="shared" si="814"/>
        <v>2.1293561992635743E-2</v>
      </c>
      <c r="AP84" s="190"/>
      <c r="AQ84" s="66">
        <v>14</v>
      </c>
      <c r="AR84" s="66">
        <v>2018</v>
      </c>
      <c r="AS84" s="215">
        <f t="shared" si="659"/>
        <v>67.480360483342807</v>
      </c>
      <c r="AT84" s="215">
        <f t="shared" si="660"/>
        <v>25.096134272604537</v>
      </c>
      <c r="AU84" s="215">
        <f t="shared" si="661"/>
        <v>107.5718395695915</v>
      </c>
      <c r="AV84" s="215">
        <f t="shared" si="662"/>
        <v>5.2768581340069236</v>
      </c>
      <c r="AW84" s="215">
        <f t="shared" si="663"/>
        <v>81.318511284591551</v>
      </c>
      <c r="AX84" s="215">
        <f t="shared" si="664"/>
        <v>49.074002819197439</v>
      </c>
      <c r="AY84" s="215">
        <f t="shared" si="665"/>
        <v>1348.0483793953006</v>
      </c>
      <c r="AZ84" s="215">
        <f t="shared" si="666"/>
        <v>456.75854053161163</v>
      </c>
      <c r="BA84" s="215">
        <f t="shared" si="667"/>
        <v>135.72346044920883</v>
      </c>
      <c r="BB84" s="215">
        <f t="shared" si="668"/>
        <v>19.086960239050754</v>
      </c>
      <c r="BC84" s="215">
        <f t="shared" si="669"/>
        <v>42.464760768727785</v>
      </c>
      <c r="BD84" s="215">
        <f t="shared" si="670"/>
        <v>81.486449037418041</v>
      </c>
      <c r="BE84" s="215">
        <f t="shared" si="671"/>
        <v>88.348834471553161</v>
      </c>
      <c r="BF84" s="215">
        <f t="shared" si="672"/>
        <v>1706.0985244275096</v>
      </c>
      <c r="BG84" s="215">
        <f t="shared" si="673"/>
        <v>380.33658469183513</v>
      </c>
      <c r="BH84" s="215">
        <f t="shared" si="674"/>
        <v>96.351138122702494</v>
      </c>
      <c r="BI84" s="215">
        <f t="shared" si="675"/>
        <v>216.89622245698769</v>
      </c>
      <c r="BJ84" s="194"/>
      <c r="BK84" s="66">
        <v>14</v>
      </c>
      <c r="BL84" s="66">
        <v>2018</v>
      </c>
      <c r="BM84" s="215">
        <f t="shared" si="815"/>
        <v>34.681742570496731</v>
      </c>
      <c r="BN84" s="219">
        <f t="shared" si="816"/>
        <v>60.840488348474494</v>
      </c>
      <c r="BO84" s="219">
        <f t="shared" si="817"/>
        <v>30.771562225260485</v>
      </c>
      <c r="BP84" s="219">
        <f t="shared" si="818"/>
        <v>9.42966730497713</v>
      </c>
      <c r="BQ84" s="219">
        <f t="shared" si="819"/>
        <v>9.420339022695563</v>
      </c>
      <c r="BR84" s="220">
        <f t="shared" si="820"/>
        <v>23.185492584397021</v>
      </c>
      <c r="BS84" s="219">
        <f t="shared" si="821"/>
        <v>15.940012820171177</v>
      </c>
      <c r="BT84" s="219">
        <f t="shared" si="822"/>
        <v>5.0458150016177754</v>
      </c>
      <c r="BU84" s="219">
        <f t="shared" si="823"/>
        <v>21.595089406482845</v>
      </c>
      <c r="BV84" s="219">
        <f t="shared" si="824"/>
        <v>8.1267045656076249</v>
      </c>
      <c r="BW84" s="219">
        <f t="shared" si="825"/>
        <v>10.756248340305085</v>
      </c>
      <c r="BX84" s="220">
        <f t="shared" si="826"/>
        <v>2.2814363814253977</v>
      </c>
      <c r="BY84" s="195"/>
      <c r="BZ84" s="192">
        <v>14</v>
      </c>
      <c r="CA84" s="66">
        <v>2018</v>
      </c>
      <c r="CB84" s="218">
        <f t="shared" si="827"/>
        <v>1.9362742778752902</v>
      </c>
      <c r="CC84" s="218">
        <f t="shared" si="828"/>
        <v>0.67038524293709023</v>
      </c>
      <c r="CD84" s="73">
        <f t="shared" si="829"/>
        <v>2.6701986131945428</v>
      </c>
      <c r="CE84" s="73">
        <f t="shared" si="830"/>
        <v>3.526319285905283</v>
      </c>
      <c r="CF84" s="73">
        <f t="shared" si="831"/>
        <v>1.9924708991221136</v>
      </c>
      <c r="CG84" s="73">
        <f t="shared" si="832"/>
        <v>6.7135249633688092</v>
      </c>
      <c r="CH84" s="73">
        <f t="shared" si="833"/>
        <v>2.1469165566909174</v>
      </c>
      <c r="CI84" s="73">
        <f t="shared" si="834"/>
        <v>1.4549622792442081</v>
      </c>
      <c r="CJ84" s="73">
        <f t="shared" si="835"/>
        <v>2.2030315112986805</v>
      </c>
      <c r="CK84" s="73">
        <f t="shared" si="836"/>
        <v>0.81716551316741226</v>
      </c>
      <c r="CL84" s="73">
        <f t="shared" si="837"/>
        <v>0.23256923025333212</v>
      </c>
      <c r="CM84" s="73">
        <f t="shared" si="838"/>
        <v>26.939239327801324</v>
      </c>
      <c r="CN84" s="73">
        <f t="shared" si="839"/>
        <v>48.177553387541948</v>
      </c>
      <c r="CO84" s="73">
        <f t="shared" si="840"/>
        <v>18.672884839153156</v>
      </c>
      <c r="CP84" s="73">
        <f t="shared" si="841"/>
        <v>44.241916067730145</v>
      </c>
      <c r="CQ84" s="73">
        <f t="shared" si="842"/>
        <v>32.334218149024061</v>
      </c>
      <c r="CR84" s="73">
        <f t="shared" si="843"/>
        <v>5.8434516294299419</v>
      </c>
      <c r="CS84" s="73">
        <f t="shared" si="844"/>
        <v>11.874259595484112</v>
      </c>
      <c r="CT84" s="73">
        <f t="shared" si="845"/>
        <v>9.617599131679194</v>
      </c>
      <c r="CU84" s="73">
        <f t="shared" si="846"/>
        <v>2.9436028475381533</v>
      </c>
      <c r="CV84" s="73">
        <f t="shared" si="847"/>
        <v>8.6214873384025044</v>
      </c>
      <c r="CW84" s="73">
        <f t="shared" si="848"/>
        <v>3.0649127764054609</v>
      </c>
      <c r="CX84" s="73">
        <f t="shared" si="849"/>
        <v>3.7818315182633335</v>
      </c>
      <c r="CY84" s="73">
        <f t="shared" si="850"/>
        <v>0.78326584853431969</v>
      </c>
      <c r="CZ84" s="190"/>
      <c r="DA84" s="66">
        <v>2018</v>
      </c>
      <c r="DB84" s="218">
        <f t="shared" si="676"/>
        <v>155.65658612922002</v>
      </c>
      <c r="DC84" s="218">
        <f t="shared" si="677"/>
        <v>4666.157520325195</v>
      </c>
      <c r="DD84" s="73">
        <f t="shared" si="678"/>
        <v>3979.5908635178098</v>
      </c>
      <c r="DE84" s="73">
        <f t="shared" si="679"/>
        <v>2174.7839435908977</v>
      </c>
      <c r="DF84" s="73">
        <f t="shared" si="680"/>
        <v>220.30234792884832</v>
      </c>
      <c r="DG84" s="73">
        <f t="shared" si="681"/>
        <v>486.41832248184619</v>
      </c>
      <c r="DH84" s="72">
        <f t="shared" si="709"/>
        <v>0.89108434348798415</v>
      </c>
      <c r="DI84" s="72">
        <f t="shared" si="710"/>
        <v>0.90801903517678251</v>
      </c>
      <c r="DJ84" s="73">
        <f>SUM(AV70:AV84,BB70:BB84,BI70:BI84)</f>
        <v>5519.842479674805</v>
      </c>
      <c r="DK84" s="73">
        <f>SUM(AV76:AV84,BB76:BB84,BI76:BI84)</f>
        <v>5127.8038342131922</v>
      </c>
      <c r="DL84" s="190"/>
    </row>
    <row r="85" spans="1:120" x14ac:dyDescent="0.25">
      <c r="A85" s="190"/>
      <c r="B85" s="188">
        <v>2007</v>
      </c>
      <c r="C85" s="61" t="s">
        <v>332</v>
      </c>
      <c r="D85" s="169">
        <v>0</v>
      </c>
      <c r="E85" s="169">
        <v>0</v>
      </c>
      <c r="F85" s="169">
        <v>0</v>
      </c>
      <c r="G85" s="169">
        <v>0</v>
      </c>
      <c r="H85" s="169">
        <v>0</v>
      </c>
      <c r="I85" s="169">
        <v>0</v>
      </c>
      <c r="J85" s="169">
        <v>0</v>
      </c>
      <c r="K85" s="169">
        <v>0</v>
      </c>
      <c r="L85" s="169">
        <v>0</v>
      </c>
      <c r="M85" s="169">
        <v>0</v>
      </c>
      <c r="N85" s="169">
        <v>0</v>
      </c>
      <c r="O85" s="169">
        <v>0</v>
      </c>
      <c r="P85" s="171">
        <f>pAIDS_LTFU_AIDS_ART1ear_2004_2012</f>
        <v>0.18179999999999999</v>
      </c>
      <c r="Q85" s="169">
        <v>0</v>
      </c>
      <c r="R85" s="171">
        <f>pAIDS_LTFU_AIDS_ART2_2004_2012</f>
        <v>0.19189999999999999</v>
      </c>
      <c r="S85" s="172">
        <f>pAIDS_LTFU_2004_2012</f>
        <v>0.21578526169714907</v>
      </c>
      <c r="T85" s="170">
        <f>pAIDS_LTFU_AIDS_Dead_2004_2012</f>
        <v>0.41051473830285101</v>
      </c>
      <c r="U85" s="61">
        <f t="shared" si="682"/>
        <v>1</v>
      </c>
      <c r="V85" s="190"/>
      <c r="W85" s="66">
        <v>15</v>
      </c>
      <c r="X85" s="66">
        <v>2019</v>
      </c>
      <c r="Y85" s="70">
        <f t="shared" si="851"/>
        <v>4.1985430048054606E-3</v>
      </c>
      <c r="Z85" s="70">
        <f t="shared" si="799"/>
        <v>1.5699056032151793E-3</v>
      </c>
      <c r="AA85" s="70">
        <f t="shared" si="800"/>
        <v>7.6258066550074872E-3</v>
      </c>
      <c r="AB85" s="70">
        <f t="shared" si="801"/>
        <v>3.5456015312356013E-4</v>
      </c>
      <c r="AC85" s="70">
        <f t="shared" si="802"/>
        <v>5.1147038600619964E-3</v>
      </c>
      <c r="AD85" s="70">
        <f t="shared" si="803"/>
        <v>3.0906585495681258E-3</v>
      </c>
      <c r="AE85" s="70">
        <f t="shared" si="804"/>
        <v>0.13287611937843594</v>
      </c>
      <c r="AF85" s="70">
        <f t="shared" si="805"/>
        <v>4.7404161948084299E-2</v>
      </c>
      <c r="AG85" s="70">
        <f t="shared" si="806"/>
        <v>1.084913622444824E-2</v>
      </c>
      <c r="AH85" s="70">
        <f t="shared" si="807"/>
        <v>1.6163716460995447E-3</v>
      </c>
      <c r="AI85" s="70">
        <f t="shared" si="808"/>
        <v>2.6829042724834857E-3</v>
      </c>
      <c r="AJ85" s="70">
        <f t="shared" si="809"/>
        <v>5.1726665739265905E-3</v>
      </c>
      <c r="AK85" s="70">
        <f t="shared" si="810"/>
        <v>6.1133284598897542E-3</v>
      </c>
      <c r="AL85" s="70">
        <f t="shared" si="811"/>
        <v>0.16336430704067567</v>
      </c>
      <c r="AM85" s="70">
        <f t="shared" si="812"/>
        <v>4.0118211919713848E-2</v>
      </c>
      <c r="AN85" s="70">
        <f t="shared" si="813"/>
        <v>8.1541660534098573E-3</v>
      </c>
      <c r="AO85" s="70">
        <f t="shared" si="814"/>
        <v>1.7789630310810541E-2</v>
      </c>
      <c r="AP85" s="190"/>
      <c r="AQ85" s="66">
        <v>15</v>
      </c>
      <c r="AR85" s="66">
        <v>2019</v>
      </c>
      <c r="AS85" s="215">
        <f t="shared" si="659"/>
        <v>42.766359046948423</v>
      </c>
      <c r="AT85" s="215">
        <f t="shared" si="660"/>
        <v>15.991058474349817</v>
      </c>
      <c r="AU85" s="215">
        <f t="shared" si="661"/>
        <v>77.676466587906262</v>
      </c>
      <c r="AV85" s="215">
        <f t="shared" si="662"/>
        <v>3.6115497197165833</v>
      </c>
      <c r="AW85" s="215">
        <f t="shared" si="663"/>
        <v>52.098373518591494</v>
      </c>
      <c r="AX85" s="215">
        <f t="shared" si="664"/>
        <v>31.481447985900928</v>
      </c>
      <c r="AY85" s="215">
        <f t="shared" si="665"/>
        <v>1353.4761519887484</v>
      </c>
      <c r="AZ85" s="215">
        <f t="shared" si="666"/>
        <v>482.85879360318665</v>
      </c>
      <c r="BA85" s="215">
        <f t="shared" si="667"/>
        <v>110.50930158222977</v>
      </c>
      <c r="BB85" s="215">
        <f t="shared" si="668"/>
        <v>16.464361587169961</v>
      </c>
      <c r="BC85" s="215">
        <f t="shared" si="669"/>
        <v>27.328062919516785</v>
      </c>
      <c r="BD85" s="215">
        <f t="shared" si="670"/>
        <v>52.688781722016252</v>
      </c>
      <c r="BE85" s="215">
        <f t="shared" si="671"/>
        <v>62.270363692437037</v>
      </c>
      <c r="BF85" s="215">
        <f t="shared" si="672"/>
        <v>1664.0288315163225</v>
      </c>
      <c r="BG85" s="215">
        <f t="shared" si="673"/>
        <v>408.64410661420527</v>
      </c>
      <c r="BH85" s="215">
        <f t="shared" si="674"/>
        <v>83.058335420032805</v>
      </c>
      <c r="BI85" s="215">
        <f t="shared" si="675"/>
        <v>181.20517434591616</v>
      </c>
      <c r="BJ85" s="194"/>
      <c r="BK85" s="66">
        <v>15</v>
      </c>
      <c r="BL85" s="66">
        <v>2019</v>
      </c>
      <c r="BM85" s="215">
        <f t="shared" si="815"/>
        <v>22.773949840774414</v>
      </c>
      <c r="BN85" s="219">
        <f t="shared" si="816"/>
        <v>45.754945415975826</v>
      </c>
      <c r="BO85" s="219">
        <f t="shared" si="817"/>
        <v>31.652647729709788</v>
      </c>
      <c r="BP85" s="219">
        <f t="shared" si="818"/>
        <v>10.327758595769749</v>
      </c>
      <c r="BQ85" s="219">
        <f t="shared" si="819"/>
        <v>6.1586018493950956</v>
      </c>
      <c r="BR85" s="220">
        <f t="shared" si="820"/>
        <v>17.988897106665075</v>
      </c>
      <c r="BS85" s="219">
        <f t="shared" si="821"/>
        <v>10.64956495598282</v>
      </c>
      <c r="BT85" s="219">
        <f t="shared" si="822"/>
        <v>3.5331997633315524</v>
      </c>
      <c r="BU85" s="219">
        <f t="shared" si="823"/>
        <v>21.554991177293754</v>
      </c>
      <c r="BV85" s="219">
        <f t="shared" si="824"/>
        <v>8.5760278967882684</v>
      </c>
      <c r="BW85" s="219">
        <f t="shared" si="825"/>
        <v>11.999317426201348</v>
      </c>
      <c r="BX85" s="220">
        <f t="shared" si="826"/>
        <v>2.5977352443748742</v>
      </c>
      <c r="BY85" s="195"/>
      <c r="BZ85" s="192">
        <v>15</v>
      </c>
      <c r="CA85" s="66">
        <v>2019</v>
      </c>
      <c r="CB85" s="218">
        <f t="shared" si="827"/>
        <v>1.2271333523985255</v>
      </c>
      <c r="CC85" s="218">
        <f t="shared" si="828"/>
        <v>0.42821768715104958</v>
      </c>
      <c r="CD85" s="73">
        <f t="shared" si="829"/>
        <v>1.9561986801670088</v>
      </c>
      <c r="CE85" s="73">
        <f t="shared" si="830"/>
        <v>2.2678543401306008</v>
      </c>
      <c r="CF85" s="73">
        <f t="shared" si="831"/>
        <v>1.2841644042323039</v>
      </c>
      <c r="CG85" s="73">
        <f t="shared" si="832"/>
        <v>6.8173088025392419</v>
      </c>
      <c r="CH85" s="73">
        <f t="shared" si="833"/>
        <v>2.3099052427168316</v>
      </c>
      <c r="CI85" s="73">
        <f t="shared" si="834"/>
        <v>0.96722307343440794</v>
      </c>
      <c r="CJ85" s="73">
        <f t="shared" si="835"/>
        <v>1.6967522323898894</v>
      </c>
      <c r="CK85" s="73">
        <f t="shared" si="836"/>
        <v>0.85817386278662688</v>
      </c>
      <c r="CL85" s="73">
        <f t="shared" si="837"/>
        <v>0.26297962894006049</v>
      </c>
      <c r="CM85" s="73">
        <f t="shared" si="838"/>
        <v>17.432410154067462</v>
      </c>
      <c r="CN85" s="73">
        <f t="shared" si="839"/>
        <v>31.387559767547572</v>
      </c>
      <c r="CO85" s="73">
        <f t="shared" si="840"/>
        <v>13.058391833183638</v>
      </c>
      <c r="CP85" s="73">
        <f t="shared" si="841"/>
        <v>43.940902720568751</v>
      </c>
      <c r="CQ85" s="73">
        <f t="shared" si="842"/>
        <v>35.832347618925688</v>
      </c>
      <c r="CR85" s="73">
        <f t="shared" si="843"/>
        <v>3.8671880086260044</v>
      </c>
      <c r="CS85" s="73">
        <f t="shared" si="844"/>
        <v>9.5179864207064355</v>
      </c>
      <c r="CT85" s="73">
        <f t="shared" si="845"/>
        <v>6.5436101914166604</v>
      </c>
      <c r="CU85" s="73">
        <f t="shared" si="846"/>
        <v>2.0713814249137208</v>
      </c>
      <c r="CV85" s="73">
        <f t="shared" si="847"/>
        <v>8.8651024763289747</v>
      </c>
      <c r="CW85" s="73">
        <f t="shared" si="848"/>
        <v>3.3361319980149986</v>
      </c>
      <c r="CX85" s="73">
        <f t="shared" si="849"/>
        <v>4.4155984725408173</v>
      </c>
      <c r="CY85" s="73">
        <f t="shared" si="850"/>
        <v>0.93656325907545057</v>
      </c>
      <c r="CZ85" s="190"/>
      <c r="DA85" s="66">
        <v>2019</v>
      </c>
      <c r="DB85" s="218">
        <f t="shared" si="676"/>
        <v>100.16128818226699</v>
      </c>
      <c r="DC85" s="218">
        <f t="shared" si="677"/>
        <v>4464.8764346723929</v>
      </c>
      <c r="DD85" s="73">
        <f t="shared" si="678"/>
        <v>3971.2782474148999</v>
      </c>
      <c r="DE85" s="73">
        <f t="shared" si="679"/>
        <v>2134.9433018229647</v>
      </c>
      <c r="DF85" s="73">
        <f t="shared" si="680"/>
        <v>163.07518006156585</v>
      </c>
      <c r="DG85" s="73">
        <f t="shared" si="681"/>
        <v>357.16430314828801</v>
      </c>
      <c r="DH85" s="72">
        <f t="shared" si="709"/>
        <v>0.91748433784761307</v>
      </c>
      <c r="DI85" s="72">
        <f t="shared" si="710"/>
        <v>0.92903661073785915</v>
      </c>
      <c r="DJ85" s="73">
        <f>SUM(AV70:AV85,BB70:BB85,BI70:BI85)</f>
        <v>5721.123565327608</v>
      </c>
      <c r="DK85" s="73">
        <f>SUM(AV76:AV85,BB76:BB85,BI76:BI85)</f>
        <v>5329.0849198659953</v>
      </c>
      <c r="DL85" s="190"/>
    </row>
    <row r="86" spans="1:120" x14ac:dyDescent="0.25">
      <c r="A86" s="190"/>
      <c r="B86" s="191">
        <v>2007</v>
      </c>
      <c r="C86" s="179" t="s">
        <v>333</v>
      </c>
      <c r="D86" s="180">
        <v>0</v>
      </c>
      <c r="E86" s="180">
        <v>0</v>
      </c>
      <c r="F86" s="180">
        <v>0</v>
      </c>
      <c r="G86" s="180">
        <v>0</v>
      </c>
      <c r="H86" s="180">
        <v>0</v>
      </c>
      <c r="I86" s="180">
        <v>0</v>
      </c>
      <c r="J86" s="180">
        <v>0</v>
      </c>
      <c r="K86" s="180">
        <v>0</v>
      </c>
      <c r="L86" s="180">
        <v>0</v>
      </c>
      <c r="M86" s="180">
        <v>0</v>
      </c>
      <c r="N86" s="180">
        <v>0</v>
      </c>
      <c r="O86" s="180">
        <v>0</v>
      </c>
      <c r="P86" s="180">
        <v>0</v>
      </c>
      <c r="Q86" s="180">
        <v>0</v>
      </c>
      <c r="R86" s="180">
        <v>0</v>
      </c>
      <c r="S86" s="180">
        <v>0</v>
      </c>
      <c r="T86" s="180">
        <v>0</v>
      </c>
      <c r="U86" s="179">
        <f t="shared" si="682"/>
        <v>0</v>
      </c>
      <c r="V86" s="190"/>
      <c r="W86" s="66">
        <v>16</v>
      </c>
      <c r="X86" s="66">
        <v>2020</v>
      </c>
      <c r="Y86" s="70">
        <f t="shared" si="851"/>
        <v>2.6608689747869181E-3</v>
      </c>
      <c r="Z86" s="70">
        <f t="shared" si="799"/>
        <v>9.986483254093145E-4</v>
      </c>
      <c r="AA86" s="70">
        <f t="shared" si="800"/>
        <v>5.442340944567965E-3</v>
      </c>
      <c r="AB86" s="70">
        <f t="shared" si="801"/>
        <v>2.4181376991117297E-4</v>
      </c>
      <c r="AC86" s="70">
        <f t="shared" si="802"/>
        <v>3.2676839410285545E-3</v>
      </c>
      <c r="AD86" s="70">
        <f t="shared" si="803"/>
        <v>1.9760980818153114E-3</v>
      </c>
      <c r="AE86" s="70">
        <f t="shared" si="804"/>
        <v>0.13235280163418137</v>
      </c>
      <c r="AF86" s="70">
        <f t="shared" si="805"/>
        <v>4.9496302096464329E-2</v>
      </c>
      <c r="AG86" s="70">
        <f t="shared" si="806"/>
        <v>9.005221348697745E-3</v>
      </c>
      <c r="AH86" s="70">
        <f t="shared" si="807"/>
        <v>1.4377921391082414E-3</v>
      </c>
      <c r="AI86" s="70">
        <f t="shared" si="808"/>
        <v>1.7196857766862939E-3</v>
      </c>
      <c r="AJ86" s="70">
        <f t="shared" si="809"/>
        <v>3.326644767373297E-3</v>
      </c>
      <c r="AK86" s="70">
        <f t="shared" si="810"/>
        <v>4.3822548718094921E-3</v>
      </c>
      <c r="AL86" s="70">
        <f t="shared" si="811"/>
        <v>0.15741084466865571</v>
      </c>
      <c r="AM86" s="70">
        <f t="shared" si="812"/>
        <v>4.2129667127529531E-2</v>
      </c>
      <c r="AN86" s="70">
        <f t="shared" si="813"/>
        <v>7.1540426507647817E-3</v>
      </c>
      <c r="AO86" s="70">
        <f t="shared" si="814"/>
        <v>1.5331908424935887E-2</v>
      </c>
      <c r="AP86" s="190"/>
      <c r="AQ86" s="66">
        <v>16</v>
      </c>
      <c r="AR86" s="66">
        <v>2020</v>
      </c>
      <c r="AS86" s="215">
        <f t="shared" si="659"/>
        <v>27.103611377179547</v>
      </c>
      <c r="AT86" s="215">
        <f t="shared" si="660"/>
        <v>10.172231842619277</v>
      </c>
      <c r="AU86" s="215">
        <f t="shared" si="661"/>
        <v>55.435684861369289</v>
      </c>
      <c r="AV86" s="215">
        <f t="shared" si="662"/>
        <v>2.4631150603152077</v>
      </c>
      <c r="AW86" s="215">
        <f t="shared" si="663"/>
        <v>33.284628623316856</v>
      </c>
      <c r="AX86" s="215">
        <f t="shared" si="664"/>
        <v>20.128535061370762</v>
      </c>
      <c r="AY86" s="215">
        <f t="shared" si="665"/>
        <v>1348.1456374457714</v>
      </c>
      <c r="AZ86" s="215">
        <f t="shared" si="666"/>
        <v>504.16933315458567</v>
      </c>
      <c r="BA86" s="215">
        <f t="shared" si="667"/>
        <v>91.727184657835238</v>
      </c>
      <c r="BB86" s="215">
        <f t="shared" si="668"/>
        <v>14.645350728956547</v>
      </c>
      <c r="BC86" s="215">
        <f t="shared" si="669"/>
        <v>17.51671932132659</v>
      </c>
      <c r="BD86" s="215">
        <f t="shared" si="670"/>
        <v>33.885203600464401</v>
      </c>
      <c r="BE86" s="215">
        <f t="shared" si="671"/>
        <v>44.637648124251484</v>
      </c>
      <c r="BF86" s="215">
        <f t="shared" si="672"/>
        <v>1603.386863794927</v>
      </c>
      <c r="BG86" s="215">
        <f t="shared" si="673"/>
        <v>429.1327893610158</v>
      </c>
      <c r="BH86" s="215">
        <f t="shared" si="674"/>
        <v>72.87107844069007</v>
      </c>
      <c r="BI86" s="215">
        <f t="shared" si="675"/>
        <v>156.17081921639695</v>
      </c>
      <c r="BJ86" s="194"/>
      <c r="BK86" s="66">
        <v>16</v>
      </c>
      <c r="BL86" s="66">
        <v>2020</v>
      </c>
      <c r="BM86" s="215">
        <f t="shared" si="815"/>
        <v>14.818994273275511</v>
      </c>
      <c r="BN86" s="219">
        <f t="shared" si="816"/>
        <v>33.765362315477191</v>
      </c>
      <c r="BO86" s="219">
        <f t="shared" si="817"/>
        <v>32.081778563374492</v>
      </c>
      <c r="BP86" s="219">
        <f t="shared" si="818"/>
        <v>11.061049505708052</v>
      </c>
      <c r="BQ86" s="219">
        <f t="shared" si="819"/>
        <v>3.9919112977606188</v>
      </c>
      <c r="BR86" s="220">
        <f t="shared" si="820"/>
        <v>13.608638450598253</v>
      </c>
      <c r="BS86" s="219">
        <f t="shared" si="821"/>
        <v>7.0195670762676068</v>
      </c>
      <c r="BT86" s="219">
        <f t="shared" si="822"/>
        <v>2.4869158248581718</v>
      </c>
      <c r="BU86" s="219">
        <f t="shared" si="823"/>
        <v>21.094919516853846</v>
      </c>
      <c r="BV86" s="219">
        <f t="shared" si="824"/>
        <v>8.8530161352932524</v>
      </c>
      <c r="BW86" s="219">
        <f t="shared" si="825"/>
        <v>12.956598642701326</v>
      </c>
      <c r="BX86" s="220">
        <f t="shared" si="826"/>
        <v>2.8595114963569865</v>
      </c>
      <c r="BY86" s="195"/>
      <c r="BZ86" s="192">
        <v>16</v>
      </c>
      <c r="CA86" s="66">
        <v>2020</v>
      </c>
      <c r="CB86" s="218">
        <f t="shared" si="827"/>
        <v>0.77770813865339772</v>
      </c>
      <c r="CC86" s="218">
        <f t="shared" si="828"/>
        <v>0.27285692691158064</v>
      </c>
      <c r="CD86" s="73">
        <f t="shared" si="829"/>
        <v>1.4125499947502294</v>
      </c>
      <c r="CE86" s="73">
        <f t="shared" si="830"/>
        <v>1.4529474363393877</v>
      </c>
      <c r="CF86" s="73">
        <f t="shared" si="831"/>
        <v>0.82380389971713919</v>
      </c>
      <c r="CG86" s="73">
        <f t="shared" si="832"/>
        <v>6.8447579671575713</v>
      </c>
      <c r="CH86" s="73">
        <f t="shared" si="833"/>
        <v>2.4418986397885054</v>
      </c>
      <c r="CI86" s="73">
        <f t="shared" si="834"/>
        <v>0.63513215100020226</v>
      </c>
      <c r="CJ86" s="73">
        <f t="shared" si="835"/>
        <v>1.2760385047004823</v>
      </c>
      <c r="CK86" s="73">
        <f t="shared" si="836"/>
        <v>0.88274604879601493</v>
      </c>
      <c r="CL86" s="73">
        <f t="shared" si="837"/>
        <v>0.28802608145724351</v>
      </c>
      <c r="CM86" s="73">
        <f t="shared" si="838"/>
        <v>11.218572597729279</v>
      </c>
      <c r="CN86" s="73">
        <f t="shared" si="839"/>
        <v>20.295058932064297</v>
      </c>
      <c r="CO86" s="73">
        <f t="shared" si="840"/>
        <v>9.2038657165592319</v>
      </c>
      <c r="CP86" s="73">
        <f t="shared" si="841"/>
        <v>42.857389513548675</v>
      </c>
      <c r="CQ86" s="73">
        <f t="shared" si="842"/>
        <v>38.499261627670272</v>
      </c>
      <c r="CR86" s="73">
        <f t="shared" si="843"/>
        <v>2.5281968265158818</v>
      </c>
      <c r="CS86" s="73">
        <f t="shared" si="844"/>
        <v>7.3847073880995273</v>
      </c>
      <c r="CT86" s="73">
        <f t="shared" si="845"/>
        <v>4.3718033709445008</v>
      </c>
      <c r="CU86" s="73">
        <f t="shared" si="846"/>
        <v>1.4504305762157474</v>
      </c>
      <c r="CV86" s="73">
        <f t="shared" si="847"/>
        <v>8.8486415622670087</v>
      </c>
      <c r="CW86" s="73">
        <f t="shared" si="848"/>
        <v>3.5205858477279857</v>
      </c>
      <c r="CX86" s="73">
        <f t="shared" si="849"/>
        <v>4.925896653029886</v>
      </c>
      <c r="CY86" s="73">
        <f t="shared" si="850"/>
        <v>1.0664086040246443</v>
      </c>
      <c r="CZ86" s="190"/>
      <c r="DA86" s="66">
        <v>2020</v>
      </c>
      <c r="DB86" s="218">
        <f t="shared" si="676"/>
        <v>64.185970504454446</v>
      </c>
      <c r="DC86" s="218">
        <f t="shared" si="677"/>
        <v>4291.5971496667235</v>
      </c>
      <c r="DD86" s="73">
        <f t="shared" si="678"/>
        <v>3929.4722718805515</v>
      </c>
      <c r="DE86" s="73">
        <f t="shared" si="679"/>
        <v>2077.1573012801941</v>
      </c>
      <c r="DF86" s="73">
        <f t="shared" si="680"/>
        <v>124.27300136248107</v>
      </c>
      <c r="DG86" s="73">
        <f t="shared" si="681"/>
        <v>269.41334970500395</v>
      </c>
      <c r="DH86" s="72">
        <f t="shared" si="709"/>
        <v>0.93583694008714857</v>
      </c>
      <c r="DI86" s="72">
        <f t="shared" si="710"/>
        <v>0.94354897304116359</v>
      </c>
      <c r="DJ86" s="73">
        <f>SUM(AV70:AV86,BB70:BB86,BI70:BI86)</f>
        <v>5894.4028503332765</v>
      </c>
      <c r="DK86" s="73">
        <f>SUM(AV76:AV86,BB76:BB86,BI76:BI86)</f>
        <v>5502.3642048716638</v>
      </c>
      <c r="DL86" s="190"/>
    </row>
    <row r="87" spans="1:120" x14ac:dyDescent="0.25">
      <c r="A87" s="190"/>
      <c r="B87" s="178"/>
      <c r="C87" s="182"/>
      <c r="D87" s="183"/>
      <c r="E87" s="183"/>
      <c r="F87" s="183"/>
      <c r="G87" s="183"/>
      <c r="H87" s="183"/>
      <c r="I87" s="183"/>
      <c r="J87" s="183"/>
      <c r="K87" s="183"/>
      <c r="L87" s="183"/>
      <c r="M87" s="183"/>
      <c r="N87" s="183"/>
      <c r="O87" s="183"/>
      <c r="P87" s="183"/>
      <c r="Q87" s="183"/>
      <c r="R87" s="183"/>
      <c r="S87" s="183"/>
      <c r="T87" s="183"/>
      <c r="U87" s="178"/>
      <c r="V87" s="178"/>
      <c r="W87" s="66">
        <v>17</v>
      </c>
      <c r="X87" s="66">
        <v>2021</v>
      </c>
      <c r="Y87" s="70">
        <f t="shared" si="851"/>
        <v>1.6863525496535069E-3</v>
      </c>
      <c r="Z87" s="70">
        <f t="shared" si="799"/>
        <v>6.3452668223342118E-4</v>
      </c>
      <c r="AA87" s="70">
        <f t="shared" si="800"/>
        <v>3.8467047946067101E-3</v>
      </c>
      <c r="AB87" s="70">
        <f t="shared" si="801"/>
        <v>1.6439726208428775E-4</v>
      </c>
      <c r="AC87" s="70">
        <f t="shared" si="802"/>
        <v>2.0833596006309151E-3</v>
      </c>
      <c r="AD87" s="70">
        <f t="shared" si="803"/>
        <v>1.2604531024918825E-3</v>
      </c>
      <c r="AE87" s="70">
        <f t="shared" si="804"/>
        <v>0.1310946458122382</v>
      </c>
      <c r="AF87" s="70">
        <f t="shared" si="805"/>
        <v>5.1226632102374429E-2</v>
      </c>
      <c r="AG87" s="70">
        <f t="shared" si="806"/>
        <v>7.6530268248121225E-3</v>
      </c>
      <c r="AH87" s="70">
        <f t="shared" si="807"/>
        <v>1.3136254414289888E-3</v>
      </c>
      <c r="AI87" s="70">
        <f t="shared" si="808"/>
        <v>1.0990623551870755E-3</v>
      </c>
      <c r="AJ87" s="70">
        <f t="shared" si="809"/>
        <v>2.1311286785410102E-3</v>
      </c>
      <c r="AK87" s="70">
        <f t="shared" si="810"/>
        <v>3.2220871107690964E-3</v>
      </c>
      <c r="AL87" s="70">
        <f t="shared" si="811"/>
        <v>0.15043680988168279</v>
      </c>
      <c r="AM87" s="70">
        <f t="shared" si="812"/>
        <v>4.348194374172467E-2</v>
      </c>
      <c r="AN87" s="70">
        <f t="shared" si="813"/>
        <v>6.3931762615485688E-3</v>
      </c>
      <c r="AO87" s="70">
        <f t="shared" si="814"/>
        <v>1.3595173007762905E-2</v>
      </c>
      <c r="AP87" s="190"/>
      <c r="AQ87" s="66">
        <v>17</v>
      </c>
      <c r="AR87" s="66">
        <v>2021</v>
      </c>
      <c r="AS87" s="215">
        <f t="shared" si="659"/>
        <v>17.177187070770621</v>
      </c>
      <c r="AT87" s="215">
        <f t="shared" si="660"/>
        <v>6.4632887852296284</v>
      </c>
      <c r="AU87" s="215">
        <f t="shared" si="661"/>
        <v>39.18253503786395</v>
      </c>
      <c r="AV87" s="215">
        <f t="shared" si="662"/>
        <v>1.674550511590555</v>
      </c>
      <c r="AW87" s="215">
        <f t="shared" si="663"/>
        <v>21.221100892026502</v>
      </c>
      <c r="AX87" s="215">
        <f t="shared" si="664"/>
        <v>12.838975301982316</v>
      </c>
      <c r="AY87" s="215">
        <f t="shared" si="665"/>
        <v>1335.3300622434583</v>
      </c>
      <c r="AZ87" s="215">
        <f t="shared" si="666"/>
        <v>521.79447459478592</v>
      </c>
      <c r="BA87" s="215">
        <f t="shared" si="667"/>
        <v>77.953731237536275</v>
      </c>
      <c r="BB87" s="215">
        <f t="shared" si="668"/>
        <v>13.380588746395679</v>
      </c>
      <c r="BC87" s="215">
        <f t="shared" si="669"/>
        <v>11.195049149935551</v>
      </c>
      <c r="BD87" s="215">
        <f t="shared" si="670"/>
        <v>21.707676719618728</v>
      </c>
      <c r="BE87" s="215">
        <f t="shared" si="671"/>
        <v>32.820179310294016</v>
      </c>
      <c r="BF87" s="215">
        <f t="shared" si="672"/>
        <v>1532.3493454548209</v>
      </c>
      <c r="BG87" s="215">
        <f t="shared" si="673"/>
        <v>442.90707895320747</v>
      </c>
      <c r="BH87" s="215">
        <f t="shared" si="674"/>
        <v>65.120893400133724</v>
      </c>
      <c r="BI87" s="215">
        <f t="shared" si="675"/>
        <v>138.48043225707295</v>
      </c>
      <c r="BJ87" s="194"/>
      <c r="BK87" s="66">
        <v>17</v>
      </c>
      <c r="BL87" s="66">
        <v>2021</v>
      </c>
      <c r="BM87" s="215">
        <f t="shared" si="815"/>
        <v>9.5776645574804764</v>
      </c>
      <c r="BN87" s="219">
        <f t="shared" si="816"/>
        <v>24.540215741223292</v>
      </c>
      <c r="BO87" s="219">
        <f t="shared" si="817"/>
        <v>32.176074217153356</v>
      </c>
      <c r="BP87" s="219">
        <f t="shared" si="818"/>
        <v>11.659776721679162</v>
      </c>
      <c r="BQ87" s="219">
        <f t="shared" si="819"/>
        <v>2.5718030530853029</v>
      </c>
      <c r="BR87" s="220">
        <f t="shared" si="820"/>
        <v>10.091034589271061</v>
      </c>
      <c r="BS87" s="219">
        <f t="shared" si="821"/>
        <v>4.5806711804043347</v>
      </c>
      <c r="BT87" s="219">
        <f t="shared" si="822"/>
        <v>1.7760648946062445</v>
      </c>
      <c r="BU87" s="219">
        <f t="shared" si="823"/>
        <v>20.373378899240063</v>
      </c>
      <c r="BV87" s="219">
        <f t="shared" si="824"/>
        <v>8.9963588369630987</v>
      </c>
      <c r="BW87" s="219">
        <f t="shared" si="825"/>
        <v>13.657819848286774</v>
      </c>
      <c r="BX87" s="220">
        <f t="shared" si="826"/>
        <v>3.0737620982768528</v>
      </c>
      <c r="BY87" s="195"/>
      <c r="BZ87" s="192">
        <v>17</v>
      </c>
      <c r="CA87" s="66">
        <v>2021</v>
      </c>
      <c r="CB87" s="218">
        <f t="shared" si="827"/>
        <v>0.49288037664818279</v>
      </c>
      <c r="CC87" s="218">
        <f t="shared" si="828"/>
        <v>0.17356974367027156</v>
      </c>
      <c r="CD87" s="73">
        <f t="shared" si="829"/>
        <v>1.0081003912721007</v>
      </c>
      <c r="CE87" s="73">
        <f t="shared" si="830"/>
        <v>0.92825960892040327</v>
      </c>
      <c r="CF87" s="73">
        <f t="shared" si="831"/>
        <v>0.52672182316952787</v>
      </c>
      <c r="CG87" s="73">
        <f t="shared" si="832"/>
        <v>6.8178006529607309</v>
      </c>
      <c r="CH87" s="73">
        <f t="shared" si="833"/>
        <v>2.5496696449625054</v>
      </c>
      <c r="CI87" s="73">
        <f t="shared" si="834"/>
        <v>0.41328007544804118</v>
      </c>
      <c r="CJ87" s="73">
        <f t="shared" si="835"/>
        <v>0.94166656845508179</v>
      </c>
      <c r="CK87" s="73">
        <f t="shared" si="836"/>
        <v>0.8947138800835851</v>
      </c>
      <c r="CL87" s="73">
        <f t="shared" si="837"/>
        <v>0.30847649239580444</v>
      </c>
      <c r="CM87" s="73">
        <f t="shared" si="838"/>
        <v>7.1908714481188793</v>
      </c>
      <c r="CN87" s="73">
        <f t="shared" si="839"/>
        <v>13.05215610458996</v>
      </c>
      <c r="CO87" s="73">
        <f t="shared" si="840"/>
        <v>6.5976637179739273</v>
      </c>
      <c r="CP87" s="73">
        <f t="shared" si="841"/>
        <v>41.295543719605533</v>
      </c>
      <c r="CQ87" s="73">
        <f t="shared" si="842"/>
        <v>40.429545570858238</v>
      </c>
      <c r="CR87" s="73">
        <f t="shared" si="843"/>
        <v>1.6387384217283949</v>
      </c>
      <c r="CS87" s="73">
        <f t="shared" si="844"/>
        <v>5.5865466522054579</v>
      </c>
      <c r="CT87" s="73">
        <f t="shared" si="845"/>
        <v>2.8816357413133056</v>
      </c>
      <c r="CU87" s="73">
        <f t="shared" si="846"/>
        <v>1.0209155990228713</v>
      </c>
      <c r="CV87" s="73">
        <f t="shared" si="847"/>
        <v>8.6597753649809608</v>
      </c>
      <c r="CW87" s="73">
        <f t="shared" si="848"/>
        <v>3.634293601970827</v>
      </c>
      <c r="CX87" s="73">
        <f t="shared" si="849"/>
        <v>5.3188747011036099</v>
      </c>
      <c r="CY87" s="73">
        <f t="shared" si="850"/>
        <v>1.1738716136009821</v>
      </c>
      <c r="CZ87" s="190"/>
      <c r="DA87" s="66">
        <v>2021</v>
      </c>
      <c r="DB87" s="218">
        <f t="shared" si="676"/>
        <v>41.00994080683067</v>
      </c>
      <c r="DC87" s="218">
        <f t="shared" si="677"/>
        <v>4138.0615781516635</v>
      </c>
      <c r="DD87" s="73">
        <f t="shared" si="678"/>
        <v>3865.2011405565668</v>
      </c>
      <c r="DE87" s="73">
        <f t="shared" si="679"/>
        <v>2008.0766037183223</v>
      </c>
      <c r="DF87" s="73">
        <f t="shared" si="680"/>
        <v>98.023619269687998</v>
      </c>
      <c r="DG87" s="73">
        <f t="shared" si="681"/>
        <v>210.03742670123307</v>
      </c>
      <c r="DH87" s="72">
        <f t="shared" si="709"/>
        <v>0.94846009056039982</v>
      </c>
      <c r="DI87" s="72">
        <f t="shared" si="710"/>
        <v>0.95345728650528416</v>
      </c>
      <c r="DJ87" s="73">
        <f>SUM(AV70:AV87,BB70:BB87,BI70:BI87)</f>
        <v>6047.9384218483347</v>
      </c>
      <c r="DK87" s="73">
        <f>SUM(AV76:AV87,BB76:BB87,BI76:BI87)</f>
        <v>5655.8997763867219</v>
      </c>
      <c r="DL87" s="190"/>
    </row>
    <row r="88" spans="1:120" s="127" customFormat="1" x14ac:dyDescent="0.25">
      <c r="A88" s="190"/>
      <c r="B88" s="178"/>
      <c r="C88" s="182"/>
      <c r="D88" s="183"/>
      <c r="E88" s="183"/>
      <c r="F88" s="183"/>
      <c r="G88" s="183"/>
      <c r="H88" s="183"/>
      <c r="I88" s="183"/>
      <c r="J88" s="183"/>
      <c r="K88" s="183"/>
      <c r="L88" s="183"/>
      <c r="M88" s="183"/>
      <c r="N88" s="183"/>
      <c r="O88" s="183"/>
      <c r="P88" s="183"/>
      <c r="Q88" s="183"/>
      <c r="R88" s="183"/>
      <c r="S88" s="183"/>
      <c r="T88" s="183"/>
      <c r="U88" s="178"/>
      <c r="V88" s="178"/>
      <c r="W88" s="66">
        <v>18</v>
      </c>
      <c r="X88" s="66">
        <v>2022</v>
      </c>
      <c r="Y88" s="70">
        <f t="shared" si="851"/>
        <v>1.0687429364877362E-3</v>
      </c>
      <c r="Z88" s="70">
        <f t="shared" si="799"/>
        <v>4.0284889084111434E-4</v>
      </c>
      <c r="AA88" s="70">
        <f t="shared" si="800"/>
        <v>2.6970088051053373E-3</v>
      </c>
      <c r="AB88" s="70">
        <f t="shared" si="801"/>
        <v>1.1144588169221525E-4</v>
      </c>
      <c r="AC88" s="70">
        <f t="shared" si="802"/>
        <v>1.326251665677096E-3</v>
      </c>
      <c r="AD88" s="70">
        <f t="shared" si="803"/>
        <v>8.0258981991468295E-4</v>
      </c>
      <c r="AE88" s="70">
        <f t="shared" si="804"/>
        <v>0.12933806294123049</v>
      </c>
      <c r="AF88" s="70">
        <f t="shared" si="805"/>
        <v>5.2680249552463601E-2</v>
      </c>
      <c r="AG88" s="70">
        <f t="shared" si="806"/>
        <v>6.6713377721190565E-3</v>
      </c>
      <c r="AH88" s="70">
        <f t="shared" si="807"/>
        <v>1.226546567068917E-3</v>
      </c>
      <c r="AI88" s="70">
        <f t="shared" si="808"/>
        <v>7.0090636111450391E-4</v>
      </c>
      <c r="AJ88" s="70">
        <f t="shared" si="809"/>
        <v>1.3613971269330692E-3</v>
      </c>
      <c r="AK88" s="70">
        <f t="shared" si="810"/>
        <v>2.4474513104847913E-3</v>
      </c>
      <c r="AL88" s="70">
        <f t="shared" si="811"/>
        <v>0.14297915322304017</v>
      </c>
      <c r="AM88" s="70">
        <f t="shared" si="812"/>
        <v>4.4279592383185129E-2</v>
      </c>
      <c r="AN88" s="70">
        <f t="shared" si="813"/>
        <v>5.8124661807696159E-3</v>
      </c>
      <c r="AO88" s="70">
        <f t="shared" si="814"/>
        <v>1.2343858080366921E-2</v>
      </c>
      <c r="AP88" s="190"/>
      <c r="AQ88" s="66">
        <v>18</v>
      </c>
      <c r="AR88" s="66">
        <v>2022</v>
      </c>
      <c r="AS88" s="215">
        <f t="shared" si="659"/>
        <v>10.886215551064081</v>
      </c>
      <c r="AT88" s="215">
        <f t="shared" si="660"/>
        <v>4.1034188021075906</v>
      </c>
      <c r="AU88" s="215">
        <f t="shared" si="661"/>
        <v>27.471731688802965</v>
      </c>
      <c r="AV88" s="215">
        <f t="shared" si="662"/>
        <v>1.1351877509169046</v>
      </c>
      <c r="AW88" s="215">
        <f t="shared" si="663"/>
        <v>13.5091994665869</v>
      </c>
      <c r="AX88" s="215">
        <f t="shared" si="664"/>
        <v>8.1751799056509604</v>
      </c>
      <c r="AY88" s="215">
        <f t="shared" si="665"/>
        <v>1317.4375091193738</v>
      </c>
      <c r="AZ88" s="215">
        <f t="shared" si="666"/>
        <v>536.60102194139427</v>
      </c>
      <c r="BA88" s="215">
        <f t="shared" si="667"/>
        <v>67.954246546804711</v>
      </c>
      <c r="BB88" s="215">
        <f t="shared" si="668"/>
        <v>12.493603332163989</v>
      </c>
      <c r="BC88" s="215">
        <f t="shared" si="669"/>
        <v>7.1394321943123371</v>
      </c>
      <c r="BD88" s="215">
        <f t="shared" si="670"/>
        <v>13.867191134940242</v>
      </c>
      <c r="BE88" s="215">
        <f t="shared" si="671"/>
        <v>24.929739048598083</v>
      </c>
      <c r="BF88" s="215">
        <f t="shared" si="672"/>
        <v>1456.3856547298872</v>
      </c>
      <c r="BG88" s="215">
        <f t="shared" si="673"/>
        <v>451.0319280151237</v>
      </c>
      <c r="BH88" s="215">
        <f t="shared" si="674"/>
        <v>59.205780517319305</v>
      </c>
      <c r="BI88" s="215">
        <f t="shared" si="675"/>
        <v>125.73453840661746</v>
      </c>
      <c r="BJ88" s="194"/>
      <c r="BK88" s="66">
        <v>18</v>
      </c>
      <c r="BL88" s="66">
        <v>2022</v>
      </c>
      <c r="BM88" s="215">
        <f t="shared" si="815"/>
        <v>6.1590619616171871</v>
      </c>
      <c r="BN88" s="219">
        <f t="shared" si="816"/>
        <v>17.614025527560987</v>
      </c>
      <c r="BO88" s="219">
        <f t="shared" si="817"/>
        <v>32.029285502512018</v>
      </c>
      <c r="BP88" s="219">
        <f t="shared" si="818"/>
        <v>12.15187355511452</v>
      </c>
      <c r="BQ88" s="219">
        <f t="shared" si="819"/>
        <v>1.6496610010060937</v>
      </c>
      <c r="BR88" s="220">
        <f t="shared" si="820"/>
        <v>7.3631129853097796</v>
      </c>
      <c r="BS88" s="219">
        <f t="shared" si="821"/>
        <v>2.9668963619589404</v>
      </c>
      <c r="BT88" s="219">
        <f t="shared" si="822"/>
        <v>1.2982544977751829</v>
      </c>
      <c r="BU88" s="219">
        <f t="shared" si="823"/>
        <v>19.501655428253105</v>
      </c>
      <c r="BV88" s="219">
        <f t="shared" si="824"/>
        <v>9.0398228298310705</v>
      </c>
      <c r="BW88" s="219">
        <f t="shared" si="825"/>
        <v>14.137606819288559</v>
      </c>
      <c r="BX88" s="220">
        <f t="shared" si="826"/>
        <v>3.2487705938965767</v>
      </c>
      <c r="BY88" s="195"/>
      <c r="BZ88" s="192">
        <v>18</v>
      </c>
      <c r="CA88" s="66">
        <v>2022</v>
      </c>
      <c r="CB88" s="218">
        <f t="shared" si="827"/>
        <v>0.31236790977331153</v>
      </c>
      <c r="CC88" s="218">
        <f t="shared" si="828"/>
        <v>0.11028370126396803</v>
      </c>
      <c r="CD88" s="73">
        <f t="shared" si="829"/>
        <v>0.71253613987962505</v>
      </c>
      <c r="CE88" s="73">
        <f t="shared" si="830"/>
        <v>0.5918254650764958</v>
      </c>
      <c r="CF88" s="73">
        <f t="shared" si="831"/>
        <v>0.33596923263764489</v>
      </c>
      <c r="CG88" s="73">
        <f t="shared" si="832"/>
        <v>6.752990120214478</v>
      </c>
      <c r="CH88" s="73">
        <f t="shared" si="833"/>
        <v>2.6388029681598337</v>
      </c>
      <c r="CI88" s="73">
        <f t="shared" si="834"/>
        <v>0.2671070558458789</v>
      </c>
      <c r="CJ88" s="73">
        <f t="shared" si="835"/>
        <v>0.6843907235549691</v>
      </c>
      <c r="CK88" s="73">
        <f t="shared" si="836"/>
        <v>0.89734364794701094</v>
      </c>
      <c r="CL88" s="73">
        <f t="shared" si="837"/>
        <v>0.32517411872767849</v>
      </c>
      <c r="CM88" s="73">
        <f t="shared" si="838"/>
        <v>4.5957326720733471</v>
      </c>
      <c r="CN88" s="73">
        <f t="shared" si="839"/>
        <v>8.3615252413166505</v>
      </c>
      <c r="CO88" s="73">
        <f t="shared" si="840"/>
        <v>4.8509837626342556</v>
      </c>
      <c r="CP88" s="73">
        <f t="shared" si="841"/>
        <v>39.465958476900603</v>
      </c>
      <c r="CQ88" s="73">
        <f t="shared" si="842"/>
        <v>41.727251741488836</v>
      </c>
      <c r="CR88" s="73">
        <f t="shared" si="843"/>
        <v>1.0557630573037864</v>
      </c>
      <c r="CS88" s="73">
        <f t="shared" si="844"/>
        <v>4.1425184236196273</v>
      </c>
      <c r="CT88" s="73">
        <f t="shared" si="845"/>
        <v>1.8804330308750972</v>
      </c>
      <c r="CU88" s="73">
        <f t="shared" si="846"/>
        <v>0.72910081541816307</v>
      </c>
      <c r="CV88" s="73">
        <f t="shared" si="847"/>
        <v>8.3635723071663612</v>
      </c>
      <c r="CW88" s="73">
        <f t="shared" si="848"/>
        <v>3.6931378936344474</v>
      </c>
      <c r="CX88" s="73">
        <f t="shared" si="849"/>
        <v>5.6067363408069291</v>
      </c>
      <c r="CY88" s="73">
        <f t="shared" si="850"/>
        <v>1.2618246433793445</v>
      </c>
      <c r="CZ88" s="190"/>
      <c r="DA88" s="66">
        <v>2022</v>
      </c>
      <c r="DB88" s="218">
        <f t="shared" si="676"/>
        <v>26.145789842698793</v>
      </c>
      <c r="DC88" s="218">
        <f t="shared" si="677"/>
        <v>3998.6982486619663</v>
      </c>
      <c r="DD88" s="73">
        <f t="shared" si="678"/>
        <v>3786.3858528543774</v>
      </c>
      <c r="DE88" s="73">
        <f t="shared" si="679"/>
        <v>1932.3473217936089</v>
      </c>
      <c r="DF88" s="73">
        <f t="shared" si="680"/>
        <v>80.212403846571888</v>
      </c>
      <c r="DG88" s="73">
        <f t="shared" si="681"/>
        <v>169.85102976561447</v>
      </c>
      <c r="DH88" s="72">
        <f t="shared" si="709"/>
        <v>0.95706752785411275</v>
      </c>
      <c r="DI88" s="72">
        <f t="shared" si="710"/>
        <v>0.96014408773828708</v>
      </c>
      <c r="DJ88" s="73">
        <f>SUM(AV70:AV88,BB70:BB88,BI70:BI88)</f>
        <v>6187.3017513380337</v>
      </c>
      <c r="DK88" s="73">
        <f>SUM(AV76:AV88,BB76:BB88,BI76:BI88)</f>
        <v>5795.2631058764209</v>
      </c>
      <c r="DL88" s="190"/>
      <c r="DM88"/>
      <c r="DN88"/>
      <c r="DO88"/>
      <c r="DP88"/>
    </row>
    <row r="89" spans="1:120" s="127" customFormat="1" x14ac:dyDescent="0.25">
      <c r="A89" s="190"/>
      <c r="B89" s="178"/>
      <c r="C89" s="182"/>
      <c r="D89" s="183"/>
      <c r="E89" s="183"/>
      <c r="F89" s="183"/>
      <c r="G89" s="183"/>
      <c r="H89" s="183"/>
      <c r="I89" s="183"/>
      <c r="J89" s="183"/>
      <c r="K89" s="183"/>
      <c r="L89" s="183"/>
      <c r="M89" s="183"/>
      <c r="N89" s="183"/>
      <c r="O89" s="183"/>
      <c r="P89" s="183"/>
      <c r="Q89" s="183"/>
      <c r="R89" s="183"/>
      <c r="S89" s="183"/>
      <c r="T89" s="183"/>
      <c r="U89" s="178"/>
      <c r="V89" s="178"/>
      <c r="W89" s="66">
        <v>19</v>
      </c>
      <c r="X89" s="66">
        <v>2023</v>
      </c>
      <c r="Y89" s="70">
        <f t="shared" si="851"/>
        <v>6.7732661508242652E-4</v>
      </c>
      <c r="Z89" s="70">
        <f t="shared" si="799"/>
        <v>2.5562115667186649E-4</v>
      </c>
      <c r="AA89" s="70">
        <f t="shared" si="800"/>
        <v>1.8780367110745792E-3</v>
      </c>
      <c r="AB89" s="70">
        <f t="shared" si="801"/>
        <v>7.5354210985387741E-5</v>
      </c>
      <c r="AC89" s="70">
        <f t="shared" si="802"/>
        <v>8.4332684384754689E-4</v>
      </c>
      <c r="AD89" s="70">
        <f t="shared" si="803"/>
        <v>5.1040528031911256E-4</v>
      </c>
      <c r="AE89" s="70">
        <f t="shared" si="804"/>
        <v>0.12725363349705113</v>
      </c>
      <c r="AF89" s="70">
        <f t="shared" si="805"/>
        <v>5.3921832766860286E-2</v>
      </c>
      <c r="AG89" s="70">
        <f t="shared" si="806"/>
        <v>5.9623497232731432E-3</v>
      </c>
      <c r="AH89" s="70">
        <f t="shared" si="807"/>
        <v>1.1645405867958306E-3</v>
      </c>
      <c r="AI89" s="70">
        <f t="shared" si="808"/>
        <v>4.4627832946829356E-4</v>
      </c>
      <c r="AJ89" s="70">
        <f t="shared" si="809"/>
        <v>8.6788353784968391E-4</v>
      </c>
      <c r="AK89" s="70">
        <f t="shared" si="810"/>
        <v>1.9297708583469123E-3</v>
      </c>
      <c r="AL89" s="70">
        <f t="shared" si="811"/>
        <v>0.13538667337630672</v>
      </c>
      <c r="AM89" s="70">
        <f t="shared" si="812"/>
        <v>4.4617142553897475E-2</v>
      </c>
      <c r="AN89" s="70">
        <f t="shared" si="813"/>
        <v>5.3637749006137294E-3</v>
      </c>
      <c r="AO89" s="70">
        <f t="shared" si="814"/>
        <v>1.141410802092228E-2</v>
      </c>
      <c r="AP89" s="190"/>
      <c r="AQ89" s="66">
        <v>19</v>
      </c>
      <c r="AR89" s="66">
        <v>2023</v>
      </c>
      <c r="AS89" s="215">
        <f t="shared" si="659"/>
        <v>6.8992489012295968</v>
      </c>
      <c r="AT89" s="215">
        <f t="shared" si="660"/>
        <v>2.6037571018596322</v>
      </c>
      <c r="AU89" s="215">
        <f t="shared" si="661"/>
        <v>19.129681939005664</v>
      </c>
      <c r="AV89" s="215">
        <f t="shared" si="662"/>
        <v>0.76755799309715955</v>
      </c>
      <c r="AW89" s="215">
        <f t="shared" si="663"/>
        <v>8.5901272314311132</v>
      </c>
      <c r="AX89" s="215">
        <f t="shared" si="664"/>
        <v>5.1989881853304807</v>
      </c>
      <c r="AY89" s="215">
        <f t="shared" si="665"/>
        <v>1296.2055108009629</v>
      </c>
      <c r="AZ89" s="215">
        <f t="shared" si="666"/>
        <v>549.24778856323883</v>
      </c>
      <c r="BA89" s="215">
        <f t="shared" si="667"/>
        <v>60.732494281260237</v>
      </c>
      <c r="BB89" s="215">
        <f t="shared" si="668"/>
        <v>11.862010417102331</v>
      </c>
      <c r="BC89" s="215">
        <f t="shared" si="669"/>
        <v>4.545791063964038</v>
      </c>
      <c r="BD89" s="215">
        <f t="shared" si="670"/>
        <v>8.8402617165368795</v>
      </c>
      <c r="BE89" s="215">
        <f t="shared" si="671"/>
        <v>19.656645963121647</v>
      </c>
      <c r="BF89" s="215">
        <f t="shared" si="672"/>
        <v>1379.0486550110602</v>
      </c>
      <c r="BG89" s="215">
        <f t="shared" si="673"/>
        <v>454.47021405399965</v>
      </c>
      <c r="BH89" s="215">
        <f t="shared" si="674"/>
        <v>54.635411137651445</v>
      </c>
      <c r="BI89" s="215">
        <f t="shared" si="675"/>
        <v>116.26410430111434</v>
      </c>
      <c r="BJ89" s="194"/>
      <c r="BK89" s="66">
        <v>19</v>
      </c>
      <c r="BL89" s="66">
        <v>2023</v>
      </c>
      <c r="BM89" s="215">
        <f t="shared" si="815"/>
        <v>3.9458744031802397</v>
      </c>
      <c r="BN89" s="219">
        <f t="shared" si="816"/>
        <v>12.512274078223374</v>
      </c>
      <c r="BO89" s="219">
        <f t="shared" si="817"/>
        <v>31.713406938672634</v>
      </c>
      <c r="BP89" s="219">
        <f t="shared" si="818"/>
        <v>12.560938861183987</v>
      </c>
      <c r="BQ89" s="219">
        <f t="shared" si="819"/>
        <v>1.0548082860775985</v>
      </c>
      <c r="BR89" s="220">
        <f t="shared" si="820"/>
        <v>5.3023928441321191</v>
      </c>
      <c r="BS89" s="219">
        <f t="shared" si="821"/>
        <v>1.9109872061437116</v>
      </c>
      <c r="BT89" s="219">
        <f t="shared" si="822"/>
        <v>0.97876246926990662</v>
      </c>
      <c r="BU89" s="219">
        <f t="shared" si="823"/>
        <v>18.55495153250585</v>
      </c>
      <c r="BV89" s="219">
        <f t="shared" si="824"/>
        <v>9.0108432915906818</v>
      </c>
      <c r="BW89" s="219">
        <f t="shared" si="825"/>
        <v>14.430212009224311</v>
      </c>
      <c r="BX89" s="220">
        <f t="shared" si="826"/>
        <v>3.3924534987072694</v>
      </c>
      <c r="BY89" s="195"/>
      <c r="BZ89" s="192">
        <v>19</v>
      </c>
      <c r="CA89" s="66">
        <v>2023</v>
      </c>
      <c r="CB89" s="218">
        <f t="shared" si="827"/>
        <v>0.1979663132861863</v>
      </c>
      <c r="CC89" s="218">
        <f t="shared" si="828"/>
        <v>7.0017018946571044E-2</v>
      </c>
      <c r="CD89" s="73">
        <f t="shared" si="829"/>
        <v>0.49957466086440216</v>
      </c>
      <c r="CE89" s="73">
        <f t="shared" si="830"/>
        <v>0.37675181404598901</v>
      </c>
      <c r="CF89" s="73">
        <f t="shared" si="831"/>
        <v>0.21392742450031629</v>
      </c>
      <c r="CG89" s="73">
        <f t="shared" si="832"/>
        <v>6.6625044508741542</v>
      </c>
      <c r="CH89" s="73">
        <f t="shared" si="833"/>
        <v>2.7136821839981606</v>
      </c>
      <c r="CI89" s="73">
        <f t="shared" si="834"/>
        <v>0.1717672296274993</v>
      </c>
      <c r="CJ89" s="73">
        <f t="shared" si="835"/>
        <v>0.4912294090093538</v>
      </c>
      <c r="CK89" s="73">
        <f t="shared" si="836"/>
        <v>0.89324992539450976</v>
      </c>
      <c r="CL89" s="73">
        <f t="shared" si="837"/>
        <v>0.33889797965234797</v>
      </c>
      <c r="CM89" s="73">
        <f t="shared" si="838"/>
        <v>2.9308421388790786</v>
      </c>
      <c r="CN89" s="73">
        <f t="shared" si="839"/>
        <v>5.3414683753868752</v>
      </c>
      <c r="CO89" s="73">
        <f t="shared" si="840"/>
        <v>3.6847379226087198</v>
      </c>
      <c r="CP89" s="73">
        <f t="shared" si="841"/>
        <v>37.509498696502085</v>
      </c>
      <c r="CQ89" s="73">
        <f t="shared" si="842"/>
        <v>42.49271167265421</v>
      </c>
      <c r="CR89" s="73">
        <f t="shared" si="843"/>
        <v>0.67721015411643581</v>
      </c>
      <c r="CS89" s="73">
        <f t="shared" si="844"/>
        <v>3.0226664002587684</v>
      </c>
      <c r="CT89" s="73">
        <f t="shared" si="845"/>
        <v>1.2179546836012551</v>
      </c>
      <c r="CU89" s="73">
        <f t="shared" si="846"/>
        <v>0.53295260540467848</v>
      </c>
      <c r="CV89" s="73">
        <f t="shared" si="847"/>
        <v>8.0057169746016967</v>
      </c>
      <c r="CW89" s="73">
        <f t="shared" si="848"/>
        <v>3.7109805032922401</v>
      </c>
      <c r="CX89" s="73">
        <f t="shared" si="849"/>
        <v>5.8036959636488445</v>
      </c>
      <c r="CY89" s="73">
        <f t="shared" si="850"/>
        <v>1.333668210159451</v>
      </c>
      <c r="CZ89" s="190"/>
      <c r="DA89" s="66">
        <v>2023</v>
      </c>
      <c r="DB89" s="218">
        <f t="shared" si="676"/>
        <v>16.643007003726993</v>
      </c>
      <c r="DC89" s="218">
        <f t="shared" si="677"/>
        <v>3869.8045759506526</v>
      </c>
      <c r="DD89" s="73">
        <f t="shared" si="678"/>
        <v>3698.6288143923834</v>
      </c>
      <c r="DE89" s="73">
        <f t="shared" si="679"/>
        <v>1853.1755150281815</v>
      </c>
      <c r="DF89" s="73">
        <f t="shared" si="680"/>
        <v>68.021463918152364</v>
      </c>
      <c r="DG89" s="73">
        <f t="shared" si="681"/>
        <v>142.54307361617418</v>
      </c>
      <c r="DH89" s="72">
        <f t="shared" si="709"/>
        <v>0.96289073288775029</v>
      </c>
      <c r="DI89" s="72">
        <f t="shared" si="710"/>
        <v>0.96459422710759291</v>
      </c>
      <c r="DJ89" s="73">
        <f>SUM(AV70:AV89,BB70:BB89,BI70:BI89)</f>
        <v>6316.1954240493469</v>
      </c>
      <c r="DK89" s="73">
        <f>SUM(AV76:AV89,BB76:BB89,BI76:BI89)</f>
        <v>5924.1567785877342</v>
      </c>
      <c r="DL89" s="190"/>
    </row>
    <row r="90" spans="1:120" s="127" customFormat="1" x14ac:dyDescent="0.25">
      <c r="A90" s="190"/>
      <c r="B90" s="190" t="s">
        <v>576</v>
      </c>
      <c r="C90" s="182"/>
      <c r="D90" s="183"/>
      <c r="E90" s="183"/>
      <c r="F90" s="183"/>
      <c r="G90" s="183"/>
      <c r="H90" s="183"/>
      <c r="I90" s="183"/>
      <c r="J90" s="183"/>
      <c r="K90" s="183"/>
      <c r="L90" s="183"/>
      <c r="M90" s="183"/>
      <c r="N90" s="183"/>
      <c r="O90" s="183"/>
      <c r="P90" s="183"/>
      <c r="Q90" s="183"/>
      <c r="R90" s="183"/>
      <c r="S90" s="183"/>
      <c r="T90" s="183"/>
      <c r="U90" s="178"/>
      <c r="V90" s="178"/>
      <c r="W90" s="197" t="s">
        <v>579</v>
      </c>
      <c r="X90" s="190"/>
      <c r="Y90" s="190"/>
      <c r="Z90" s="190"/>
      <c r="AA90" s="190"/>
      <c r="AB90" s="190"/>
      <c r="AC90" s="190"/>
      <c r="AD90" s="190"/>
      <c r="AE90" s="190"/>
      <c r="AF90" s="190"/>
      <c r="AG90" s="190"/>
      <c r="AH90" s="190"/>
      <c r="AI90" s="190"/>
      <c r="AJ90" s="190"/>
      <c r="AK90" s="190"/>
      <c r="AL90" s="190"/>
      <c r="AM90" s="190"/>
      <c r="AN90" s="190"/>
      <c r="AO90" s="190"/>
      <c r="AP90" s="190"/>
      <c r="AQ90" s="193" t="s">
        <v>90</v>
      </c>
      <c r="AR90" s="25"/>
      <c r="AS90" s="213"/>
      <c r="AT90" s="213"/>
      <c r="AU90" s="213"/>
      <c r="AV90" s="213"/>
      <c r="AW90" s="213"/>
      <c r="AX90" s="213"/>
      <c r="AY90" s="213"/>
      <c r="AZ90" s="213"/>
      <c r="BA90" s="213"/>
      <c r="BB90" s="213"/>
      <c r="BC90" s="213"/>
      <c r="BD90" s="213"/>
      <c r="BE90" s="213"/>
      <c r="BF90" s="213"/>
      <c r="BG90" s="213"/>
      <c r="BH90" s="213"/>
      <c r="BI90" s="213"/>
      <c r="BJ90" s="25"/>
      <c r="BK90" s="25"/>
      <c r="BL90" s="25"/>
      <c r="BM90" s="348" t="s">
        <v>570</v>
      </c>
      <c r="BN90" s="349"/>
      <c r="BO90" s="349"/>
      <c r="BP90" s="349"/>
      <c r="BQ90" s="350" t="s">
        <v>570</v>
      </c>
      <c r="BR90" s="350"/>
      <c r="BS90" s="350"/>
      <c r="BT90" s="350"/>
      <c r="BU90" s="350"/>
      <c r="BV90" s="350"/>
      <c r="BW90" s="350"/>
      <c r="BX90" s="351"/>
      <c r="BY90" s="199"/>
      <c r="BZ90" s="25"/>
      <c r="CA90" s="25"/>
      <c r="CB90" s="350" t="s">
        <v>302</v>
      </c>
      <c r="CC90" s="350"/>
      <c r="CD90" s="350"/>
      <c r="CE90" s="350" t="s">
        <v>302</v>
      </c>
      <c r="CF90" s="350"/>
      <c r="CG90" s="350"/>
      <c r="CH90" s="350"/>
      <c r="CI90" s="350"/>
      <c r="CJ90" s="350"/>
      <c r="CK90" s="350"/>
      <c r="CL90" s="350"/>
      <c r="CM90" s="350" t="s">
        <v>302</v>
      </c>
      <c r="CN90" s="350"/>
      <c r="CO90" s="350"/>
      <c r="CP90" s="350"/>
      <c r="CQ90" s="350"/>
      <c r="CR90" s="350"/>
      <c r="CS90" s="350"/>
      <c r="CT90" s="350"/>
      <c r="CU90" s="350"/>
      <c r="CV90" s="350"/>
      <c r="CW90" s="350"/>
      <c r="CX90" s="350"/>
      <c r="CY90" s="350"/>
      <c r="CZ90" s="190"/>
      <c r="DA90" s="190" t="s">
        <v>100</v>
      </c>
      <c r="DB90" s="217"/>
      <c r="DC90" s="217"/>
      <c r="DD90" s="217"/>
      <c r="DE90" s="217"/>
      <c r="DF90" s="217"/>
      <c r="DG90" s="217"/>
      <c r="DH90" s="222"/>
      <c r="DI90" s="222"/>
      <c r="DJ90" s="217"/>
      <c r="DK90" s="217"/>
      <c r="DL90" s="190"/>
    </row>
    <row r="91" spans="1:120" x14ac:dyDescent="0.25">
      <c r="A91" s="190"/>
      <c r="B91" s="188">
        <v>2008</v>
      </c>
      <c r="C91" s="187"/>
      <c r="D91" s="181" t="s">
        <v>320</v>
      </c>
      <c r="E91" s="181" t="s">
        <v>319</v>
      </c>
      <c r="F91" s="181" t="s">
        <v>318</v>
      </c>
      <c r="G91" s="181" t="s">
        <v>317</v>
      </c>
      <c r="H91" s="181" t="s">
        <v>321</v>
      </c>
      <c r="I91" s="181" t="s">
        <v>322</v>
      </c>
      <c r="J91" s="181" t="s">
        <v>323</v>
      </c>
      <c r="K91" s="181" t="s">
        <v>324</v>
      </c>
      <c r="L91" s="181" t="s">
        <v>325</v>
      </c>
      <c r="M91" s="181" t="s">
        <v>326</v>
      </c>
      <c r="N91" s="181" t="s">
        <v>327</v>
      </c>
      <c r="O91" s="181" t="s">
        <v>328</v>
      </c>
      <c r="P91" s="181" t="s">
        <v>329</v>
      </c>
      <c r="Q91" s="181" t="s">
        <v>330</v>
      </c>
      <c r="R91" s="181" t="s">
        <v>331</v>
      </c>
      <c r="S91" s="181" t="s">
        <v>332</v>
      </c>
      <c r="T91" s="181" t="s">
        <v>333</v>
      </c>
      <c r="U91" s="181" t="s">
        <v>87</v>
      </c>
      <c r="V91" s="190"/>
      <c r="W91" s="66" t="s">
        <v>88</v>
      </c>
      <c r="X91" s="66" t="s">
        <v>89</v>
      </c>
      <c r="Y91" s="61" t="s">
        <v>320</v>
      </c>
      <c r="Z91" s="61" t="s">
        <v>319</v>
      </c>
      <c r="AA91" s="61" t="s">
        <v>318</v>
      </c>
      <c r="AB91" s="61" t="s">
        <v>317</v>
      </c>
      <c r="AC91" s="61" t="s">
        <v>321</v>
      </c>
      <c r="AD91" s="61" t="s">
        <v>322</v>
      </c>
      <c r="AE91" s="61" t="s">
        <v>323</v>
      </c>
      <c r="AF91" s="61" t="s">
        <v>324</v>
      </c>
      <c r="AG91" s="61" t="s">
        <v>325</v>
      </c>
      <c r="AH91" s="61" t="s">
        <v>326</v>
      </c>
      <c r="AI91" s="61" t="s">
        <v>327</v>
      </c>
      <c r="AJ91" s="61" t="s">
        <v>328</v>
      </c>
      <c r="AK91" s="61" t="s">
        <v>329</v>
      </c>
      <c r="AL91" s="61" t="s">
        <v>330</v>
      </c>
      <c r="AM91" s="61" t="s">
        <v>331</v>
      </c>
      <c r="AN91" s="61" t="s">
        <v>332</v>
      </c>
      <c r="AO91" s="61" t="s">
        <v>333</v>
      </c>
      <c r="AP91" s="190"/>
      <c r="AQ91" s="66" t="s">
        <v>88</v>
      </c>
      <c r="AR91" s="66" t="s">
        <v>89</v>
      </c>
      <c r="AS91" s="214" t="s">
        <v>320</v>
      </c>
      <c r="AT91" s="214" t="s">
        <v>319</v>
      </c>
      <c r="AU91" s="214" t="s">
        <v>318</v>
      </c>
      <c r="AV91" s="214" t="s">
        <v>317</v>
      </c>
      <c r="AW91" s="214" t="s">
        <v>321</v>
      </c>
      <c r="AX91" s="214" t="s">
        <v>322</v>
      </c>
      <c r="AY91" s="214" t="s">
        <v>323</v>
      </c>
      <c r="AZ91" s="214" t="s">
        <v>324</v>
      </c>
      <c r="BA91" s="214" t="s">
        <v>325</v>
      </c>
      <c r="BB91" s="214" t="s">
        <v>326</v>
      </c>
      <c r="BC91" s="214" t="s">
        <v>327</v>
      </c>
      <c r="BD91" s="214" t="s">
        <v>328</v>
      </c>
      <c r="BE91" s="214" t="s">
        <v>329</v>
      </c>
      <c r="BF91" s="214" t="s">
        <v>330</v>
      </c>
      <c r="BG91" s="214" t="s">
        <v>331</v>
      </c>
      <c r="BH91" s="214" t="s">
        <v>332</v>
      </c>
      <c r="BI91" s="214" t="s">
        <v>333</v>
      </c>
      <c r="BJ91" s="189"/>
      <c r="BK91" s="66" t="s">
        <v>88</v>
      </c>
      <c r="BL91" s="66" t="s">
        <v>89</v>
      </c>
      <c r="BM91" s="122" t="s">
        <v>627</v>
      </c>
      <c r="BN91" s="122" t="s">
        <v>715</v>
      </c>
      <c r="BO91" s="122" t="s">
        <v>628</v>
      </c>
      <c r="BP91" s="122" t="s">
        <v>629</v>
      </c>
      <c r="BQ91" s="122" t="s">
        <v>627</v>
      </c>
      <c r="BR91" s="122" t="s">
        <v>716</v>
      </c>
      <c r="BS91" s="122" t="s">
        <v>717</v>
      </c>
      <c r="BT91" s="122" t="s">
        <v>721</v>
      </c>
      <c r="BU91" s="122" t="s">
        <v>720</v>
      </c>
      <c r="BV91" s="122" t="s">
        <v>719</v>
      </c>
      <c r="BW91" s="122" t="s">
        <v>629</v>
      </c>
      <c r="BX91" s="122" t="s">
        <v>722</v>
      </c>
      <c r="BY91" s="182"/>
      <c r="BZ91" s="192" t="s">
        <v>88</v>
      </c>
      <c r="CA91" s="66" t="s">
        <v>89</v>
      </c>
      <c r="CB91" s="218" t="s">
        <v>124</v>
      </c>
      <c r="CC91" s="218" t="s">
        <v>630</v>
      </c>
      <c r="CD91" s="218" t="s">
        <v>570</v>
      </c>
      <c r="CE91" s="218" t="s">
        <v>124</v>
      </c>
      <c r="CF91" s="218" t="s">
        <v>630</v>
      </c>
      <c r="CG91" s="218" t="s">
        <v>631</v>
      </c>
      <c r="CH91" s="218" t="s">
        <v>632</v>
      </c>
      <c r="CI91" s="227" t="s">
        <v>624</v>
      </c>
      <c r="CJ91" s="227" t="s">
        <v>725</v>
      </c>
      <c r="CK91" s="227" t="s">
        <v>625</v>
      </c>
      <c r="CL91" s="227" t="s">
        <v>626</v>
      </c>
      <c r="CM91" s="218" t="s">
        <v>124</v>
      </c>
      <c r="CN91" s="218" t="s">
        <v>633</v>
      </c>
      <c r="CO91" s="218" t="s">
        <v>634</v>
      </c>
      <c r="CP91" s="218" t="s">
        <v>635</v>
      </c>
      <c r="CQ91" s="218" t="s">
        <v>632</v>
      </c>
      <c r="CR91" s="122" t="s">
        <v>624</v>
      </c>
      <c r="CS91" s="122" t="s">
        <v>726</v>
      </c>
      <c r="CT91" s="122" t="s">
        <v>727</v>
      </c>
      <c r="CU91" s="122" t="s">
        <v>637</v>
      </c>
      <c r="CV91" s="122" t="s">
        <v>638</v>
      </c>
      <c r="CW91" s="122" t="s">
        <v>728</v>
      </c>
      <c r="CX91" s="122" t="s">
        <v>626</v>
      </c>
      <c r="CY91" s="122" t="s">
        <v>729</v>
      </c>
      <c r="CZ91" s="190"/>
      <c r="DA91" s="67" t="s">
        <v>89</v>
      </c>
      <c r="DB91" s="219" t="s">
        <v>91</v>
      </c>
      <c r="DC91" s="219" t="s">
        <v>99</v>
      </c>
      <c r="DD91" s="215" t="s">
        <v>92</v>
      </c>
      <c r="DE91" s="215" t="s">
        <v>97</v>
      </c>
      <c r="DF91" s="215" t="s">
        <v>93</v>
      </c>
      <c r="DG91" s="215" t="s">
        <v>94</v>
      </c>
      <c r="DH91" s="223" t="s">
        <v>96</v>
      </c>
      <c r="DI91" s="223" t="s">
        <v>98</v>
      </c>
      <c r="DJ91" s="219" t="s">
        <v>95</v>
      </c>
      <c r="DK91" s="219" t="s">
        <v>102</v>
      </c>
      <c r="DL91" s="190"/>
      <c r="DM91" s="127"/>
      <c r="DN91" s="127"/>
      <c r="DO91" s="127"/>
      <c r="DP91" s="127"/>
    </row>
    <row r="92" spans="1:120" x14ac:dyDescent="0.25">
      <c r="A92" s="190"/>
      <c r="B92" s="188">
        <v>2008</v>
      </c>
      <c r="C92" s="61" t="s">
        <v>320</v>
      </c>
      <c r="D92" s="172">
        <f>pAsympt_NoCare_2007_2009</f>
        <v>0.63376008575865694</v>
      </c>
      <c r="E92" s="172">
        <f>pAsympt_NoCare_Asympt_InCare_2007_2009</f>
        <v>7.4027434914144222E-2</v>
      </c>
      <c r="F92" s="169">
        <v>0</v>
      </c>
      <c r="G92" s="170">
        <f>pAsympt_NoCare_Asympt_Dead_2007_2009</f>
        <v>1.818504441305463E-2</v>
      </c>
      <c r="H92" s="170">
        <f>pAsympt_NoCare_Int_NoCare_2007_2009</f>
        <v>0.2</v>
      </c>
      <c r="I92" s="172">
        <f>pAsympt_NoCare_Int_InCare_2007_2009</f>
        <v>7.4027434914144222E-2</v>
      </c>
      <c r="J92" s="171">
        <f>pAsympt_NoCare_Int_ART1_2007_2009</f>
        <v>0</v>
      </c>
      <c r="K92" s="169">
        <v>0</v>
      </c>
      <c r="L92" s="169">
        <v>0</v>
      </c>
      <c r="M92" s="169">
        <v>0</v>
      </c>
      <c r="N92" s="169">
        <v>0</v>
      </c>
      <c r="O92" s="169">
        <v>0</v>
      </c>
      <c r="P92" s="169">
        <v>0</v>
      </c>
      <c r="Q92" s="169">
        <v>0</v>
      </c>
      <c r="R92" s="169">
        <v>0</v>
      </c>
      <c r="S92" s="169">
        <v>0</v>
      </c>
      <c r="T92" s="169">
        <v>0</v>
      </c>
      <c r="U92" s="61">
        <f>SUM(D92:T92)</f>
        <v>0.99999999999999989</v>
      </c>
      <c r="V92" s="190"/>
      <c r="W92" s="66">
        <v>0</v>
      </c>
      <c r="X92" s="66">
        <v>2004</v>
      </c>
      <c r="Y92" s="69">
        <v>0</v>
      </c>
      <c r="Z92" s="69">
        <v>0</v>
      </c>
      <c r="AA92" s="69">
        <v>0</v>
      </c>
      <c r="AB92" s="69">
        <v>0</v>
      </c>
      <c r="AC92" s="69">
        <v>0</v>
      </c>
      <c r="AD92" s="69">
        <v>0</v>
      </c>
      <c r="AE92" s="69">
        <v>0</v>
      </c>
      <c r="AF92" s="69">
        <v>0</v>
      </c>
      <c r="AG92" s="69">
        <v>0</v>
      </c>
      <c r="AH92" s="69">
        <v>0</v>
      </c>
      <c r="AI92" s="69">
        <v>0</v>
      </c>
      <c r="AJ92" s="69">
        <v>0</v>
      </c>
      <c r="AK92" s="69">
        <v>0</v>
      </c>
      <c r="AL92" s="69">
        <v>0</v>
      </c>
      <c r="AM92" s="69">
        <v>0</v>
      </c>
      <c r="AN92" s="69">
        <v>0</v>
      </c>
      <c r="AO92" s="69">
        <v>0</v>
      </c>
      <c r="AP92" s="190"/>
      <c r="AQ92" s="66">
        <v>0</v>
      </c>
      <c r="AR92" s="66">
        <v>2004</v>
      </c>
      <c r="AS92" s="215">
        <f t="shared" ref="AS92:AS111" si="852">Inc_2008*Y92</f>
        <v>0</v>
      </c>
      <c r="AT92" s="215">
        <f t="shared" ref="AT92:AT111" si="853">Inc_2008*Z92</f>
        <v>0</v>
      </c>
      <c r="AU92" s="215">
        <f t="shared" ref="AU92:AU111" si="854">Inc_2008*AA92</f>
        <v>0</v>
      </c>
      <c r="AV92" s="215">
        <f t="shared" ref="AV92:AV111" si="855">Inc_2008*AB92</f>
        <v>0</v>
      </c>
      <c r="AW92" s="215">
        <f t="shared" ref="AW92:AW111" si="856">Inc_2008*AC92</f>
        <v>0</v>
      </c>
      <c r="AX92" s="215">
        <f t="shared" ref="AX92:AX111" si="857">Inc_2008*AD92</f>
        <v>0</v>
      </c>
      <c r="AY92" s="215">
        <f t="shared" ref="AY92:AY111" si="858">Inc_2008*AE92</f>
        <v>0</v>
      </c>
      <c r="AZ92" s="215">
        <f t="shared" ref="AZ92:AZ111" si="859">Inc_2008*AF92</f>
        <v>0</v>
      </c>
      <c r="BA92" s="215">
        <f t="shared" ref="BA92:BA111" si="860">Inc_2008*AG92</f>
        <v>0</v>
      </c>
      <c r="BB92" s="215">
        <f t="shared" ref="BB92:BB111" si="861">Inc_2008*AH92</f>
        <v>0</v>
      </c>
      <c r="BC92" s="215">
        <f t="shared" ref="BC92:BC111" si="862">Inc_2008*AI92</f>
        <v>0</v>
      </c>
      <c r="BD92" s="215">
        <f t="shared" ref="BD92:BD111" si="863">Inc_2008*AJ92</f>
        <v>0</v>
      </c>
      <c r="BE92" s="215">
        <f t="shared" ref="BE92:BE111" si="864">Inc_2008*AK92</f>
        <v>0</v>
      </c>
      <c r="BF92" s="215">
        <f t="shared" ref="BF92:BF111" si="865">Inc_2008*AL92</f>
        <v>0</v>
      </c>
      <c r="BG92" s="215">
        <f t="shared" ref="BG92:BG111" si="866">Inc_2008*AM92</f>
        <v>0</v>
      </c>
      <c r="BH92" s="215">
        <f t="shared" ref="BH92:BH111" si="867">Inc_2008*AN92</f>
        <v>0</v>
      </c>
      <c r="BI92" s="215">
        <f t="shared" ref="BI92:BI111" si="868">Inc_2008*AO92</f>
        <v>0</v>
      </c>
      <c r="BJ92" s="194"/>
      <c r="BK92" s="66">
        <v>0</v>
      </c>
      <c r="BL92" s="66">
        <v>2004</v>
      </c>
      <c r="BM92" s="215">
        <f>BA92</f>
        <v>0</v>
      </c>
      <c r="BN92" s="219">
        <v>0</v>
      </c>
      <c r="BO92" s="219">
        <v>0</v>
      </c>
      <c r="BP92" s="219">
        <v>0</v>
      </c>
      <c r="BQ92" s="219">
        <f>BH92</f>
        <v>0</v>
      </c>
      <c r="BR92" s="219">
        <v>0</v>
      </c>
      <c r="BS92" s="219">
        <v>0</v>
      </c>
      <c r="BT92" s="219">
        <v>0</v>
      </c>
      <c r="BU92" s="219">
        <v>0</v>
      </c>
      <c r="BV92" s="219">
        <v>0</v>
      </c>
      <c r="BW92" s="219">
        <v>0</v>
      </c>
      <c r="BX92" s="219">
        <v>0</v>
      </c>
      <c r="BY92" s="195"/>
      <c r="BZ92" s="192">
        <v>0</v>
      </c>
      <c r="CA92" s="66">
        <v>2004</v>
      </c>
      <c r="CB92" s="218">
        <v>0</v>
      </c>
      <c r="CC92" s="218">
        <v>0</v>
      </c>
      <c r="CD92" s="218">
        <v>0</v>
      </c>
      <c r="CE92" s="218">
        <v>0</v>
      </c>
      <c r="CF92" s="218">
        <v>0</v>
      </c>
      <c r="CG92" s="218">
        <v>0</v>
      </c>
      <c r="CH92" s="218">
        <v>0</v>
      </c>
      <c r="CI92" s="218">
        <v>0</v>
      </c>
      <c r="CJ92" s="218">
        <v>0</v>
      </c>
      <c r="CK92" s="218">
        <v>0</v>
      </c>
      <c r="CL92" s="218">
        <v>0</v>
      </c>
      <c r="CM92" s="218">
        <v>0</v>
      </c>
      <c r="CN92" s="218">
        <v>0</v>
      </c>
      <c r="CO92" s="218">
        <v>0</v>
      </c>
      <c r="CP92" s="218">
        <v>0</v>
      </c>
      <c r="CQ92" s="218">
        <v>0</v>
      </c>
      <c r="CR92" s="218">
        <v>0</v>
      </c>
      <c r="CS92" s="218">
        <v>0</v>
      </c>
      <c r="CT92" s="218">
        <v>0</v>
      </c>
      <c r="CU92" s="218">
        <v>0</v>
      </c>
      <c r="CV92" s="218">
        <v>0</v>
      </c>
      <c r="CW92" s="218">
        <v>0</v>
      </c>
      <c r="CX92" s="218">
        <v>0</v>
      </c>
      <c r="CY92" s="218">
        <v>0</v>
      </c>
      <c r="CZ92" s="190"/>
      <c r="DA92" s="67">
        <v>2004</v>
      </c>
      <c r="DB92" s="218">
        <f t="shared" ref="DB92:DB111" si="869">SUM(AT92,AX92,BD92)</f>
        <v>0</v>
      </c>
      <c r="DC92" s="218">
        <f t="shared" ref="DC92:DC111" si="870">SUM(AS92:AU92,AW92:BA92,BC92:BH92)</f>
        <v>0</v>
      </c>
      <c r="DD92" s="73">
        <f t="shared" ref="DD92:DD111" si="871">SUM(AY92:AZ92,BE92:BG92)</f>
        <v>0</v>
      </c>
      <c r="DE92" s="73">
        <f t="shared" ref="DE92:DE111" si="872">SUM(BE92:BG92)</f>
        <v>0</v>
      </c>
      <c r="DF92" s="73">
        <f t="shared" ref="DF92:DF111" si="873">SUM(BC92,BD92,BH92)</f>
        <v>0</v>
      </c>
      <c r="DG92" s="73">
        <f t="shared" ref="DG92:DG111" si="874">SUM(BC92,BD92,BH92,AW92,AX92,BA92)</f>
        <v>0</v>
      </c>
      <c r="DH92" s="72" t="e">
        <f>DD92/(DD92+DG92)</f>
        <v>#DIV/0!</v>
      </c>
      <c r="DI92" s="72" t="e">
        <f>DE92/(DE92+DF92)</f>
        <v>#DIV/0!</v>
      </c>
      <c r="DJ92" s="73">
        <f>SUM(AV92,BB92,BI92)</f>
        <v>0</v>
      </c>
      <c r="DK92" s="73">
        <v>0</v>
      </c>
      <c r="DL92" s="190"/>
    </row>
    <row r="93" spans="1:120" x14ac:dyDescent="0.25">
      <c r="A93" s="190"/>
      <c r="B93" s="188">
        <v>2008</v>
      </c>
      <c r="C93" s="61" t="s">
        <v>319</v>
      </c>
      <c r="D93" s="169">
        <v>0</v>
      </c>
      <c r="E93" s="172">
        <f>pAsympt_InCare_2004_2012</f>
        <v>0.43814160225821164</v>
      </c>
      <c r="F93" s="170">
        <f>pAsympt_InCare_Asympt_LTFU_2004_2012</f>
        <v>0.30679530417926698</v>
      </c>
      <c r="G93" s="170">
        <f>pAsympt_InCare_Asympt_Dead_2004_2012</f>
        <v>1.7063093562521336E-2</v>
      </c>
      <c r="H93" s="169">
        <v>0</v>
      </c>
      <c r="I93" s="170">
        <f>pAsympt_InCare_Int_InCare_2004_2012</f>
        <v>0.2</v>
      </c>
      <c r="J93" s="170">
        <f>pAsympt_InCare_Int_ART1_2004_2012</f>
        <v>3.7999999999999999E-2</v>
      </c>
      <c r="K93" s="169">
        <v>0</v>
      </c>
      <c r="L93" s="169">
        <v>0</v>
      </c>
      <c r="M93" s="169">
        <v>0</v>
      </c>
      <c r="N93" s="169">
        <v>0</v>
      </c>
      <c r="O93" s="169">
        <v>0</v>
      </c>
      <c r="P93" s="169">
        <v>0</v>
      </c>
      <c r="Q93" s="169">
        <v>0</v>
      </c>
      <c r="R93" s="169">
        <v>0</v>
      </c>
      <c r="S93" s="169">
        <v>0</v>
      </c>
      <c r="T93" s="169">
        <v>0</v>
      </c>
      <c r="U93" s="61">
        <f t="shared" ref="U93:U108" si="875">SUM(D93:T93)</f>
        <v>1</v>
      </c>
      <c r="V93" s="190"/>
      <c r="W93" s="66">
        <v>1</v>
      </c>
      <c r="X93" s="66">
        <v>2005</v>
      </c>
      <c r="Y93" s="69">
        <v>0</v>
      </c>
      <c r="Z93" s="69">
        <v>0</v>
      </c>
      <c r="AA93" s="69">
        <v>0</v>
      </c>
      <c r="AB93" s="69">
        <v>0</v>
      </c>
      <c r="AC93" s="69">
        <v>0</v>
      </c>
      <c r="AD93" s="69">
        <v>0</v>
      </c>
      <c r="AE93" s="69">
        <v>0</v>
      </c>
      <c r="AF93" s="69">
        <v>0</v>
      </c>
      <c r="AG93" s="69">
        <v>0</v>
      </c>
      <c r="AH93" s="69">
        <v>0</v>
      </c>
      <c r="AI93" s="69">
        <v>0</v>
      </c>
      <c r="AJ93" s="69">
        <v>0</v>
      </c>
      <c r="AK93" s="69">
        <v>0</v>
      </c>
      <c r="AL93" s="69">
        <v>0</v>
      </c>
      <c r="AM93" s="69">
        <v>0</v>
      </c>
      <c r="AN93" s="69">
        <v>0</v>
      </c>
      <c r="AO93" s="69">
        <v>0</v>
      </c>
      <c r="AP93" s="190"/>
      <c r="AQ93" s="66">
        <v>1</v>
      </c>
      <c r="AR93" s="66">
        <v>2005</v>
      </c>
      <c r="AS93" s="215">
        <f t="shared" si="852"/>
        <v>0</v>
      </c>
      <c r="AT93" s="215">
        <f t="shared" si="853"/>
        <v>0</v>
      </c>
      <c r="AU93" s="215">
        <f t="shared" si="854"/>
        <v>0</v>
      </c>
      <c r="AV93" s="215">
        <f t="shared" si="855"/>
        <v>0</v>
      </c>
      <c r="AW93" s="215">
        <f t="shared" si="856"/>
        <v>0</v>
      </c>
      <c r="AX93" s="215">
        <f t="shared" si="857"/>
        <v>0</v>
      </c>
      <c r="AY93" s="215">
        <f t="shared" si="858"/>
        <v>0</v>
      </c>
      <c r="AZ93" s="215">
        <f t="shared" si="859"/>
        <v>0</v>
      </c>
      <c r="BA93" s="215">
        <f t="shared" si="860"/>
        <v>0</v>
      </c>
      <c r="BB93" s="215">
        <f t="shared" si="861"/>
        <v>0</v>
      </c>
      <c r="BC93" s="215">
        <f t="shared" si="862"/>
        <v>0</v>
      </c>
      <c r="BD93" s="215">
        <f t="shared" si="863"/>
        <v>0</v>
      </c>
      <c r="BE93" s="215">
        <f t="shared" si="864"/>
        <v>0</v>
      </c>
      <c r="BF93" s="215">
        <f t="shared" si="865"/>
        <v>0</v>
      </c>
      <c r="BG93" s="215">
        <f t="shared" si="866"/>
        <v>0</v>
      </c>
      <c r="BH93" s="215">
        <f t="shared" si="867"/>
        <v>0</v>
      </c>
      <c r="BI93" s="215">
        <f t="shared" si="868"/>
        <v>0</v>
      </c>
      <c r="BJ93" s="194"/>
      <c r="BK93" s="66">
        <v>1</v>
      </c>
      <c r="BL93" s="66">
        <v>2005</v>
      </c>
      <c r="BM93" s="215">
        <f t="shared" ref="BM93:BM100" si="876">(AX92*pInt_InCare_Int_LTFU_2004_2012)+(BM92*pInt_LTFU_2004_2012)</f>
        <v>0</v>
      </c>
      <c r="BN93" s="219">
        <f t="shared" ref="BN93:BN100" si="877">(AU92*pAsympt_LTFU_Int_LTFU_2004_2012)+(BN92*pInt_LTFU_2004_2012)</f>
        <v>0</v>
      </c>
      <c r="BO93" s="219">
        <f t="shared" ref="BO93:BO100" si="878">(AY92*pInt_ART1_Int_LTFU_2004_2012)+(BO92*pInt_LTFU_2004_2012)</f>
        <v>0</v>
      </c>
      <c r="BP93" s="219">
        <v>0</v>
      </c>
      <c r="BQ93" s="219">
        <f t="shared" ref="BQ93:BQ100" si="879">(BD92*pAIDS_InCare_AIDS_LTFU_2004_2012)+(BQ92*pAIDS_LTFU_2004_2012)</f>
        <v>0</v>
      </c>
      <c r="BR93" s="220">
        <f>(BN92*pInt_LTFU_AIDS_LTFU_2004_2012)</f>
        <v>0</v>
      </c>
      <c r="BS93" s="219">
        <f>(BM92*pInt_LTFU_AIDS_LTFU_2004_2012)</f>
        <v>0</v>
      </c>
      <c r="BT93" s="219">
        <f>(BE92*pAIDS_ART1ear_AIDS_LTFU_2004_2012)</f>
        <v>0</v>
      </c>
      <c r="BU93" s="219">
        <f>(BF92*pAIDS_ART1late_AIDS_LTFU_2004_2012)</f>
        <v>0</v>
      </c>
      <c r="BV93" s="219">
        <f>(BO92*pInt_LTFU_AIDS_LTFU_2004_2012)</f>
        <v>0</v>
      </c>
      <c r="BW93" s="219">
        <f>(BG92*pAIDS_ART2_AIDS_LTFU_2004_2012)</f>
        <v>0</v>
      </c>
      <c r="BX93" s="220">
        <f>(BP92*pInt_LTFU_AIDS_LTFU_2004_2012)</f>
        <v>0</v>
      </c>
      <c r="BY93" s="195"/>
      <c r="BZ93" s="192">
        <v>1</v>
      </c>
      <c r="CA93" s="66">
        <v>2005</v>
      </c>
      <c r="CB93" s="218">
        <f>pAsympt_NoCare_Asympt_Dead_2004_2006*AS92</f>
        <v>0</v>
      </c>
      <c r="CC93" s="218">
        <f t="shared" ref="CC93:CC100" si="880">pAsympt_InCare_Asympt_Dead_2004_2012*AT92</f>
        <v>0</v>
      </c>
      <c r="CD93" s="73">
        <f t="shared" ref="CD93:CD100" si="881">pAsympt_LTFU_Asympt_Dead_2004_2012*AU92</f>
        <v>0</v>
      </c>
      <c r="CE93" s="73">
        <f>pInt_NoCare_Int_Dead_2004_2006*AW92</f>
        <v>0</v>
      </c>
      <c r="CF93" s="73">
        <f t="shared" ref="CF93:CF100" si="882">pInt_InCare_Int_Dead_2004_2012*AX92</f>
        <v>0</v>
      </c>
      <c r="CG93" s="73">
        <f t="shared" ref="CG93:CG100" si="883">pInt_ART1_Int_Dead_2004_2012*AY92</f>
        <v>0</v>
      </c>
      <c r="CH93" s="73">
        <f t="shared" ref="CH93:CH100" si="884">pInt_ART2_Int_Dead_2004_2012*AZ92</f>
        <v>0</v>
      </c>
      <c r="CI93" s="73">
        <f t="shared" ref="CI93:CI100" si="885">(BM92*pInt_LTFU_Int_Dead_2004_2012)</f>
        <v>0</v>
      </c>
      <c r="CJ93" s="73">
        <f t="shared" ref="CJ93:CJ100" si="886">(BN92*pInt_LTFU_Int_Dead_2004_2012)</f>
        <v>0</v>
      </c>
      <c r="CK93" s="73">
        <f t="shared" ref="CK93:CK100" si="887">(BO92*pInt_LTFU_Int_Dead_2004_2012)</f>
        <v>0</v>
      </c>
      <c r="CL93" s="73">
        <f t="shared" ref="CL93:CL100" si="888">(BP92*pInt_LTFU_Int_Dead_2004_2012)</f>
        <v>0</v>
      </c>
      <c r="CM93" s="73">
        <f t="shared" ref="CM93:CM94" si="889">pAIDS_NoCare_AIDS_Dead_2004_2006*BC92</f>
        <v>0</v>
      </c>
      <c r="CN93" s="73">
        <f t="shared" ref="CN93:CN100" si="890">pAIDS_InCare_AIDS_Dead_2004_2012*BD92</f>
        <v>0</v>
      </c>
      <c r="CO93" s="73">
        <f t="shared" ref="CO93:CO100" si="891">pAIDS_ART1ear_AIDS_Dead_2004_2012*BE92</f>
        <v>0</v>
      </c>
      <c r="CP93" s="73">
        <f t="shared" ref="CP93:CP100" si="892">pAIDS_ART1late_AIDS_Dead_2004_2012*BF92</f>
        <v>0</v>
      </c>
      <c r="CQ93" s="73">
        <f t="shared" ref="CQ93:CQ100" si="893">pAIDS_ART2_AIDS_Dead_2004_2012*BG92</f>
        <v>0</v>
      </c>
      <c r="CR93" s="73">
        <f t="shared" ref="CR93:CR100" si="894">(BQ92*pAIDS_LTFU_AIDS_Dead_2004_2012)</f>
        <v>0</v>
      </c>
      <c r="CS93" s="73">
        <f t="shared" ref="CS93:CS100" si="895">(BR92*pAIDS_LTFU_AIDS_Dead_2004_2012)</f>
        <v>0</v>
      </c>
      <c r="CT93" s="73">
        <f t="shared" ref="CT93:CT100" si="896">(BS92*pAIDS_LTFU_AIDS_Dead_2004_2012)</f>
        <v>0</v>
      </c>
      <c r="CU93" s="73">
        <f t="shared" ref="CU93:CU100" si="897">(BT92*pAIDS_LTFU_AIDS_Dead_2004_2012)</f>
        <v>0</v>
      </c>
      <c r="CV93" s="73">
        <f t="shared" ref="CV93:CV100" si="898">(BU92*pAIDS_LTFU_AIDS_Dead_2004_2012)</f>
        <v>0</v>
      </c>
      <c r="CW93" s="73">
        <f t="shared" ref="CW93:CW100" si="899">(BV92*pAIDS_LTFU_AIDS_Dead_2004_2012)</f>
        <v>0</v>
      </c>
      <c r="CX93" s="73">
        <f t="shared" ref="CX93:CX100" si="900">(BW92*pAIDS_LTFU_AIDS_Dead_2004_2012)</f>
        <v>0</v>
      </c>
      <c r="CY93" s="73">
        <f t="shared" ref="CY93:CY100" si="901">(BX92*pAIDS_LTFU_AIDS_Dead_2004_2012)</f>
        <v>0</v>
      </c>
      <c r="CZ93" s="190"/>
      <c r="DA93" s="67">
        <v>2005</v>
      </c>
      <c r="DB93" s="218">
        <f t="shared" si="869"/>
        <v>0</v>
      </c>
      <c r="DC93" s="218">
        <f t="shared" si="870"/>
        <v>0</v>
      </c>
      <c r="DD93" s="73">
        <f t="shared" si="871"/>
        <v>0</v>
      </c>
      <c r="DE93" s="73">
        <f t="shared" si="872"/>
        <v>0</v>
      </c>
      <c r="DF93" s="73">
        <f t="shared" si="873"/>
        <v>0</v>
      </c>
      <c r="DG93" s="73">
        <f t="shared" si="874"/>
        <v>0</v>
      </c>
      <c r="DH93" s="72" t="e">
        <f t="shared" ref="DH93:DH111" si="902">DD93/(DD93+DG93)</f>
        <v>#DIV/0!</v>
      </c>
      <c r="DI93" s="72" t="e">
        <f t="shared" ref="DI93:DI111" si="903">DE93/(DE93+DF93)</f>
        <v>#DIV/0!</v>
      </c>
      <c r="DJ93" s="73">
        <f>SUM(AV92:AV93,BB92:BB93,BI92:BI93)</f>
        <v>0</v>
      </c>
      <c r="DK93" s="73">
        <v>0</v>
      </c>
      <c r="DL93" s="190"/>
    </row>
    <row r="94" spans="1:120" x14ac:dyDescent="0.25">
      <c r="A94" s="190"/>
      <c r="B94" s="188">
        <v>2008</v>
      </c>
      <c r="C94" s="61" t="s">
        <v>318</v>
      </c>
      <c r="D94" s="169">
        <v>0</v>
      </c>
      <c r="E94" s="169">
        <v>0</v>
      </c>
      <c r="F94" s="172">
        <f>pAsympt_LTFU_2004_2012</f>
        <v>0.66061495558694538</v>
      </c>
      <c r="G94" s="170">
        <f>pAsympt_LTFU_Asympt_Dead_2004_2012</f>
        <v>1.818504441305463E-2</v>
      </c>
      <c r="H94" s="169">
        <v>0</v>
      </c>
      <c r="I94" s="169">
        <v>0</v>
      </c>
      <c r="J94" s="171">
        <f>pAsympt_LTFU_Int_ART1_2004_2012</f>
        <v>0.1212</v>
      </c>
      <c r="K94" s="169">
        <v>0</v>
      </c>
      <c r="L94" s="170">
        <f>pAsympt_LTFU_Int_LTFU_2004_2012</f>
        <v>0.2</v>
      </c>
      <c r="M94" s="169">
        <v>0</v>
      </c>
      <c r="N94" s="169">
        <v>0</v>
      </c>
      <c r="O94" s="169">
        <v>0</v>
      </c>
      <c r="P94" s="169">
        <v>0</v>
      </c>
      <c r="Q94" s="169">
        <v>0</v>
      </c>
      <c r="R94" s="169">
        <v>0</v>
      </c>
      <c r="S94" s="169">
        <v>0</v>
      </c>
      <c r="T94" s="169">
        <v>0</v>
      </c>
      <c r="U94" s="61">
        <f t="shared" si="875"/>
        <v>1</v>
      </c>
      <c r="V94" s="190"/>
      <c r="W94" s="66">
        <v>2</v>
      </c>
      <c r="X94" s="66">
        <v>2006</v>
      </c>
      <c r="Y94" s="69">
        <v>0</v>
      </c>
      <c r="Z94" s="69">
        <v>0</v>
      </c>
      <c r="AA94" s="69">
        <v>0</v>
      </c>
      <c r="AB94" s="69">
        <v>0</v>
      </c>
      <c r="AC94" s="69">
        <v>0</v>
      </c>
      <c r="AD94" s="69">
        <v>0</v>
      </c>
      <c r="AE94" s="69">
        <v>0</v>
      </c>
      <c r="AF94" s="69">
        <v>0</v>
      </c>
      <c r="AG94" s="69">
        <v>0</v>
      </c>
      <c r="AH94" s="69">
        <v>0</v>
      </c>
      <c r="AI94" s="69">
        <v>0</v>
      </c>
      <c r="AJ94" s="69">
        <v>0</v>
      </c>
      <c r="AK94" s="69">
        <v>0</v>
      </c>
      <c r="AL94" s="69">
        <v>0</v>
      </c>
      <c r="AM94" s="69">
        <v>0</v>
      </c>
      <c r="AN94" s="69">
        <v>0</v>
      </c>
      <c r="AO94" s="69">
        <v>0</v>
      </c>
      <c r="AP94" s="190"/>
      <c r="AQ94" s="66">
        <v>2</v>
      </c>
      <c r="AR94" s="66">
        <v>2006</v>
      </c>
      <c r="AS94" s="215">
        <f t="shared" si="852"/>
        <v>0</v>
      </c>
      <c r="AT94" s="215">
        <f t="shared" si="853"/>
        <v>0</v>
      </c>
      <c r="AU94" s="215">
        <f t="shared" si="854"/>
        <v>0</v>
      </c>
      <c r="AV94" s="215">
        <f t="shared" si="855"/>
        <v>0</v>
      </c>
      <c r="AW94" s="215">
        <f t="shared" si="856"/>
        <v>0</v>
      </c>
      <c r="AX94" s="215">
        <f t="shared" si="857"/>
        <v>0</v>
      </c>
      <c r="AY94" s="215">
        <f t="shared" si="858"/>
        <v>0</v>
      </c>
      <c r="AZ94" s="215">
        <f t="shared" si="859"/>
        <v>0</v>
      </c>
      <c r="BA94" s="215">
        <f t="shared" si="860"/>
        <v>0</v>
      </c>
      <c r="BB94" s="215">
        <f t="shared" si="861"/>
        <v>0</v>
      </c>
      <c r="BC94" s="215">
        <f t="shared" si="862"/>
        <v>0</v>
      </c>
      <c r="BD94" s="215">
        <f t="shared" si="863"/>
        <v>0</v>
      </c>
      <c r="BE94" s="215">
        <f t="shared" si="864"/>
        <v>0</v>
      </c>
      <c r="BF94" s="215">
        <f t="shared" si="865"/>
        <v>0</v>
      </c>
      <c r="BG94" s="215">
        <f t="shared" si="866"/>
        <v>0</v>
      </c>
      <c r="BH94" s="215">
        <f t="shared" si="867"/>
        <v>0</v>
      </c>
      <c r="BI94" s="215">
        <f t="shared" si="868"/>
        <v>0</v>
      </c>
      <c r="BJ94" s="194"/>
      <c r="BK94" s="66">
        <v>2</v>
      </c>
      <c r="BL94" s="66">
        <v>2006</v>
      </c>
      <c r="BM94" s="215">
        <f t="shared" si="876"/>
        <v>0</v>
      </c>
      <c r="BN94" s="219">
        <f t="shared" si="877"/>
        <v>0</v>
      </c>
      <c r="BO94" s="219">
        <f t="shared" si="878"/>
        <v>0</v>
      </c>
      <c r="BP94" s="219">
        <f t="shared" ref="BP94:BP100" si="904">(AZ93*pInt_ART2_Int_LTFU_2004_2012)+(BP93*pInt_LTFU_2004_2012)</f>
        <v>0</v>
      </c>
      <c r="BQ94" s="219">
        <f t="shared" si="879"/>
        <v>0</v>
      </c>
      <c r="BR94" s="220">
        <f t="shared" ref="BR94:BR100" si="905">(BN93*pInt_LTFU_AIDS_LTFU_2004_2012)+(BR93*pAIDS_LTFU_2004_2012)</f>
        <v>0</v>
      </c>
      <c r="BS94" s="219">
        <f t="shared" ref="BS94:BS100" si="906">(BM93*pInt_LTFU_AIDS_LTFU_2004_2012)+(BS93*pAIDS_LTFU_2004_2012)</f>
        <v>0</v>
      </c>
      <c r="BT94" s="219">
        <f t="shared" ref="BT94:BT100" si="907">(BE93*pAIDS_ART1ear_AIDS_LTFU_2004_2012)+(BT93*pAIDS_LTFU_2004_2012)</f>
        <v>0</v>
      </c>
      <c r="BU94" s="219">
        <f t="shared" ref="BU94:BU100" si="908">(BF93*pAIDS_ART1late_AIDS_LTFU_2004_2012)+(BU93*pAIDS_LTFU_2004_2012)</f>
        <v>0</v>
      </c>
      <c r="BV94" s="219">
        <f t="shared" ref="BV94:BV100" si="909">(BO93*pInt_LTFU_AIDS_LTFU_2004_2012)+(BV93*pAIDS_LTFU_2004_2012)</f>
        <v>0</v>
      </c>
      <c r="BW94" s="219">
        <f t="shared" ref="BW94:BW100" si="910">(BG93*pAIDS_ART2_AIDS_LTFU_2004_2012)+(BW93*pAIDS_LTFU_2004_2012)</f>
        <v>0</v>
      </c>
      <c r="BX94" s="220">
        <f t="shared" ref="BX94:BX100" si="911">(BP93*pInt_LTFU_AIDS_LTFU_2004_2012)+(BX93*pAIDS_LTFU_2004_2012)</f>
        <v>0</v>
      </c>
      <c r="BY94" s="195"/>
      <c r="BZ94" s="192">
        <v>2</v>
      </c>
      <c r="CA94" s="66">
        <v>2006</v>
      </c>
      <c r="CB94" s="218">
        <f>pAsympt_NoCare_Asympt_Dead_2004_2006*AS93</f>
        <v>0</v>
      </c>
      <c r="CC94" s="218">
        <f t="shared" si="880"/>
        <v>0</v>
      </c>
      <c r="CD94" s="73">
        <f t="shared" si="881"/>
        <v>0</v>
      </c>
      <c r="CE94" s="73">
        <f>pInt_NoCare_Int_Dead_2004_2006*AW93</f>
        <v>0</v>
      </c>
      <c r="CF94" s="73">
        <f t="shared" si="882"/>
        <v>0</v>
      </c>
      <c r="CG94" s="73">
        <f t="shared" si="883"/>
        <v>0</v>
      </c>
      <c r="CH94" s="73">
        <f t="shared" si="884"/>
        <v>0</v>
      </c>
      <c r="CI94" s="73">
        <f t="shared" si="885"/>
        <v>0</v>
      </c>
      <c r="CJ94" s="73">
        <f t="shared" si="886"/>
        <v>0</v>
      </c>
      <c r="CK94" s="73">
        <f t="shared" si="887"/>
        <v>0</v>
      </c>
      <c r="CL94" s="73">
        <f t="shared" si="888"/>
        <v>0</v>
      </c>
      <c r="CM94" s="73">
        <f t="shared" si="889"/>
        <v>0</v>
      </c>
      <c r="CN94" s="73">
        <f t="shared" si="890"/>
        <v>0</v>
      </c>
      <c r="CO94" s="73">
        <f t="shared" si="891"/>
        <v>0</v>
      </c>
      <c r="CP94" s="73">
        <f t="shared" si="892"/>
        <v>0</v>
      </c>
      <c r="CQ94" s="73">
        <f t="shared" si="893"/>
        <v>0</v>
      </c>
      <c r="CR94" s="73">
        <f t="shared" si="894"/>
        <v>0</v>
      </c>
      <c r="CS94" s="73">
        <f t="shared" si="895"/>
        <v>0</v>
      </c>
      <c r="CT94" s="73">
        <f t="shared" si="896"/>
        <v>0</v>
      </c>
      <c r="CU94" s="73">
        <f t="shared" si="897"/>
        <v>0</v>
      </c>
      <c r="CV94" s="73">
        <f t="shared" si="898"/>
        <v>0</v>
      </c>
      <c r="CW94" s="73">
        <f t="shared" si="899"/>
        <v>0</v>
      </c>
      <c r="CX94" s="73">
        <f t="shared" si="900"/>
        <v>0</v>
      </c>
      <c r="CY94" s="73">
        <f t="shared" si="901"/>
        <v>0</v>
      </c>
      <c r="CZ94" s="190"/>
      <c r="DA94" s="66">
        <v>2006</v>
      </c>
      <c r="DB94" s="218">
        <f t="shared" si="869"/>
        <v>0</v>
      </c>
      <c r="DC94" s="218">
        <f t="shared" si="870"/>
        <v>0</v>
      </c>
      <c r="DD94" s="73">
        <f t="shared" si="871"/>
        <v>0</v>
      </c>
      <c r="DE94" s="73">
        <f t="shared" si="872"/>
        <v>0</v>
      </c>
      <c r="DF94" s="73">
        <f t="shared" si="873"/>
        <v>0</v>
      </c>
      <c r="DG94" s="73">
        <f t="shared" si="874"/>
        <v>0</v>
      </c>
      <c r="DH94" s="72" t="e">
        <f t="shared" si="902"/>
        <v>#DIV/0!</v>
      </c>
      <c r="DI94" s="72" t="e">
        <f t="shared" si="903"/>
        <v>#DIV/0!</v>
      </c>
      <c r="DJ94" s="73">
        <f>SUM(AV92:AV94,BB92:BB94,BI92:BI94)</f>
        <v>0</v>
      </c>
      <c r="DK94" s="73">
        <v>0</v>
      </c>
      <c r="DL94" s="190"/>
    </row>
    <row r="95" spans="1:120" x14ac:dyDescent="0.25">
      <c r="A95" s="190"/>
      <c r="B95" s="188">
        <v>2008</v>
      </c>
      <c r="C95" s="61" t="s">
        <v>317</v>
      </c>
      <c r="D95" s="169">
        <v>0</v>
      </c>
      <c r="E95" s="169">
        <v>0</v>
      </c>
      <c r="F95" s="169">
        <v>0</v>
      </c>
      <c r="G95" s="169">
        <v>0</v>
      </c>
      <c r="H95" s="169">
        <v>0</v>
      </c>
      <c r="I95" s="169">
        <v>0</v>
      </c>
      <c r="J95" s="169">
        <v>0</v>
      </c>
      <c r="K95" s="169">
        <v>0</v>
      </c>
      <c r="L95" s="169">
        <v>0</v>
      </c>
      <c r="M95" s="169">
        <v>0</v>
      </c>
      <c r="N95" s="169">
        <v>0</v>
      </c>
      <c r="O95" s="169">
        <v>0</v>
      </c>
      <c r="P95" s="169">
        <v>0</v>
      </c>
      <c r="Q95" s="169">
        <v>0</v>
      </c>
      <c r="R95" s="169">
        <v>0</v>
      </c>
      <c r="S95" s="169">
        <v>0</v>
      </c>
      <c r="T95" s="169">
        <v>0</v>
      </c>
      <c r="U95" s="61">
        <f t="shared" si="875"/>
        <v>0</v>
      </c>
      <c r="V95" s="190"/>
      <c r="W95" s="66">
        <v>3</v>
      </c>
      <c r="X95" s="66">
        <v>2007</v>
      </c>
      <c r="Y95" s="69">
        <v>0</v>
      </c>
      <c r="Z95" s="69">
        <v>0</v>
      </c>
      <c r="AA95" s="69">
        <v>0</v>
      </c>
      <c r="AB95" s="69">
        <v>0</v>
      </c>
      <c r="AC95" s="69">
        <v>0</v>
      </c>
      <c r="AD95" s="69">
        <v>0</v>
      </c>
      <c r="AE95" s="69">
        <v>0</v>
      </c>
      <c r="AF95" s="69">
        <v>0</v>
      </c>
      <c r="AG95" s="69">
        <v>0</v>
      </c>
      <c r="AH95" s="69">
        <v>0</v>
      </c>
      <c r="AI95" s="69">
        <v>0</v>
      </c>
      <c r="AJ95" s="69">
        <v>0</v>
      </c>
      <c r="AK95" s="69">
        <v>0</v>
      </c>
      <c r="AL95" s="69">
        <v>0</v>
      </c>
      <c r="AM95" s="69">
        <v>0</v>
      </c>
      <c r="AN95" s="69">
        <v>0</v>
      </c>
      <c r="AO95" s="69">
        <v>0</v>
      </c>
      <c r="AP95" s="190"/>
      <c r="AQ95" s="66">
        <v>3</v>
      </c>
      <c r="AR95" s="66">
        <v>2007</v>
      </c>
      <c r="AS95" s="215">
        <f t="shared" si="852"/>
        <v>0</v>
      </c>
      <c r="AT95" s="215">
        <f t="shared" si="853"/>
        <v>0</v>
      </c>
      <c r="AU95" s="215">
        <f t="shared" si="854"/>
        <v>0</v>
      </c>
      <c r="AV95" s="215">
        <f t="shared" si="855"/>
        <v>0</v>
      </c>
      <c r="AW95" s="215">
        <f t="shared" si="856"/>
        <v>0</v>
      </c>
      <c r="AX95" s="215">
        <f t="shared" si="857"/>
        <v>0</v>
      </c>
      <c r="AY95" s="215">
        <f t="shared" si="858"/>
        <v>0</v>
      </c>
      <c r="AZ95" s="215">
        <f t="shared" si="859"/>
        <v>0</v>
      </c>
      <c r="BA95" s="215">
        <f t="shared" si="860"/>
        <v>0</v>
      </c>
      <c r="BB95" s="215">
        <f t="shared" si="861"/>
        <v>0</v>
      </c>
      <c r="BC95" s="215">
        <f t="shared" si="862"/>
        <v>0</v>
      </c>
      <c r="BD95" s="215">
        <f t="shared" si="863"/>
        <v>0</v>
      </c>
      <c r="BE95" s="215">
        <f t="shared" si="864"/>
        <v>0</v>
      </c>
      <c r="BF95" s="215">
        <f t="shared" si="865"/>
        <v>0</v>
      </c>
      <c r="BG95" s="215">
        <f t="shared" si="866"/>
        <v>0</v>
      </c>
      <c r="BH95" s="215">
        <f t="shared" si="867"/>
        <v>0</v>
      </c>
      <c r="BI95" s="215">
        <f t="shared" si="868"/>
        <v>0</v>
      </c>
      <c r="BJ95" s="194"/>
      <c r="BK95" s="66">
        <v>3</v>
      </c>
      <c r="BL95" s="66">
        <v>2007</v>
      </c>
      <c r="BM95" s="215">
        <f t="shared" si="876"/>
        <v>0</v>
      </c>
      <c r="BN95" s="219">
        <f t="shared" si="877"/>
        <v>0</v>
      </c>
      <c r="BO95" s="219">
        <f t="shared" si="878"/>
        <v>0</v>
      </c>
      <c r="BP95" s="219">
        <f t="shared" si="904"/>
        <v>0</v>
      </c>
      <c r="BQ95" s="219">
        <f t="shared" si="879"/>
        <v>0</v>
      </c>
      <c r="BR95" s="220">
        <f t="shared" si="905"/>
        <v>0</v>
      </c>
      <c r="BS95" s="219">
        <f t="shared" si="906"/>
        <v>0</v>
      </c>
      <c r="BT95" s="219">
        <f t="shared" si="907"/>
        <v>0</v>
      </c>
      <c r="BU95" s="219">
        <f t="shared" si="908"/>
        <v>0</v>
      </c>
      <c r="BV95" s="219">
        <f t="shared" si="909"/>
        <v>0</v>
      </c>
      <c r="BW95" s="219">
        <f t="shared" si="910"/>
        <v>0</v>
      </c>
      <c r="BX95" s="220">
        <f t="shared" si="911"/>
        <v>0</v>
      </c>
      <c r="BY95" s="195"/>
      <c r="BZ95" s="192">
        <v>3</v>
      </c>
      <c r="CA95" s="66">
        <v>2007</v>
      </c>
      <c r="CB95" s="218">
        <f>pAsympt_NoCare_Asympt_Dead_2007_2009*AS94</f>
        <v>0</v>
      </c>
      <c r="CC95" s="218">
        <f t="shared" si="880"/>
        <v>0</v>
      </c>
      <c r="CD95" s="73">
        <f t="shared" si="881"/>
        <v>0</v>
      </c>
      <c r="CE95" s="73">
        <f>pInt_NoCare_Int_Dead_2007_2009*AW94</f>
        <v>0</v>
      </c>
      <c r="CF95" s="73">
        <f t="shared" si="882"/>
        <v>0</v>
      </c>
      <c r="CG95" s="73">
        <f t="shared" si="883"/>
        <v>0</v>
      </c>
      <c r="CH95" s="73">
        <f t="shared" si="884"/>
        <v>0</v>
      </c>
      <c r="CI95" s="73">
        <f t="shared" si="885"/>
        <v>0</v>
      </c>
      <c r="CJ95" s="73">
        <f t="shared" si="886"/>
        <v>0</v>
      </c>
      <c r="CK95" s="73">
        <f t="shared" si="887"/>
        <v>0</v>
      </c>
      <c r="CL95" s="73">
        <f t="shared" si="888"/>
        <v>0</v>
      </c>
      <c r="CM95" s="73">
        <f>pAIDS_NoCare_AIDS_Dead_2007_2009*BC94</f>
        <v>0</v>
      </c>
      <c r="CN95" s="73">
        <f t="shared" si="890"/>
        <v>0</v>
      </c>
      <c r="CO95" s="73">
        <f t="shared" si="891"/>
        <v>0</v>
      </c>
      <c r="CP95" s="73">
        <f t="shared" si="892"/>
        <v>0</v>
      </c>
      <c r="CQ95" s="73">
        <f t="shared" si="893"/>
        <v>0</v>
      </c>
      <c r="CR95" s="73">
        <f t="shared" si="894"/>
        <v>0</v>
      </c>
      <c r="CS95" s="73">
        <f t="shared" si="895"/>
        <v>0</v>
      </c>
      <c r="CT95" s="73">
        <f t="shared" si="896"/>
        <v>0</v>
      </c>
      <c r="CU95" s="73">
        <f t="shared" si="897"/>
        <v>0</v>
      </c>
      <c r="CV95" s="73">
        <f t="shared" si="898"/>
        <v>0</v>
      </c>
      <c r="CW95" s="73">
        <f t="shared" si="899"/>
        <v>0</v>
      </c>
      <c r="CX95" s="73">
        <f t="shared" si="900"/>
        <v>0</v>
      </c>
      <c r="CY95" s="73">
        <f t="shared" si="901"/>
        <v>0</v>
      </c>
      <c r="CZ95" s="190"/>
      <c r="DA95" s="66">
        <v>2007</v>
      </c>
      <c r="DB95" s="218">
        <f t="shared" si="869"/>
        <v>0</v>
      </c>
      <c r="DC95" s="218">
        <f t="shared" si="870"/>
        <v>0</v>
      </c>
      <c r="DD95" s="73">
        <f t="shared" si="871"/>
        <v>0</v>
      </c>
      <c r="DE95" s="73">
        <f t="shared" si="872"/>
        <v>0</v>
      </c>
      <c r="DF95" s="73">
        <f t="shared" si="873"/>
        <v>0</v>
      </c>
      <c r="DG95" s="73">
        <f t="shared" si="874"/>
        <v>0</v>
      </c>
      <c r="DH95" s="72" t="e">
        <f t="shared" si="902"/>
        <v>#DIV/0!</v>
      </c>
      <c r="DI95" s="72" t="e">
        <f t="shared" si="903"/>
        <v>#DIV/0!</v>
      </c>
      <c r="DJ95" s="73">
        <f>SUM(AV92:AV95,BB92:BB95,BI92:BI95)</f>
        <v>0</v>
      </c>
      <c r="DK95" s="218">
        <v>0</v>
      </c>
      <c r="DL95" s="190"/>
    </row>
    <row r="96" spans="1:120" x14ac:dyDescent="0.25">
      <c r="A96" s="190"/>
      <c r="B96" s="188">
        <v>2008</v>
      </c>
      <c r="C96" s="61" t="s">
        <v>321</v>
      </c>
      <c r="D96" s="169">
        <v>0</v>
      </c>
      <c r="E96" s="169">
        <v>0</v>
      </c>
      <c r="F96" s="169">
        <v>0</v>
      </c>
      <c r="G96" s="169">
        <v>0</v>
      </c>
      <c r="H96" s="172">
        <f>pInt_NoCare_2007_2009</f>
        <v>0.47470496953425423</v>
      </c>
      <c r="I96" s="172">
        <f>pInt_NoCare_Int_InCare_2007_2009</f>
        <v>9.8703246552192314E-2</v>
      </c>
      <c r="J96" s="170">
        <f>pInt_NoCare_Int_ART1_2007_2009</f>
        <v>0</v>
      </c>
      <c r="K96" s="169">
        <v>0</v>
      </c>
      <c r="L96" s="169">
        <v>0</v>
      </c>
      <c r="M96" s="170">
        <f>pInt_NoCare_Int_Dead_2007_2009</f>
        <v>2.7888537361361161E-2</v>
      </c>
      <c r="N96" s="170">
        <f>pInt_NoCare_AIDS_NoCare_2007_2009</f>
        <v>0.3</v>
      </c>
      <c r="O96" s="172">
        <f>pInt_NoCare_AIDS_InCare_2007_2009</f>
        <v>9.8703246552192314E-2</v>
      </c>
      <c r="P96" s="171">
        <f>pInt_NoCare_AIDS_ART1ear_2007_2009</f>
        <v>0</v>
      </c>
      <c r="Q96" s="169">
        <v>0</v>
      </c>
      <c r="R96" s="169">
        <v>0</v>
      </c>
      <c r="S96" s="169">
        <v>0</v>
      </c>
      <c r="T96" s="169">
        <v>0</v>
      </c>
      <c r="U96" s="61">
        <f t="shared" si="875"/>
        <v>1</v>
      </c>
      <c r="V96" s="190"/>
      <c r="W96" s="66">
        <v>4</v>
      </c>
      <c r="X96" s="66">
        <v>2008</v>
      </c>
      <c r="Y96" s="69">
        <v>1</v>
      </c>
      <c r="Z96" s="69">
        <v>0</v>
      </c>
      <c r="AA96" s="69">
        <v>0</v>
      </c>
      <c r="AB96" s="69">
        <v>0</v>
      </c>
      <c r="AC96" s="69">
        <v>0</v>
      </c>
      <c r="AD96" s="69">
        <v>0</v>
      </c>
      <c r="AE96" s="69">
        <v>0</v>
      </c>
      <c r="AF96" s="69">
        <v>0</v>
      </c>
      <c r="AG96" s="69">
        <v>0</v>
      </c>
      <c r="AH96" s="69">
        <v>0</v>
      </c>
      <c r="AI96" s="69">
        <v>0</v>
      </c>
      <c r="AJ96" s="69">
        <v>0</v>
      </c>
      <c r="AK96" s="69">
        <v>0</v>
      </c>
      <c r="AL96" s="69">
        <v>0</v>
      </c>
      <c r="AM96" s="69">
        <v>0</v>
      </c>
      <c r="AN96" s="69">
        <v>0</v>
      </c>
      <c r="AO96" s="69">
        <v>0</v>
      </c>
      <c r="AP96" s="190"/>
      <c r="AQ96" s="66">
        <v>4</v>
      </c>
      <c r="AR96" s="66">
        <v>2008</v>
      </c>
      <c r="AS96" s="215">
        <f t="shared" si="852"/>
        <v>9220.1200000000008</v>
      </c>
      <c r="AT96" s="215">
        <f t="shared" si="853"/>
        <v>0</v>
      </c>
      <c r="AU96" s="215">
        <f t="shared" si="854"/>
        <v>0</v>
      </c>
      <c r="AV96" s="215">
        <f t="shared" si="855"/>
        <v>0</v>
      </c>
      <c r="AW96" s="215">
        <f t="shared" si="856"/>
        <v>0</v>
      </c>
      <c r="AX96" s="215">
        <f t="shared" si="857"/>
        <v>0</v>
      </c>
      <c r="AY96" s="215">
        <f t="shared" si="858"/>
        <v>0</v>
      </c>
      <c r="AZ96" s="215">
        <f t="shared" si="859"/>
        <v>0</v>
      </c>
      <c r="BA96" s="215">
        <f t="shared" si="860"/>
        <v>0</v>
      </c>
      <c r="BB96" s="215">
        <f t="shared" si="861"/>
        <v>0</v>
      </c>
      <c r="BC96" s="215">
        <f t="shared" si="862"/>
        <v>0</v>
      </c>
      <c r="BD96" s="215">
        <f t="shared" si="863"/>
        <v>0</v>
      </c>
      <c r="BE96" s="215">
        <f t="shared" si="864"/>
        <v>0</v>
      </c>
      <c r="BF96" s="215">
        <f t="shared" si="865"/>
        <v>0</v>
      </c>
      <c r="BG96" s="215">
        <f t="shared" si="866"/>
        <v>0</v>
      </c>
      <c r="BH96" s="215">
        <f t="shared" si="867"/>
        <v>0</v>
      </c>
      <c r="BI96" s="215">
        <f t="shared" si="868"/>
        <v>0</v>
      </c>
      <c r="BJ96" s="194"/>
      <c r="BK96" s="66">
        <v>4</v>
      </c>
      <c r="BL96" s="66">
        <v>2008</v>
      </c>
      <c r="BM96" s="215">
        <f t="shared" si="876"/>
        <v>0</v>
      </c>
      <c r="BN96" s="219">
        <f t="shared" si="877"/>
        <v>0</v>
      </c>
      <c r="BO96" s="219">
        <f t="shared" si="878"/>
        <v>0</v>
      </c>
      <c r="BP96" s="219">
        <f t="shared" si="904"/>
        <v>0</v>
      </c>
      <c r="BQ96" s="219">
        <f t="shared" si="879"/>
        <v>0</v>
      </c>
      <c r="BR96" s="220">
        <f t="shared" si="905"/>
        <v>0</v>
      </c>
      <c r="BS96" s="219">
        <f t="shared" si="906"/>
        <v>0</v>
      </c>
      <c r="BT96" s="219">
        <f t="shared" si="907"/>
        <v>0</v>
      </c>
      <c r="BU96" s="219">
        <f t="shared" si="908"/>
        <v>0</v>
      </c>
      <c r="BV96" s="219">
        <f t="shared" si="909"/>
        <v>0</v>
      </c>
      <c r="BW96" s="219">
        <f t="shared" si="910"/>
        <v>0</v>
      </c>
      <c r="BX96" s="220">
        <f t="shared" si="911"/>
        <v>0</v>
      </c>
      <c r="BY96" s="195"/>
      <c r="BZ96" s="192">
        <v>4</v>
      </c>
      <c r="CA96" s="66">
        <v>2008</v>
      </c>
      <c r="CB96" s="218">
        <f>pAsympt_NoCare_Asympt_Dead_2007_2009*AS95</f>
        <v>0</v>
      </c>
      <c r="CC96" s="218">
        <f t="shared" si="880"/>
        <v>0</v>
      </c>
      <c r="CD96" s="73">
        <f t="shared" si="881"/>
        <v>0</v>
      </c>
      <c r="CE96" s="73">
        <f>pInt_NoCare_Int_Dead_2007_2009*AW95</f>
        <v>0</v>
      </c>
      <c r="CF96" s="73">
        <f t="shared" si="882"/>
        <v>0</v>
      </c>
      <c r="CG96" s="73">
        <f t="shared" si="883"/>
        <v>0</v>
      </c>
      <c r="CH96" s="73">
        <f t="shared" si="884"/>
        <v>0</v>
      </c>
      <c r="CI96" s="73">
        <f t="shared" si="885"/>
        <v>0</v>
      </c>
      <c r="CJ96" s="73">
        <f t="shared" si="886"/>
        <v>0</v>
      </c>
      <c r="CK96" s="73">
        <f t="shared" si="887"/>
        <v>0</v>
      </c>
      <c r="CL96" s="73">
        <f t="shared" si="888"/>
        <v>0</v>
      </c>
      <c r="CM96" s="73">
        <f>pAIDS_NoCare_AIDS_Dead_2007_2009*BC95</f>
        <v>0</v>
      </c>
      <c r="CN96" s="73">
        <f t="shared" si="890"/>
        <v>0</v>
      </c>
      <c r="CO96" s="73">
        <f t="shared" si="891"/>
        <v>0</v>
      </c>
      <c r="CP96" s="73">
        <f t="shared" si="892"/>
        <v>0</v>
      </c>
      <c r="CQ96" s="73">
        <f t="shared" si="893"/>
        <v>0</v>
      </c>
      <c r="CR96" s="73">
        <f t="shared" si="894"/>
        <v>0</v>
      </c>
      <c r="CS96" s="73">
        <f t="shared" si="895"/>
        <v>0</v>
      </c>
      <c r="CT96" s="73">
        <f t="shared" si="896"/>
        <v>0</v>
      </c>
      <c r="CU96" s="73">
        <f t="shared" si="897"/>
        <v>0</v>
      </c>
      <c r="CV96" s="73">
        <f t="shared" si="898"/>
        <v>0</v>
      </c>
      <c r="CW96" s="73">
        <f t="shared" si="899"/>
        <v>0</v>
      </c>
      <c r="CX96" s="73">
        <f t="shared" si="900"/>
        <v>0</v>
      </c>
      <c r="CY96" s="73">
        <f t="shared" si="901"/>
        <v>0</v>
      </c>
      <c r="CZ96" s="190"/>
      <c r="DA96" s="66">
        <v>2008</v>
      </c>
      <c r="DB96" s="218">
        <f t="shared" si="869"/>
        <v>0</v>
      </c>
      <c r="DC96" s="218">
        <f t="shared" si="870"/>
        <v>9220.1200000000008</v>
      </c>
      <c r="DD96" s="73">
        <f t="shared" si="871"/>
        <v>0</v>
      </c>
      <c r="DE96" s="73">
        <f t="shared" si="872"/>
        <v>0</v>
      </c>
      <c r="DF96" s="73">
        <f t="shared" si="873"/>
        <v>0</v>
      </c>
      <c r="DG96" s="73">
        <f t="shared" si="874"/>
        <v>0</v>
      </c>
      <c r="DH96" s="72" t="e">
        <f t="shared" si="902"/>
        <v>#DIV/0!</v>
      </c>
      <c r="DI96" s="72" t="e">
        <f t="shared" si="903"/>
        <v>#DIV/0!</v>
      </c>
      <c r="DJ96" s="73">
        <f>SUM(AV92:AV96,BB92:BB96,BI92:BI96)</f>
        <v>0</v>
      </c>
      <c r="DK96" s="218">
        <v>0</v>
      </c>
      <c r="DL96" s="190"/>
    </row>
    <row r="97" spans="1:120" x14ac:dyDescent="0.25">
      <c r="A97" s="190"/>
      <c r="B97" s="188">
        <v>2008</v>
      </c>
      <c r="C97" s="61" t="s">
        <v>322</v>
      </c>
      <c r="D97" s="169">
        <v>0</v>
      </c>
      <c r="E97" s="169">
        <v>0</v>
      </c>
      <c r="F97" s="169">
        <v>0</v>
      </c>
      <c r="G97" s="169">
        <v>0</v>
      </c>
      <c r="H97" s="169">
        <v>0</v>
      </c>
      <c r="I97" s="172">
        <f>pInt_InCare_2004_2012</f>
        <v>0.27388069643828394</v>
      </c>
      <c r="J97" s="172">
        <f>pInt_InCare_Int_ART1_2004_2012</f>
        <v>0.12845640705966965</v>
      </c>
      <c r="K97" s="169">
        <v>0</v>
      </c>
      <c r="L97" s="170">
        <f>pInt_InCare_Int_LTFU_2004_2012</f>
        <v>0.18249498008072801</v>
      </c>
      <c r="M97" s="170">
        <f>pInt_InCare_Int_Dead_2004_2012</f>
        <v>2.6167916421318438E-2</v>
      </c>
      <c r="N97" s="169">
        <v>0</v>
      </c>
      <c r="O97" s="170">
        <f>pInt_InCare_AIDS_InCare_2004_2012</f>
        <v>0.3</v>
      </c>
      <c r="P97" s="170">
        <f>pInt_InCare_AIDS_ART1ear_2004_2012</f>
        <v>8.8999999999999996E-2</v>
      </c>
      <c r="Q97" s="169">
        <v>0</v>
      </c>
      <c r="R97" s="169">
        <v>0</v>
      </c>
      <c r="S97" s="169">
        <v>0</v>
      </c>
      <c r="T97" s="169">
        <v>0</v>
      </c>
      <c r="U97" s="61">
        <f t="shared" si="875"/>
        <v>1</v>
      </c>
      <c r="V97" s="190"/>
      <c r="W97" s="66">
        <v>5</v>
      </c>
      <c r="X97" s="66">
        <v>2009</v>
      </c>
      <c r="Y97" s="70">
        <f>MMULT($Y96:$AO96,D$114:D$130)</f>
        <v>0.63376008575865694</v>
      </c>
      <c r="Z97" s="70">
        <f t="shared" ref="Z97" si="912">MMULT($Y96:$AO96,E$114:E$130)</f>
        <v>7.4027434914144222E-2</v>
      </c>
      <c r="AA97" s="70">
        <f t="shared" ref="AA97" si="913">MMULT($Y96:$AO96,F$114:F$130)</f>
        <v>0</v>
      </c>
      <c r="AB97" s="70">
        <f t="shared" ref="AB97" si="914">MMULT($Y96:$AO96,G$114:G$130)</f>
        <v>1.818504441305463E-2</v>
      </c>
      <c r="AC97" s="70">
        <f t="shared" ref="AC97" si="915">MMULT($Y96:$AO96,H$114:H$130)</f>
        <v>0.2</v>
      </c>
      <c r="AD97" s="70">
        <f t="shared" ref="AD97" si="916">MMULT($Y96:$AO96,I$114:I$130)</f>
        <v>7.4027434914144222E-2</v>
      </c>
      <c r="AE97" s="70">
        <f t="shared" ref="AE97" si="917">MMULT($Y96:$AO96,J$114:J$130)</f>
        <v>0</v>
      </c>
      <c r="AF97" s="70">
        <f t="shared" ref="AF97" si="918">MMULT($Y96:$AO96,K$114:K$130)</f>
        <v>0</v>
      </c>
      <c r="AG97" s="70">
        <f t="shared" ref="AG97" si="919">MMULT($Y96:$AO96,L$114:L$130)</f>
        <v>0</v>
      </c>
      <c r="AH97" s="70">
        <f t="shared" ref="AH97" si="920">MMULT($Y96:$AO96,M$114:M$130)</f>
        <v>0</v>
      </c>
      <c r="AI97" s="70">
        <f t="shared" ref="AI97" si="921">MMULT($Y96:$AO96,N$114:N$130)</f>
        <v>0</v>
      </c>
      <c r="AJ97" s="70">
        <f t="shared" ref="AJ97" si="922">MMULT($Y96:$AO96,O$114:O$130)</f>
        <v>0</v>
      </c>
      <c r="AK97" s="70">
        <f t="shared" ref="AK97" si="923">MMULT($Y96:$AO96,P$114:P$130)</f>
        <v>0</v>
      </c>
      <c r="AL97" s="70">
        <f t="shared" ref="AL97" si="924">MMULT($Y96:$AO96,Q$114:Q$130)</f>
        <v>0</v>
      </c>
      <c r="AM97" s="70">
        <f t="shared" ref="AM97" si="925">MMULT($Y96:$AO96,R$114:R$130)</f>
        <v>0</v>
      </c>
      <c r="AN97" s="70">
        <f t="shared" ref="AN97" si="926">MMULT($Y96:$AO96,S$114:S$130)</f>
        <v>0</v>
      </c>
      <c r="AO97" s="70">
        <f t="shared" ref="AO97" si="927">MMULT($Y96:$AO96,T$114:T$130)</f>
        <v>0</v>
      </c>
      <c r="AP97" s="190"/>
      <c r="AQ97" s="66">
        <v>5</v>
      </c>
      <c r="AR97" s="66">
        <v>2009</v>
      </c>
      <c r="AS97" s="215">
        <f t="shared" si="852"/>
        <v>5843.3440419051085</v>
      </c>
      <c r="AT97" s="215">
        <f t="shared" si="853"/>
        <v>682.54183320059951</v>
      </c>
      <c r="AU97" s="215">
        <f t="shared" si="854"/>
        <v>0</v>
      </c>
      <c r="AV97" s="215">
        <f t="shared" si="855"/>
        <v>167.66829169369328</v>
      </c>
      <c r="AW97" s="215">
        <f t="shared" si="856"/>
        <v>1844.0240000000003</v>
      </c>
      <c r="AX97" s="215">
        <f t="shared" si="857"/>
        <v>682.54183320059951</v>
      </c>
      <c r="AY97" s="215">
        <f t="shared" si="858"/>
        <v>0</v>
      </c>
      <c r="AZ97" s="215">
        <f t="shared" si="859"/>
        <v>0</v>
      </c>
      <c r="BA97" s="215">
        <f t="shared" si="860"/>
        <v>0</v>
      </c>
      <c r="BB97" s="215">
        <f t="shared" si="861"/>
        <v>0</v>
      </c>
      <c r="BC97" s="215">
        <f t="shared" si="862"/>
        <v>0</v>
      </c>
      <c r="BD97" s="215">
        <f t="shared" si="863"/>
        <v>0</v>
      </c>
      <c r="BE97" s="215">
        <f t="shared" si="864"/>
        <v>0</v>
      </c>
      <c r="BF97" s="215">
        <f t="shared" si="865"/>
        <v>0</v>
      </c>
      <c r="BG97" s="215">
        <f t="shared" si="866"/>
        <v>0</v>
      </c>
      <c r="BH97" s="215">
        <f t="shared" si="867"/>
        <v>0</v>
      </c>
      <c r="BI97" s="215">
        <f t="shared" si="868"/>
        <v>0</v>
      </c>
      <c r="BJ97" s="194"/>
      <c r="BK97" s="66">
        <v>5</v>
      </c>
      <c r="BL97" s="66">
        <v>2009</v>
      </c>
      <c r="BM97" s="215">
        <f t="shared" si="876"/>
        <v>0</v>
      </c>
      <c r="BN97" s="219">
        <f t="shared" si="877"/>
        <v>0</v>
      </c>
      <c r="BO97" s="219">
        <f t="shared" si="878"/>
        <v>0</v>
      </c>
      <c r="BP97" s="219">
        <f t="shared" si="904"/>
        <v>0</v>
      </c>
      <c r="BQ97" s="219">
        <f t="shared" si="879"/>
        <v>0</v>
      </c>
      <c r="BR97" s="220">
        <f t="shared" si="905"/>
        <v>0</v>
      </c>
      <c r="BS97" s="219">
        <f t="shared" si="906"/>
        <v>0</v>
      </c>
      <c r="BT97" s="219">
        <f t="shared" si="907"/>
        <v>0</v>
      </c>
      <c r="BU97" s="219">
        <f t="shared" si="908"/>
        <v>0</v>
      </c>
      <c r="BV97" s="219">
        <f t="shared" si="909"/>
        <v>0</v>
      </c>
      <c r="BW97" s="219">
        <f t="shared" si="910"/>
        <v>0</v>
      </c>
      <c r="BX97" s="220">
        <f t="shared" si="911"/>
        <v>0</v>
      </c>
      <c r="BY97" s="195"/>
      <c r="BZ97" s="192">
        <v>5</v>
      </c>
      <c r="CA97" s="66">
        <v>2009</v>
      </c>
      <c r="CB97" s="218">
        <f>pAsympt_NoCare_Asympt_Dead_2007_2009*AS96</f>
        <v>167.66829169369328</v>
      </c>
      <c r="CC97" s="218">
        <f t="shared" si="880"/>
        <v>0</v>
      </c>
      <c r="CD97" s="73">
        <f t="shared" si="881"/>
        <v>0</v>
      </c>
      <c r="CE97" s="73">
        <f>pInt_NoCare_Int_Dead_2007_2009*AW96</f>
        <v>0</v>
      </c>
      <c r="CF97" s="73">
        <f t="shared" si="882"/>
        <v>0</v>
      </c>
      <c r="CG97" s="73">
        <f t="shared" si="883"/>
        <v>0</v>
      </c>
      <c r="CH97" s="73">
        <f t="shared" si="884"/>
        <v>0</v>
      </c>
      <c r="CI97" s="73">
        <f t="shared" si="885"/>
        <v>0</v>
      </c>
      <c r="CJ97" s="73">
        <f t="shared" si="886"/>
        <v>0</v>
      </c>
      <c r="CK97" s="73">
        <f t="shared" si="887"/>
        <v>0</v>
      </c>
      <c r="CL97" s="73">
        <f t="shared" si="888"/>
        <v>0</v>
      </c>
      <c r="CM97" s="73">
        <f>pAIDS_NoCare_AIDS_Dead_2007_2009*BC96</f>
        <v>0</v>
      </c>
      <c r="CN97" s="73">
        <f t="shared" si="890"/>
        <v>0</v>
      </c>
      <c r="CO97" s="73">
        <f t="shared" si="891"/>
        <v>0</v>
      </c>
      <c r="CP97" s="73">
        <f t="shared" si="892"/>
        <v>0</v>
      </c>
      <c r="CQ97" s="73">
        <f t="shared" si="893"/>
        <v>0</v>
      </c>
      <c r="CR97" s="73">
        <f t="shared" si="894"/>
        <v>0</v>
      </c>
      <c r="CS97" s="73">
        <f t="shared" si="895"/>
        <v>0</v>
      </c>
      <c r="CT97" s="73">
        <f t="shared" si="896"/>
        <v>0</v>
      </c>
      <c r="CU97" s="73">
        <f t="shared" si="897"/>
        <v>0</v>
      </c>
      <c r="CV97" s="73">
        <f t="shared" si="898"/>
        <v>0</v>
      </c>
      <c r="CW97" s="73">
        <f t="shared" si="899"/>
        <v>0</v>
      </c>
      <c r="CX97" s="73">
        <f t="shared" si="900"/>
        <v>0</v>
      </c>
      <c r="CY97" s="73">
        <f t="shared" si="901"/>
        <v>0</v>
      </c>
      <c r="CZ97" s="190"/>
      <c r="DA97" s="66">
        <v>2009</v>
      </c>
      <c r="DB97" s="218">
        <f t="shared" si="869"/>
        <v>1365.083666401199</v>
      </c>
      <c r="DC97" s="218">
        <f t="shared" si="870"/>
        <v>9052.4517083063074</v>
      </c>
      <c r="DD97" s="73">
        <f t="shared" si="871"/>
        <v>0</v>
      </c>
      <c r="DE97" s="73">
        <f t="shared" si="872"/>
        <v>0</v>
      </c>
      <c r="DF97" s="73">
        <f t="shared" si="873"/>
        <v>0</v>
      </c>
      <c r="DG97" s="73">
        <f t="shared" si="874"/>
        <v>2526.5658332005996</v>
      </c>
      <c r="DH97" s="72">
        <f t="shared" si="902"/>
        <v>0</v>
      </c>
      <c r="DI97" s="72" t="e">
        <f t="shared" si="903"/>
        <v>#DIV/0!</v>
      </c>
      <c r="DJ97" s="73">
        <f>SUM(AV92:AV97,BB92:BB97,BI92:BI97)</f>
        <v>167.66829169369328</v>
      </c>
      <c r="DK97" s="218">
        <v>0</v>
      </c>
      <c r="DL97" s="190"/>
    </row>
    <row r="98" spans="1:120" x14ac:dyDescent="0.25">
      <c r="A98" s="190"/>
      <c r="B98" s="188">
        <v>2008</v>
      </c>
      <c r="C98" s="61" t="s">
        <v>323</v>
      </c>
      <c r="D98" s="169">
        <v>0</v>
      </c>
      <c r="E98" s="169">
        <v>0</v>
      </c>
      <c r="F98" s="169">
        <v>0</v>
      </c>
      <c r="G98" s="169">
        <v>0</v>
      </c>
      <c r="H98" s="169">
        <v>0</v>
      </c>
      <c r="I98" s="169">
        <v>0</v>
      </c>
      <c r="J98" s="172">
        <f>pInt_ART1_2004_2012</f>
        <v>0.97189504107250524</v>
      </c>
      <c r="K98" s="170">
        <f>pInt_ART1_Int_ART2_2004_2012</f>
        <v>8.6622645122074182E-3</v>
      </c>
      <c r="L98" s="170">
        <f>pInt_ART1_Int_LTFU_2004_2012</f>
        <v>1.438552517214986E-2</v>
      </c>
      <c r="M98" s="170">
        <f>pInt_ART1_Int_Dead_2004_2012</f>
        <v>5.0571692431374826E-3</v>
      </c>
      <c r="N98" s="169">
        <v>0</v>
      </c>
      <c r="O98" s="169">
        <v>0</v>
      </c>
      <c r="P98" s="169">
        <v>0</v>
      </c>
      <c r="Q98" s="169">
        <v>0</v>
      </c>
      <c r="R98" s="169">
        <v>0</v>
      </c>
      <c r="S98" s="169">
        <v>0</v>
      </c>
      <c r="T98" s="169">
        <v>0</v>
      </c>
      <c r="U98" s="61">
        <f t="shared" si="875"/>
        <v>1</v>
      </c>
      <c r="V98" s="190"/>
      <c r="W98" s="66">
        <v>6</v>
      </c>
      <c r="X98" s="66">
        <v>2010</v>
      </c>
      <c r="Y98" s="70">
        <f>MMULT($Y97:$AO97,D$136:D$152)</f>
        <v>0.40165184630082018</v>
      </c>
      <c r="Z98" s="70">
        <f t="shared" ref="Z98" si="928">MMULT($Y97:$AO97,E$136:E$152)</f>
        <v>7.9350132444030066E-2</v>
      </c>
      <c r="AA98" s="70">
        <f t="shared" ref="AA98" si="929">MMULT($Y97:$AO97,F$136:F$152)</f>
        <v>2.2711269412095766E-2</v>
      </c>
      <c r="AB98" s="70">
        <f t="shared" ref="AB98" si="930">MMULT($Y97:$AO97,G$136:G$152)</f>
        <v>1.2788092354875989E-2</v>
      </c>
      <c r="AC98" s="70">
        <f t="shared" ref="AC98" si="931">MMULT($Y97:$AO97,H$136:H$152)</f>
        <v>0.22169301105858225</v>
      </c>
      <c r="AD98" s="70">
        <f t="shared" ref="AD98" si="932">MMULT($Y97:$AO97,I$136:I$152)</f>
        <v>0.1017364552227743</v>
      </c>
      <c r="AE98" s="70">
        <f t="shared" ref="AE98" si="933">MMULT($Y97:$AO97,J$136:J$152)</f>
        <v>1.2322340839651991E-2</v>
      </c>
      <c r="AF98" s="70">
        <f t="shared" ref="AF98" si="934">MMULT($Y97:$AO97,K$136:K$152)</f>
        <v>0</v>
      </c>
      <c r="AG98" s="70">
        <f t="shared" ref="AG98" si="935">MMULT($Y97:$AO97,L$136:L$152)</f>
        <v>1.3509635260084139E-2</v>
      </c>
      <c r="AH98" s="70">
        <f t="shared" ref="AH98" si="936">MMULT($Y97:$AO97,M$136:M$152)</f>
        <v>7.5148512019901498E-3</v>
      </c>
      <c r="AI98" s="70">
        <f t="shared" ref="AI98" si="937">MMULT($Y97:$AO97,N$136:N$152)</f>
        <v>0.06</v>
      </c>
      <c r="AJ98" s="70">
        <f t="shared" ref="AJ98" si="938">MMULT($Y97:$AO97,O$136:O$152)</f>
        <v>4.1948879784681731E-2</v>
      </c>
      <c r="AK98" s="70">
        <f t="shared" ref="AK98" si="939">MMULT($Y97:$AO97,P$136:P$152)</f>
        <v>6.5884417073588351E-3</v>
      </c>
      <c r="AL98" s="70">
        <f t="shared" ref="AL98" si="940">MMULT($Y97:$AO97,Q$136:Q$152)</f>
        <v>0</v>
      </c>
      <c r="AM98" s="70">
        <f t="shared" ref="AM98" si="941">MMULT($Y97:$AO97,R$136:R$152)</f>
        <v>0</v>
      </c>
      <c r="AN98" s="70">
        <f t="shared" ref="AN98" si="942">MMULT($Y97:$AO97,S$136:S$152)</f>
        <v>0</v>
      </c>
      <c r="AO98" s="70">
        <f t="shared" ref="AO98" si="943">MMULT($Y97:$AO97,T$136:T$152)</f>
        <v>0</v>
      </c>
      <c r="AP98" s="190"/>
      <c r="AQ98" s="66">
        <v>6</v>
      </c>
      <c r="AR98" s="66">
        <v>2010</v>
      </c>
      <c r="AS98" s="215">
        <f t="shared" si="852"/>
        <v>3703.2782211151184</v>
      </c>
      <c r="AT98" s="215">
        <f t="shared" si="853"/>
        <v>731.61774314985053</v>
      </c>
      <c r="AU98" s="215">
        <f t="shared" si="854"/>
        <v>209.40062933185243</v>
      </c>
      <c r="AV98" s="215">
        <f t="shared" si="855"/>
        <v>117.90774608303921</v>
      </c>
      <c r="AW98" s="215">
        <f t="shared" si="856"/>
        <v>2044.0361651214555</v>
      </c>
      <c r="AX98" s="215">
        <f t="shared" si="857"/>
        <v>938.02232552860585</v>
      </c>
      <c r="AY98" s="215">
        <f t="shared" si="858"/>
        <v>113.61346122249213</v>
      </c>
      <c r="AZ98" s="215">
        <f t="shared" si="859"/>
        <v>0</v>
      </c>
      <c r="BA98" s="215">
        <f t="shared" si="860"/>
        <v>124.56045825420698</v>
      </c>
      <c r="BB98" s="215">
        <f t="shared" si="861"/>
        <v>69.287829864493432</v>
      </c>
      <c r="BC98" s="215">
        <f t="shared" si="862"/>
        <v>553.20720000000006</v>
      </c>
      <c r="BD98" s="215">
        <f t="shared" si="863"/>
        <v>386.77370548033974</v>
      </c>
      <c r="BE98" s="215">
        <f t="shared" si="864"/>
        <v>60.746223154853347</v>
      </c>
      <c r="BF98" s="215">
        <f t="shared" si="865"/>
        <v>0</v>
      </c>
      <c r="BG98" s="215">
        <f t="shared" si="866"/>
        <v>0</v>
      </c>
      <c r="BH98" s="215">
        <f t="shared" si="867"/>
        <v>0</v>
      </c>
      <c r="BI98" s="215">
        <f t="shared" si="868"/>
        <v>0</v>
      </c>
      <c r="BJ98" s="194"/>
      <c r="BK98" s="66">
        <v>6</v>
      </c>
      <c r="BL98" s="66">
        <v>2010</v>
      </c>
      <c r="BM98" s="215">
        <f t="shared" si="876"/>
        <v>124.56045825420699</v>
      </c>
      <c r="BN98" s="219">
        <f t="shared" si="877"/>
        <v>0</v>
      </c>
      <c r="BO98" s="219">
        <f t="shared" si="878"/>
        <v>0</v>
      </c>
      <c r="BP98" s="219">
        <f t="shared" si="904"/>
        <v>0</v>
      </c>
      <c r="BQ98" s="219">
        <f t="shared" si="879"/>
        <v>0</v>
      </c>
      <c r="BR98" s="220">
        <f t="shared" si="905"/>
        <v>0</v>
      </c>
      <c r="BS98" s="219">
        <f t="shared" si="906"/>
        <v>0</v>
      </c>
      <c r="BT98" s="219">
        <f t="shared" si="907"/>
        <v>0</v>
      </c>
      <c r="BU98" s="219">
        <f t="shared" si="908"/>
        <v>0</v>
      </c>
      <c r="BV98" s="219">
        <f t="shared" si="909"/>
        <v>0</v>
      </c>
      <c r="BW98" s="219">
        <f t="shared" si="910"/>
        <v>0</v>
      </c>
      <c r="BX98" s="220">
        <f t="shared" si="911"/>
        <v>0</v>
      </c>
      <c r="BY98" s="195"/>
      <c r="BZ98" s="192">
        <v>6</v>
      </c>
      <c r="CA98" s="66">
        <v>2010</v>
      </c>
      <c r="CB98" s="218">
        <f>pAsympt_NoCare_Asympt_Dead_2010_2012*AS97</f>
        <v>106.26147092280254</v>
      </c>
      <c r="CC98" s="218">
        <f t="shared" si="880"/>
        <v>11.646275160236661</v>
      </c>
      <c r="CD98" s="73">
        <f t="shared" si="881"/>
        <v>0</v>
      </c>
      <c r="CE98" s="73">
        <f>pInt_NoCare_Int_Dead_2010_2012*AW97</f>
        <v>51.427132219246666</v>
      </c>
      <c r="CF98" s="73">
        <f t="shared" si="882"/>
        <v>17.860697645246759</v>
      </c>
      <c r="CG98" s="73">
        <f t="shared" si="883"/>
        <v>0</v>
      </c>
      <c r="CH98" s="73">
        <f t="shared" si="884"/>
        <v>0</v>
      </c>
      <c r="CI98" s="73">
        <f t="shared" si="885"/>
        <v>0</v>
      </c>
      <c r="CJ98" s="73">
        <f t="shared" si="886"/>
        <v>0</v>
      </c>
      <c r="CK98" s="73">
        <f t="shared" si="887"/>
        <v>0</v>
      </c>
      <c r="CL98" s="73">
        <f t="shared" si="888"/>
        <v>0</v>
      </c>
      <c r="CM98" s="73">
        <f>pAIDS_NoCare_AIDS_Dead_2010_2012*BC97</f>
        <v>0</v>
      </c>
      <c r="CN98" s="73">
        <f t="shared" si="890"/>
        <v>0</v>
      </c>
      <c r="CO98" s="73">
        <f t="shared" si="891"/>
        <v>0</v>
      </c>
      <c r="CP98" s="73">
        <f t="shared" si="892"/>
        <v>0</v>
      </c>
      <c r="CQ98" s="73">
        <f t="shared" si="893"/>
        <v>0</v>
      </c>
      <c r="CR98" s="73">
        <f t="shared" si="894"/>
        <v>0</v>
      </c>
      <c r="CS98" s="73">
        <f t="shared" si="895"/>
        <v>0</v>
      </c>
      <c r="CT98" s="73">
        <f t="shared" si="896"/>
        <v>0</v>
      </c>
      <c r="CU98" s="73">
        <f t="shared" si="897"/>
        <v>0</v>
      </c>
      <c r="CV98" s="73">
        <f t="shared" si="898"/>
        <v>0</v>
      </c>
      <c r="CW98" s="73">
        <f t="shared" si="899"/>
        <v>0</v>
      </c>
      <c r="CX98" s="73">
        <f t="shared" si="900"/>
        <v>0</v>
      </c>
      <c r="CY98" s="73">
        <f t="shared" si="901"/>
        <v>0</v>
      </c>
      <c r="CZ98" s="190"/>
      <c r="DA98" s="66">
        <v>2010</v>
      </c>
      <c r="DB98" s="218">
        <f t="shared" si="869"/>
        <v>2056.4137741587961</v>
      </c>
      <c r="DC98" s="218">
        <f t="shared" si="870"/>
        <v>8865.2561323587743</v>
      </c>
      <c r="DD98" s="73">
        <f t="shared" si="871"/>
        <v>174.35968437734547</v>
      </c>
      <c r="DE98" s="73">
        <f t="shared" si="872"/>
        <v>60.746223154853347</v>
      </c>
      <c r="DF98" s="73">
        <f t="shared" si="873"/>
        <v>939.98090548033974</v>
      </c>
      <c r="DG98" s="73">
        <f t="shared" si="874"/>
        <v>4046.5998543846081</v>
      </c>
      <c r="DH98" s="72">
        <f t="shared" si="902"/>
        <v>4.1308068171742478E-2</v>
      </c>
      <c r="DI98" s="72">
        <f t="shared" si="903"/>
        <v>6.0702084930684318E-2</v>
      </c>
      <c r="DJ98" s="73">
        <f>SUM(AV92:AV98,BB92:BB98,BI92:BI98)</f>
        <v>354.86386764122597</v>
      </c>
      <c r="DK98" s="218">
        <f>SUM(AV98,BB98,BI98)</f>
        <v>187.19557594753263</v>
      </c>
      <c r="DL98" s="190"/>
    </row>
    <row r="99" spans="1:120" x14ac:dyDescent="0.25">
      <c r="A99" s="190"/>
      <c r="B99" s="188">
        <v>2008</v>
      </c>
      <c r="C99" s="61" t="s">
        <v>324</v>
      </c>
      <c r="D99" s="169">
        <v>0</v>
      </c>
      <c r="E99" s="169">
        <v>0</v>
      </c>
      <c r="F99" s="169">
        <v>0</v>
      </c>
      <c r="G99" s="169">
        <v>0</v>
      </c>
      <c r="H99" s="169">
        <v>0</v>
      </c>
      <c r="I99" s="169">
        <v>0</v>
      </c>
      <c r="J99" s="169">
        <v>0</v>
      </c>
      <c r="K99" s="172">
        <f>pInt_ART2_2004_2012</f>
        <v>0.98055730558471266</v>
      </c>
      <c r="L99" s="170">
        <f>pInt_ART2_Int_LTFU_2004_2012</f>
        <v>1.438552517214986E-2</v>
      </c>
      <c r="M99" s="170">
        <f>pInt_ART2_Int_Dead_2004_2012</f>
        <v>5.0571692431374826E-3</v>
      </c>
      <c r="N99" s="169">
        <v>0</v>
      </c>
      <c r="O99" s="169">
        <v>0</v>
      </c>
      <c r="P99" s="169">
        <v>0</v>
      </c>
      <c r="Q99" s="169">
        <v>0</v>
      </c>
      <c r="R99" s="169">
        <v>0</v>
      </c>
      <c r="S99" s="169">
        <v>0</v>
      </c>
      <c r="T99" s="169">
        <v>0</v>
      </c>
      <c r="U99" s="61">
        <f t="shared" si="875"/>
        <v>1</v>
      </c>
      <c r="V99" s="190"/>
      <c r="W99" s="66">
        <v>7</v>
      </c>
      <c r="X99" s="66">
        <v>2011</v>
      </c>
      <c r="Y99" s="70">
        <f>MMULT($Y98:$AO98,D$158:D$174)</f>
        <v>0.25455090855673068</v>
      </c>
      <c r="Z99" s="70">
        <f t="shared" ref="Z99" si="944">MMULT($Y98:$AO98,E$158:E$174)</f>
        <v>6.4499850078608464E-2</v>
      </c>
      <c r="AA99" s="70">
        <f t="shared" ref="AA99" si="945">MMULT($Y98:$AO98,F$158:F$174)</f>
        <v>3.9347652253826124E-2</v>
      </c>
      <c r="AB99" s="70">
        <f t="shared" ref="AB99" si="946">MMULT($Y98:$AO98,G$158:G$174)</f>
        <v>9.0710208405925634E-3</v>
      </c>
      <c r="AC99" s="70">
        <f t="shared" ref="AC99" si="947">MMULT($Y98:$AO98,H$158:H$174)</f>
        <v>0.18556914332068541</v>
      </c>
      <c r="AD99" s="70">
        <f t="shared" ref="AD99" si="948">MMULT($Y98:$AO98,I$158:I$174)</f>
        <v>9.5348753537974701E-2</v>
      </c>
      <c r="AE99" s="70">
        <f t="shared" ref="AE99" si="949">MMULT($Y98:$AO98,J$158:J$174)</f>
        <v>3.2722894772762579E-2</v>
      </c>
      <c r="AF99" s="70">
        <f t="shared" ref="AF99" si="950">MMULT($Y98:$AO98,K$158:K$174)</f>
        <v>2.1534491176653887E-3</v>
      </c>
      <c r="AG99" s="70">
        <f t="shared" ref="AG99" si="951">MMULT($Y98:$AO98,L$158:L$174)</f>
        <v>2.9214321016294467E-2</v>
      </c>
      <c r="AH99" s="70">
        <f t="shared" ref="AH99" si="952">MMULT($Y98:$AO98,M$158:M$174)</f>
        <v>9.2840050097176517E-3</v>
      </c>
      <c r="AI99" s="70">
        <f t="shared" ref="AI99" si="953">MMULT($Y98:$AO98,N$158:N$174)</f>
        <v>7.0651352353037836E-2</v>
      </c>
      <c r="AJ99" s="70">
        <f t="shared" ref="AJ99" si="954">MMULT($Y98:$AO98,O$158:O$174)</f>
        <v>8.5697089693666254E-2</v>
      </c>
      <c r="AK99" s="70">
        <f t="shared" ref="AK99" si="955">MMULT($Y98:$AO98,P$158:P$174)</f>
        <v>3.0309750692456512E-2</v>
      </c>
      <c r="AL99" s="70">
        <f t="shared" ref="AL99" si="956">MMULT($Y98:$AO98,Q$158:Q$174)</f>
        <v>5.4057491247627015E-3</v>
      </c>
      <c r="AM99" s="70">
        <f t="shared" ref="AM99" si="957">MMULT($Y98:$AO98,R$158:R$174)</f>
        <v>0</v>
      </c>
      <c r="AN99" s="70">
        <f t="shared" ref="AN99" si="958">MMULT($Y98:$AO98,S$158:S$174)</f>
        <v>5.9232001121558263E-3</v>
      </c>
      <c r="AO99" s="70">
        <f t="shared" ref="AO99" si="959">MMULT($Y98:$AO98,T$158:T$174)</f>
        <v>4.1762871549142107E-2</v>
      </c>
      <c r="AP99" s="190"/>
      <c r="AQ99" s="66">
        <v>7</v>
      </c>
      <c r="AR99" s="66">
        <v>2011</v>
      </c>
      <c r="AS99" s="215">
        <f t="shared" si="852"/>
        <v>2346.9899230020837</v>
      </c>
      <c r="AT99" s="215">
        <f t="shared" si="853"/>
        <v>594.69635770677951</v>
      </c>
      <c r="AU99" s="215">
        <f t="shared" si="854"/>
        <v>362.79007549854737</v>
      </c>
      <c r="AV99" s="215">
        <f t="shared" si="855"/>
        <v>83.635900672764308</v>
      </c>
      <c r="AW99" s="215">
        <f t="shared" si="856"/>
        <v>1710.9697697139181</v>
      </c>
      <c r="AX99" s="215">
        <f t="shared" si="857"/>
        <v>879.12694947055138</v>
      </c>
      <c r="AY99" s="215">
        <f t="shared" si="858"/>
        <v>301.70901655224372</v>
      </c>
      <c r="AZ99" s="215">
        <f t="shared" si="859"/>
        <v>19.855059278769005</v>
      </c>
      <c r="BA99" s="215">
        <f t="shared" si="860"/>
        <v>269.35954548875696</v>
      </c>
      <c r="BB99" s="215">
        <f t="shared" si="861"/>
        <v>85.599640270197924</v>
      </c>
      <c r="BC99" s="215">
        <f t="shared" si="862"/>
        <v>651.41394685729131</v>
      </c>
      <c r="BD99" s="215">
        <f t="shared" si="863"/>
        <v>790.13745062636622</v>
      </c>
      <c r="BE99" s="215">
        <f t="shared" si="864"/>
        <v>279.45953855453217</v>
      </c>
      <c r="BF99" s="215">
        <f t="shared" si="865"/>
        <v>49.841655620207085</v>
      </c>
      <c r="BG99" s="215">
        <f t="shared" si="866"/>
        <v>0</v>
      </c>
      <c r="BH99" s="215">
        <f t="shared" si="867"/>
        <v>54.612615818090184</v>
      </c>
      <c r="BI99" s="215">
        <f t="shared" si="868"/>
        <v>385.05868722767616</v>
      </c>
      <c r="BJ99" s="194"/>
      <c r="BK99" s="66">
        <v>7</v>
      </c>
      <c r="BL99" s="66">
        <v>2011</v>
      </c>
      <c r="BM99" s="215">
        <f t="shared" si="876"/>
        <v>225.84503031607522</v>
      </c>
      <c r="BN99" s="219">
        <f t="shared" si="877"/>
        <v>41.880125866370491</v>
      </c>
      <c r="BO99" s="219">
        <f t="shared" si="878"/>
        <v>1.6343893063112327</v>
      </c>
      <c r="BP99" s="219">
        <f t="shared" si="904"/>
        <v>0</v>
      </c>
      <c r="BQ99" s="219">
        <f t="shared" si="879"/>
        <v>22.744412205422861</v>
      </c>
      <c r="BR99" s="220">
        <f t="shared" si="905"/>
        <v>0</v>
      </c>
      <c r="BS99" s="219">
        <f t="shared" si="906"/>
        <v>29.942226334324896</v>
      </c>
      <c r="BT99" s="219">
        <f t="shared" si="907"/>
        <v>1.9259772783424289</v>
      </c>
      <c r="BU99" s="219">
        <f t="shared" si="908"/>
        <v>0</v>
      </c>
      <c r="BV99" s="219">
        <f t="shared" si="909"/>
        <v>0</v>
      </c>
      <c r="BW99" s="219">
        <f t="shared" si="910"/>
        <v>0</v>
      </c>
      <c r="BX99" s="220">
        <f t="shared" si="911"/>
        <v>0</v>
      </c>
      <c r="BY99" s="195"/>
      <c r="BZ99" s="192">
        <v>7</v>
      </c>
      <c r="CA99" s="66">
        <v>2011</v>
      </c>
      <c r="CB99" s="218">
        <f>pAsympt_NoCare_Asympt_Dead_2010_2012*AS98</f>
        <v>67.344278924876377</v>
      </c>
      <c r="CC99" s="218">
        <f t="shared" si="880"/>
        <v>12.483662003366604</v>
      </c>
      <c r="CD99" s="73">
        <f t="shared" si="881"/>
        <v>3.8079597445213262</v>
      </c>
      <c r="CE99" s="73">
        <f>pInt_NoCare_Int_Dead_2010_2012*AW98</f>
        <v>57.0051789589631</v>
      </c>
      <c r="CF99" s="73">
        <f t="shared" si="882"/>
        <v>24.546089815763313</v>
      </c>
      <c r="CG99" s="73">
        <f t="shared" si="883"/>
        <v>0.57456250170078027</v>
      </c>
      <c r="CH99" s="73">
        <f t="shared" si="884"/>
        <v>0</v>
      </c>
      <c r="CI99" s="73">
        <f t="shared" si="885"/>
        <v>3.4738089937707191</v>
      </c>
      <c r="CJ99" s="73">
        <f t="shared" si="886"/>
        <v>0</v>
      </c>
      <c r="CK99" s="73">
        <f t="shared" si="887"/>
        <v>0</v>
      </c>
      <c r="CL99" s="73">
        <f t="shared" si="888"/>
        <v>0</v>
      </c>
      <c r="CM99" s="73">
        <f>pAIDS_NoCare_AIDS_Dead_2010_2012*BC98</f>
        <v>227.09970893525298</v>
      </c>
      <c r="CN99" s="73">
        <f t="shared" si="890"/>
        <v>148.98038803611936</v>
      </c>
      <c r="CO99" s="73">
        <f t="shared" si="891"/>
        <v>8.9785902563038356</v>
      </c>
      <c r="CP99" s="73">
        <f t="shared" si="892"/>
        <v>0</v>
      </c>
      <c r="CQ99" s="73">
        <f t="shared" si="893"/>
        <v>0</v>
      </c>
      <c r="CR99" s="73">
        <f t="shared" si="894"/>
        <v>0</v>
      </c>
      <c r="CS99" s="73">
        <f t="shared" si="895"/>
        <v>0</v>
      </c>
      <c r="CT99" s="73">
        <f t="shared" si="896"/>
        <v>0</v>
      </c>
      <c r="CU99" s="73">
        <f t="shared" si="897"/>
        <v>0</v>
      </c>
      <c r="CV99" s="73">
        <f t="shared" si="898"/>
        <v>0</v>
      </c>
      <c r="CW99" s="73">
        <f t="shared" si="899"/>
        <v>0</v>
      </c>
      <c r="CX99" s="73">
        <f t="shared" si="900"/>
        <v>0</v>
      </c>
      <c r="CY99" s="73">
        <f t="shared" si="901"/>
        <v>0</v>
      </c>
      <c r="CZ99" s="190"/>
      <c r="DA99" s="66">
        <v>2011</v>
      </c>
      <c r="DB99" s="218">
        <f t="shared" si="869"/>
        <v>2263.9607578036971</v>
      </c>
      <c r="DC99" s="218">
        <f t="shared" si="870"/>
        <v>8310.961904188136</v>
      </c>
      <c r="DD99" s="73">
        <f t="shared" si="871"/>
        <v>650.865270005752</v>
      </c>
      <c r="DE99" s="73">
        <f t="shared" si="872"/>
        <v>329.30119417473924</v>
      </c>
      <c r="DF99" s="73">
        <f t="shared" si="873"/>
        <v>1496.1640133017479</v>
      </c>
      <c r="DG99" s="73">
        <f t="shared" si="874"/>
        <v>4355.6202779749747</v>
      </c>
      <c r="DH99" s="72">
        <f t="shared" si="902"/>
        <v>0.13000442401521892</v>
      </c>
      <c r="DI99" s="72">
        <f t="shared" si="903"/>
        <v>0.18039302684380568</v>
      </c>
      <c r="DJ99" s="73">
        <f>SUM(AV92:AV99,BB92:BB99,BI92:BI99)</f>
        <v>909.15809581186431</v>
      </c>
      <c r="DK99" s="218">
        <f>SUM(AV98:AV99,BB98:BB99,BI98:BI99)</f>
        <v>741.48980411817104</v>
      </c>
      <c r="DL99" s="190"/>
    </row>
    <row r="100" spans="1:120" x14ac:dyDescent="0.25">
      <c r="A100" s="190"/>
      <c r="B100" s="188">
        <v>2008</v>
      </c>
      <c r="C100" s="61" t="s">
        <v>325</v>
      </c>
      <c r="D100" s="169">
        <v>0</v>
      </c>
      <c r="E100" s="169">
        <v>0</v>
      </c>
      <c r="F100" s="169">
        <v>0</v>
      </c>
      <c r="G100" s="169">
        <v>0</v>
      </c>
      <c r="H100" s="169">
        <v>0</v>
      </c>
      <c r="I100" s="169">
        <v>0</v>
      </c>
      <c r="J100" s="171">
        <f>pInt_LTFU_Int_ART1_2004_2012</f>
        <v>0.1414</v>
      </c>
      <c r="K100" s="171">
        <f>pInt_LTFU_Int_ART2_2004_2012</f>
        <v>0.1515</v>
      </c>
      <c r="L100" s="172">
        <f>pInt_LTFU_2004_2012</f>
        <v>0.43882838478243957</v>
      </c>
      <c r="M100" s="171">
        <f>pInt_LTFU_Int_Dead_2004_2012</f>
        <v>2.7888537361361161E-2</v>
      </c>
      <c r="N100" s="169">
        <v>0</v>
      </c>
      <c r="O100" s="169">
        <v>0</v>
      </c>
      <c r="P100" s="169">
        <v>0</v>
      </c>
      <c r="Q100" s="169">
        <v>0</v>
      </c>
      <c r="R100" s="169">
        <v>0</v>
      </c>
      <c r="S100" s="170">
        <f>pInt_LTFU_AIDS_LTFU_2004_2012</f>
        <v>0.24038307785619925</v>
      </c>
      <c r="T100" s="169">
        <v>0</v>
      </c>
      <c r="U100" s="61">
        <f t="shared" si="875"/>
        <v>1</v>
      </c>
      <c r="V100" s="190"/>
      <c r="W100" s="66">
        <v>8</v>
      </c>
      <c r="X100" s="66">
        <v>2012</v>
      </c>
      <c r="Y100" s="70">
        <f>MMULT($Y99:$AO99,D$180:D$196)</f>
        <v>0.16132420563685768</v>
      </c>
      <c r="Z100" s="70">
        <f t="shared" ref="Z100" si="960">MMULT($Y99:$AO99,E$180:E$196)</f>
        <v>4.7103818474375607E-2</v>
      </c>
      <c r="AA100" s="70">
        <f t="shared" ref="AA100" si="961">MMULT($Y99:$AO99,F$180:F$196)</f>
        <v>4.5781898670495716E-2</v>
      </c>
      <c r="AB100" s="70">
        <f t="shared" ref="AB100" si="962">MMULT($Y99:$AO99,G$180:G$196)</f>
        <v>6.4451253579327072E-3</v>
      </c>
      <c r="AC100" s="70">
        <f t="shared" ref="AC100" si="963">MMULT($Y99:$AO99,H$180:H$196)</f>
        <v>0.13900077623788976</v>
      </c>
      <c r="AD100" s="70">
        <f t="shared" ref="AD100" si="964">MMULT($Y99:$AO99,I$180:I$196)</f>
        <v>7.6174180760404872E-2</v>
      </c>
      <c r="AE100" s="70">
        <f t="shared" ref="AE100" si="965">MMULT($Y99:$AO99,J$180:J$196)</f>
        <v>5.5402212204146435E-2</v>
      </c>
      <c r="AF100" s="70">
        <f t="shared" ref="AF100" si="966">MMULT($Y99:$AO99,K$180:K$196)</f>
        <v>6.8210042686271607E-3</v>
      </c>
      <c r="AG100" s="70">
        <f t="shared" ref="AG100" si="967">MMULT($Y99:$AO99,L$180:L$196)</f>
        <v>3.8591987155444651E-2</v>
      </c>
      <c r="AH100" s="70">
        <f t="shared" ref="AH100" si="968">MMULT($Y99:$AO99,M$180:M$196)</f>
        <v>8.6614504568588175E-3</v>
      </c>
      <c r="AI100" s="70">
        <f t="shared" ref="AI100" si="969">MMULT($Y99:$AO99,N$180:N$196)</f>
        <v>6.0549747625561666E-2</v>
      </c>
      <c r="AJ100" s="70">
        <f t="shared" ref="AJ100" si="970">MMULT($Y99:$AO99,O$180:O$196)</f>
        <v>9.0594426191087832E-2</v>
      </c>
      <c r="AK100" s="70">
        <f t="shared" ref="AK100" si="971">MMULT($Y99:$AO99,P$180:P$196)</f>
        <v>5.0306465566524683E-2</v>
      </c>
      <c r="AL100" s="70">
        <f t="shared" ref="AL100" si="972">MMULT($Y99:$AO99,Q$180:Q$196)</f>
        <v>2.9911611370230826E-2</v>
      </c>
      <c r="AM100" s="70">
        <f t="shared" ref="AM100" si="973">MMULT($Y99:$AO99,R$180:R$196)</f>
        <v>1.3020451663654127E-3</v>
      </c>
      <c r="AN100" s="70">
        <f t="shared" ref="AN100" si="974">MMULT($Y99:$AO99,S$180:S$196)</f>
        <v>1.4359575091796228E-2</v>
      </c>
      <c r="AO100" s="70">
        <f t="shared" ref="AO100" si="975">MMULT($Y99:$AO99,T$180:T$196)</f>
        <v>6.9063584396026889E-2</v>
      </c>
      <c r="AP100" s="190"/>
      <c r="AQ100" s="66">
        <v>8</v>
      </c>
      <c r="AR100" s="66">
        <v>2012</v>
      </c>
      <c r="AS100" s="215">
        <f t="shared" si="852"/>
        <v>1487.4285348765043</v>
      </c>
      <c r="AT100" s="215">
        <f t="shared" si="853"/>
        <v>434.30285879196003</v>
      </c>
      <c r="AU100" s="215">
        <f t="shared" si="854"/>
        <v>422.11459956981099</v>
      </c>
      <c r="AV100" s="215">
        <f t="shared" si="855"/>
        <v>59.42482921518252</v>
      </c>
      <c r="AW100" s="215">
        <f t="shared" si="856"/>
        <v>1281.6038370064923</v>
      </c>
      <c r="AX100" s="215">
        <f t="shared" si="857"/>
        <v>702.33508751262423</v>
      </c>
      <c r="AY100" s="215">
        <f t="shared" si="858"/>
        <v>510.81504478769466</v>
      </c>
      <c r="AZ100" s="215">
        <f t="shared" si="859"/>
        <v>62.890477877254661</v>
      </c>
      <c r="BA100" s="215">
        <f t="shared" si="860"/>
        <v>355.82275261165836</v>
      </c>
      <c r="BB100" s="215">
        <f t="shared" si="861"/>
        <v>79.859612586293125</v>
      </c>
      <c r="BC100" s="215">
        <f t="shared" si="862"/>
        <v>558.27593907739367</v>
      </c>
      <c r="BD100" s="215">
        <f t="shared" si="863"/>
        <v>835.29148081297285</v>
      </c>
      <c r="BE100" s="215">
        <f t="shared" si="864"/>
        <v>463.8316492992256</v>
      </c>
      <c r="BF100" s="215">
        <f t="shared" si="865"/>
        <v>275.78864622689269</v>
      </c>
      <c r="BG100" s="215">
        <f t="shared" si="866"/>
        <v>12.00501267930907</v>
      </c>
      <c r="BH100" s="215">
        <f t="shared" si="867"/>
        <v>132.39700549537224</v>
      </c>
      <c r="BI100" s="215">
        <f t="shared" si="868"/>
        <v>636.77453576149549</v>
      </c>
      <c r="BJ100" s="194"/>
      <c r="BK100" s="66">
        <v>8</v>
      </c>
      <c r="BL100" s="66">
        <v>2012</v>
      </c>
      <c r="BM100" s="215">
        <f t="shared" si="876"/>
        <v>259.54346499680383</v>
      </c>
      <c r="BN100" s="219">
        <f t="shared" si="877"/>
        <v>90.936203088134107</v>
      </c>
      <c r="BO100" s="219">
        <f t="shared" si="878"/>
        <v>5.057459071671131</v>
      </c>
      <c r="BP100" s="219">
        <f t="shared" si="904"/>
        <v>0.28562545504925918</v>
      </c>
      <c r="BQ100" s="219">
        <f t="shared" si="879"/>
        <v>51.372318545168781</v>
      </c>
      <c r="BR100" s="220">
        <f t="shared" si="905"/>
        <v>10.067273556763162</v>
      </c>
      <c r="BS100" s="219">
        <f t="shared" si="906"/>
        <v>60.750414651252356</v>
      </c>
      <c r="BT100" s="219">
        <f t="shared" si="907"/>
        <v>9.2759462457986999</v>
      </c>
      <c r="BU100" s="219">
        <f t="shared" si="908"/>
        <v>0.53817296452289365</v>
      </c>
      <c r="BV100" s="219">
        <f t="shared" si="909"/>
        <v>0.39287953186635255</v>
      </c>
      <c r="BW100" s="219">
        <f t="shared" si="910"/>
        <v>0</v>
      </c>
      <c r="BX100" s="220">
        <f t="shared" si="911"/>
        <v>0</v>
      </c>
      <c r="BY100" s="195"/>
      <c r="BZ100" s="192">
        <v>8</v>
      </c>
      <c r="CA100" s="66">
        <v>2012</v>
      </c>
      <c r="CB100" s="218">
        <f>pAsympt_NoCare_Asympt_Dead_2010_2012*AS99</f>
        <v>42.680115986784557</v>
      </c>
      <c r="CC100" s="218">
        <f t="shared" si="880"/>
        <v>10.147359592841436</v>
      </c>
      <c r="CD100" s="73">
        <f t="shared" si="881"/>
        <v>6.5973536355565257</v>
      </c>
      <c r="CE100" s="73">
        <f>pInt_NoCare_Int_Dead_2010_2012*AW99</f>
        <v>47.716444346826108</v>
      </c>
      <c r="CF100" s="73">
        <f t="shared" si="882"/>
        <v>23.004920537474025</v>
      </c>
      <c r="CG100" s="73">
        <f t="shared" si="883"/>
        <v>1.5257935588852647</v>
      </c>
      <c r="CH100" s="73">
        <f t="shared" si="884"/>
        <v>0.1004103951052621</v>
      </c>
      <c r="CI100" s="73">
        <f t="shared" si="885"/>
        <v>6.2984875658476076</v>
      </c>
      <c r="CJ100" s="73">
        <f t="shared" si="886"/>
        <v>1.1679754549227814</v>
      </c>
      <c r="CK100" s="73">
        <f t="shared" si="887"/>
        <v>4.5580727232069962E-2</v>
      </c>
      <c r="CL100" s="73">
        <f t="shared" si="888"/>
        <v>0</v>
      </c>
      <c r="CM100" s="73">
        <f>pAIDS_NoCare_AIDS_Dead_2010_2012*BC99</f>
        <v>267.41502592094821</v>
      </c>
      <c r="CN100" s="73">
        <f t="shared" si="890"/>
        <v>304.35105160521255</v>
      </c>
      <c r="CO100" s="73">
        <f t="shared" si="891"/>
        <v>41.305492911066999</v>
      </c>
      <c r="CP100" s="73">
        <f t="shared" si="892"/>
        <v>1.2836816336703085</v>
      </c>
      <c r="CQ100" s="73">
        <f t="shared" si="893"/>
        <v>0</v>
      </c>
      <c r="CR100" s="73">
        <f t="shared" si="894"/>
        <v>9.3369164243613358</v>
      </c>
      <c r="CS100" s="73">
        <f t="shared" si="895"/>
        <v>0</v>
      </c>
      <c r="CT100" s="73">
        <f t="shared" si="896"/>
        <v>12.291725207840118</v>
      </c>
      <c r="CU100" s="73">
        <f t="shared" si="897"/>
        <v>0.79064205839597945</v>
      </c>
      <c r="CV100" s="73">
        <f t="shared" si="898"/>
        <v>0</v>
      </c>
      <c r="CW100" s="73">
        <f t="shared" si="899"/>
        <v>0</v>
      </c>
      <c r="CX100" s="73">
        <f t="shared" si="900"/>
        <v>0</v>
      </c>
      <c r="CY100" s="73">
        <f t="shared" si="901"/>
        <v>0</v>
      </c>
      <c r="CZ100" s="190"/>
      <c r="DA100" s="66">
        <v>2012</v>
      </c>
      <c r="DB100" s="218">
        <f t="shared" si="869"/>
        <v>1971.929427117557</v>
      </c>
      <c r="DC100" s="218">
        <f t="shared" si="870"/>
        <v>7534.9029266251646</v>
      </c>
      <c r="DD100" s="73">
        <f t="shared" si="871"/>
        <v>1325.3308308703768</v>
      </c>
      <c r="DE100" s="73">
        <f t="shared" si="872"/>
        <v>751.62530820542736</v>
      </c>
      <c r="DF100" s="73">
        <f t="shared" si="873"/>
        <v>1525.9644253857389</v>
      </c>
      <c r="DG100" s="73">
        <f t="shared" si="874"/>
        <v>3865.7261025165139</v>
      </c>
      <c r="DH100" s="72">
        <f t="shared" si="902"/>
        <v>0.25531040169225583</v>
      </c>
      <c r="DI100" s="72">
        <f t="shared" si="903"/>
        <v>0.33000908685178776</v>
      </c>
      <c r="DJ100" s="73">
        <f>SUM(AV92:AV100,BB92:BB100,BI92:BI100)</f>
        <v>1685.2170733748353</v>
      </c>
      <c r="DK100" s="73">
        <f>SUM(AV98:AV100,BB98:BB100,BI98:BI100)</f>
        <v>1517.5487816811421</v>
      </c>
      <c r="DL100" s="190"/>
    </row>
    <row r="101" spans="1:120" x14ac:dyDescent="0.25">
      <c r="A101" s="190"/>
      <c r="B101" s="188">
        <v>2008</v>
      </c>
      <c r="C101" s="61" t="s">
        <v>326</v>
      </c>
      <c r="D101" s="169">
        <v>0</v>
      </c>
      <c r="E101" s="169">
        <v>0</v>
      </c>
      <c r="F101" s="169">
        <v>0</v>
      </c>
      <c r="G101" s="169">
        <v>0</v>
      </c>
      <c r="H101" s="169">
        <v>0</v>
      </c>
      <c r="I101" s="169">
        <v>0</v>
      </c>
      <c r="J101" s="169">
        <v>0</v>
      </c>
      <c r="K101" s="169">
        <v>0</v>
      </c>
      <c r="L101" s="169">
        <v>0</v>
      </c>
      <c r="M101" s="169">
        <v>0</v>
      </c>
      <c r="N101" s="169">
        <v>0</v>
      </c>
      <c r="O101" s="169">
        <v>0</v>
      </c>
      <c r="P101" s="169">
        <v>0</v>
      </c>
      <c r="Q101" s="169">
        <v>0</v>
      </c>
      <c r="R101" s="169">
        <v>0</v>
      </c>
      <c r="S101" s="169">
        <v>0</v>
      </c>
      <c r="T101" s="169">
        <v>0</v>
      </c>
      <c r="U101" s="61">
        <f t="shared" si="875"/>
        <v>0</v>
      </c>
      <c r="V101" s="190"/>
      <c r="W101" s="66">
        <v>9</v>
      </c>
      <c r="X101" s="66">
        <v>2013</v>
      </c>
      <c r="Y101" s="70">
        <f>MMULT($Y100:$AO100,D$202:D$218)</f>
        <v>0.10224084239936213</v>
      </c>
      <c r="Z101" s="70">
        <f t="shared" ref="Z101:Z111" si="976">MMULT($Y100:$AO100,E$202:E$218)</f>
        <v>3.2580559631701374E-2</v>
      </c>
      <c r="AA101" s="70">
        <f t="shared" ref="AA101:AA111" si="977">MMULT($Y100:$AO100,F$202:F$218)</f>
        <v>4.4233040097174596E-2</v>
      </c>
      <c r="AB101" s="70">
        <f t="shared" ref="AB101:AB111" si="978">MMULT($Y100:$AO100,G$202:G$218)</f>
        <v>4.5699705668242382E-3</v>
      </c>
      <c r="AC101" s="70">
        <f t="shared" ref="AC101:AC111" si="979">MMULT($Y100:$AO100,H$202:H$218)</f>
        <v>9.8249200376616691E-2</v>
      </c>
      <c r="AD101" s="70">
        <f t="shared" ref="AD101:AD111" si="980">MMULT($Y100:$AO100,I$202:I$218)</f>
        <v>5.594564639296358E-2</v>
      </c>
      <c r="AE101" s="70">
        <f t="shared" ref="AE101:AE111" si="981">MMULT($Y100:$AO100,J$202:J$218)</f>
        <v>7.7667770398634192E-2</v>
      </c>
      <c r="AF101" s="70">
        <f t="shared" ref="AF101:AF111" si="982">MMULT($Y100:$AO100,K$202:K$218)</f>
        <v>1.3794538378290481E-2</v>
      </c>
      <c r="AG101" s="70">
        <f t="shared" ref="AG101:AG111" si="983">MMULT($Y100:$AO100,L$202:L$218)</f>
        <v>3.9329042089384689E-2</v>
      </c>
      <c r="AH101" s="70">
        <f t="shared" ref="AH101:AH111" si="984">MMULT($Y100:$AO100,M$202:M$218)</f>
        <v>7.2607953491582531E-3</v>
      </c>
      <c r="AI101" s="70">
        <f t="shared" ref="AI101:AI111" si="985">MMULT($Y100:$AO100,N$202:N$218)</f>
        <v>4.588164609464479E-2</v>
      </c>
      <c r="AJ101" s="70">
        <f t="shared" ref="AJ101:AJ111" si="986">MMULT($Y100:$AO100,O$202:O$218)</f>
        <v>7.6112426945225728E-2</v>
      </c>
      <c r="AK101" s="70">
        <f t="shared" ref="AK101:AK111" si="987">MMULT($Y100:$AO100,P$202:P$218)</f>
        <v>5.216773297699364E-2</v>
      </c>
      <c r="AL101" s="70">
        <f t="shared" ref="AL101:AL111" si="988">MMULT($Y100:$AO100,Q$202:Q$218)</f>
        <v>6.917908436530279E-2</v>
      </c>
      <c r="AM101" s="70">
        <f t="shared" ref="AM101:AM111" si="989">MMULT($Y100:$AO100,R$202:R$218)</f>
        <v>5.3944833870725826E-3</v>
      </c>
      <c r="AN101" s="70">
        <f t="shared" ref="AN101:AN111" si="990">MMULT($Y100:$AO100,S$202:S$218)</f>
        <v>1.8641364683485043E-2</v>
      </c>
      <c r="AO101" s="70">
        <f t="shared" ref="AO101:AO111" si="991">MMULT($Y100:$AO100,T$202:T$218)</f>
        <v>7.3975810286973753E-2</v>
      </c>
      <c r="AP101" s="190"/>
      <c r="AQ101" s="66">
        <v>9</v>
      </c>
      <c r="AR101" s="66">
        <v>2013</v>
      </c>
      <c r="AS101" s="215">
        <f t="shared" si="852"/>
        <v>942.67283582320681</v>
      </c>
      <c r="AT101" s="215">
        <f t="shared" si="853"/>
        <v>300.39666947144252</v>
      </c>
      <c r="AU101" s="215">
        <f t="shared" si="854"/>
        <v>407.83393766076148</v>
      </c>
      <c r="AV101" s="215">
        <f t="shared" si="855"/>
        <v>42.135677022587501</v>
      </c>
      <c r="AW101" s="215">
        <f t="shared" si="856"/>
        <v>905.86941737645111</v>
      </c>
      <c r="AX101" s="215">
        <f t="shared" si="857"/>
        <v>515.82557322069135</v>
      </c>
      <c r="AY101" s="215">
        <f t="shared" si="858"/>
        <v>716.10616320785516</v>
      </c>
      <c r="AZ101" s="215">
        <f t="shared" si="859"/>
        <v>127.18729919244363</v>
      </c>
      <c r="BA101" s="215">
        <f t="shared" si="860"/>
        <v>362.61848754917759</v>
      </c>
      <c r="BB101" s="215">
        <f t="shared" si="861"/>
        <v>66.945404414680993</v>
      </c>
      <c r="BC101" s="215">
        <f t="shared" si="862"/>
        <v>423.03428279015634</v>
      </c>
      <c r="BD101" s="215">
        <f t="shared" si="863"/>
        <v>701.76570992621475</v>
      </c>
      <c r="BE101" s="215">
        <f t="shared" si="864"/>
        <v>480.99275817583862</v>
      </c>
      <c r="BF101" s="215">
        <f t="shared" si="865"/>
        <v>637.83945933821565</v>
      </c>
      <c r="BG101" s="215">
        <f t="shared" si="866"/>
        <v>49.737784166815665</v>
      </c>
      <c r="BH101" s="215">
        <f t="shared" si="867"/>
        <v>171.87561934549413</v>
      </c>
      <c r="BI101" s="215">
        <f t="shared" si="868"/>
        <v>682.06584794313255</v>
      </c>
      <c r="BJ101" s="194"/>
      <c r="BK101" s="66">
        <v>9</v>
      </c>
      <c r="BL101" s="66">
        <v>2013</v>
      </c>
      <c r="BM101" s="215">
        <f t="shared" ref="BM101:BM111" si="992">(AX100*pInt_InCare_Int_LTFU_2013plus_u)+(BM100*pInt_LTFU_2013plus_u)</f>
        <v>231.58211134512692</v>
      </c>
      <c r="BN101" s="219">
        <f t="shared" ref="BN101:BN111" si="993">(AU100*pAsympt_LTFU_Int_LTFU_2013plus_u)+(BN100*pInt_LTFU_2013plus_u)</f>
        <v>120.65448442861538</v>
      </c>
      <c r="BO101" s="219">
        <f t="shared" ref="BO101:BO111" si="994">(AY100*pInt_ART1_Int_LTFU_2013plus_u)+(BO100*pInt_LTFU_2013plus_u)</f>
        <v>9.3633779341354639</v>
      </c>
      <c r="BP101" s="219">
        <f t="shared" ref="BP101:BP111" si="995">(AZ100*pInt_ART2_Int_LTFU_2013plus_u)+(BP100*pInt_LTFU_2013plus_u)</f>
        <v>1.0185138412998065</v>
      </c>
      <c r="BQ101" s="219">
        <f t="shared" ref="BQ101:BQ111" si="996">(BD100*pAIDS_InCare_AIDS_LTFU_2013plus_u)+(BQ100*pAIDS_LTFU_2013plus_u)</f>
        <v>56.573080164734456</v>
      </c>
      <c r="BR101" s="220">
        <f t="shared" ref="BR101:BR111" si="997">(BN100*pInt_LTFU_AIDS_LTFU_2013plus_u)+(BR100*pAIDS_LTFU_2013plus_u)</f>
        <v>23.320137405441862</v>
      </c>
      <c r="BS101" s="219">
        <f t="shared" ref="BS101:BS111" si="998">(BM100*pInt_LTFU_AIDS_LTFU_2013plus_u)+(BS100*pAIDS_LTFU_2013plus_u)</f>
        <v>71.203846761281682</v>
      </c>
      <c r="BT101" s="219">
        <f t="shared" ref="BT101:BT111" si="999">(BE100*pAIDS_ART1ear_AIDS_LTFU_2013plus_u)+(BT100*pAIDS_LTFU_2013plus_u)</f>
        <v>16.051725055908737</v>
      </c>
      <c r="BU101" s="219">
        <f t="shared" ref="BU101:BU111" si="1000">(BF100*pAIDS_ART1late_AIDS_LTFU_2013plus_u)+(BU100*pAIDS_LTFU_2013plus_u)</f>
        <v>3.0559514128117762</v>
      </c>
      <c r="BV101" s="219">
        <f t="shared" ref="BV101:BV111" si="1001">(BO100*pInt_LTFU_AIDS_LTFU_2013plus_u)+(BV100*pAIDS_LTFU_2013plus_u)</f>
        <v>1.2727286074763458</v>
      </c>
      <c r="BW101" s="219">
        <f t="shared" ref="BW101:BW111" si="1002">(BG100*pAIDS_ART2_AIDS_LTFU_2013plus_u)+(BW100*pAIDS_LTFU_2013plus_u)</f>
        <v>0.32949041184042599</v>
      </c>
      <c r="BX101" s="220">
        <f t="shared" ref="BX101:BX111" si="1003">(BP100*pInt_LTFU_AIDS_LTFU_2013plus_u)+(BX100*pAIDS_LTFU_2013plus_u)</f>
        <v>6.8659525998818416E-2</v>
      </c>
      <c r="BY101" s="195"/>
      <c r="BZ101" s="192">
        <v>9</v>
      </c>
      <c r="CA101" s="66">
        <v>2013</v>
      </c>
      <c r="CB101" s="218">
        <f t="shared" ref="CB101:CB111" si="1004">pAsympt_NoCare_Asympt_Dead_2013plus_u*AS100</f>
        <v>27.048953967974008</v>
      </c>
      <c r="CC101" s="218">
        <f t="shared" ref="CC101:CC111" si="1005">pAsympt_InCare_Asympt_Dead_2013plus_u*AT100</f>
        <v>7.4105503140377067</v>
      </c>
      <c r="CD101" s="73">
        <f t="shared" ref="CD101:CD111" si="1006">pAsympt_LTFU_Asympt_Dead_2013plus_u*AU100</f>
        <v>7.6761727405757831</v>
      </c>
      <c r="CE101" s="73">
        <f t="shared" ref="CE101:CE111" si="1007">pInt_NoCare_Int_Dead_2013plus_u*AW100</f>
        <v>35.74205649081938</v>
      </c>
      <c r="CF101" s="73">
        <f t="shared" ref="CF101:CF111" si="1008">pInt_InCare_Int_Dead_2013plus_u*AX100</f>
        <v>18.378645869789722</v>
      </c>
      <c r="CG101" s="73">
        <f t="shared" ref="CG101:CG111" si="1009">pInt_ART1_Int_Dead_2013plus_u*AY100</f>
        <v>2.5832781334322252</v>
      </c>
      <c r="CH101" s="73">
        <f t="shared" ref="CH101:CH111" si="1010">pInt_ART2_Int_Dead_2013plus_u*AZ100</f>
        <v>0.31804779040707054</v>
      </c>
      <c r="CI101" s="73">
        <f t="shared" ref="CI101:CI111" si="1011">(BM100*pInt_LTFU_Int_Dead_2013plus_u)</f>
        <v>7.2382876204604969</v>
      </c>
      <c r="CJ101" s="73">
        <f t="shared" ref="CJ101:CJ111" si="1012">(BN100*pInt_LTFU_Int_Dead_2013plus_u)</f>
        <v>2.5360776973237544</v>
      </c>
      <c r="CK101" s="73">
        <f t="shared" ref="CK101:CK111" si="1013">(BO100*pInt_LTFU_Int_Dead_2013plus_u)</f>
        <v>0.14104513627385526</v>
      </c>
      <c r="CL101" s="73">
        <f t="shared" ref="CL101:CL111" si="1014">(BP100*pInt_LTFU_Int_Dead_2013plus_u)</f>
        <v>7.9656761744970484E-3</v>
      </c>
      <c r="CM101" s="73">
        <f t="shared" ref="CM101:CM111" si="1015">pAIDS_NoCare_AIDS_Dead_2013plus_u*BC100</f>
        <v>229.18050103113467</v>
      </c>
      <c r="CN101" s="73">
        <f t="shared" ref="CN101:CN111" si="1016">pAIDS_InCare_AIDS_Dead_2013plus_u*BD100</f>
        <v>321.74381859861728</v>
      </c>
      <c r="CO101" s="73">
        <f t="shared" ref="CO101:CO111" si="1017">pAIDS_ART1ear_AIDS_Dead_2013plus_u*BE100</f>
        <v>68.556596783756362</v>
      </c>
      <c r="CP101" s="73">
        <f t="shared" ref="CP101:CP111" si="1018">pAIDS_ART1late_AIDS_Dead_2013plus_u*BF100</f>
        <v>7.1029907720948513</v>
      </c>
      <c r="CQ101" s="73">
        <f t="shared" ref="CQ101:CQ111" si="1019">pAIDS_ART2_AIDS_Dead_2013plus_u*BG100</f>
        <v>1.1310186945154204</v>
      </c>
      <c r="CR101" s="73">
        <f t="shared" ref="CR101:CR111" si="1020">(BQ100*pAIDS_LTFU_AIDS_Dead_2013plus_u)</f>
        <v>21.089093903580661</v>
      </c>
      <c r="CS101" s="73">
        <f t="shared" ref="CS101:CS111" si="1021">(BR100*pAIDS_LTFU_AIDS_Dead_2013plus_u)</f>
        <v>4.1327641695778414</v>
      </c>
      <c r="CT101" s="73">
        <f t="shared" ref="CT101:CT111" si="1022">(BS100*pAIDS_LTFU_AIDS_Dead_2013plus_u)</f>
        <v>24.938940572348546</v>
      </c>
      <c r="CU101" s="73">
        <f t="shared" ref="CU101:CU111" si="1023">(BT100*pAIDS_LTFU_AIDS_Dead_2013plus_u)</f>
        <v>3.8079126456053665</v>
      </c>
      <c r="CV101" s="73">
        <f t="shared" ref="CV101:CV111" si="1024">(BU100*pAIDS_LTFU_AIDS_Dead_2013plus_u)</f>
        <v>0.22092793369278521</v>
      </c>
      <c r="CW101" s="73">
        <f t="shared" ref="CW101:CW111" si="1025">(BV100*pAIDS_LTFU_AIDS_Dead_2013plus_u)</f>
        <v>0.16128283820866232</v>
      </c>
      <c r="CX101" s="73">
        <f t="shared" ref="CX101:CX111" si="1026">(BW100*pAIDS_LTFU_AIDS_Dead_2013plus_u)</f>
        <v>0</v>
      </c>
      <c r="CY101" s="73">
        <f t="shared" ref="CY101:CY111" si="1027">(BX100*pAIDS_LTFU_AIDS_Dead_2013plus_u)</f>
        <v>0</v>
      </c>
      <c r="CZ101" s="190"/>
      <c r="DA101" s="66">
        <v>2013</v>
      </c>
      <c r="DB101" s="218">
        <f t="shared" si="869"/>
        <v>1517.9879526183486</v>
      </c>
      <c r="DC101" s="218">
        <f t="shared" si="870"/>
        <v>6743.7559972447643</v>
      </c>
      <c r="DD101" s="73">
        <f t="shared" si="871"/>
        <v>2011.8634640811688</v>
      </c>
      <c r="DE101" s="73">
        <f t="shared" si="872"/>
        <v>1168.5700016808698</v>
      </c>
      <c r="DF101" s="73">
        <f t="shared" si="873"/>
        <v>1296.6756120618652</v>
      </c>
      <c r="DG101" s="73">
        <f t="shared" si="874"/>
        <v>3080.9890902081852</v>
      </c>
      <c r="DH101" s="72">
        <f t="shared" si="902"/>
        <v>0.39503666022820877</v>
      </c>
      <c r="DI101" s="72">
        <f t="shared" si="903"/>
        <v>0.47401767806281464</v>
      </c>
      <c r="DJ101" s="73">
        <f>SUM(AV92:AV101,BB92:BB101,BI92:BI101)</f>
        <v>2476.3640027552365</v>
      </c>
      <c r="DK101" s="73">
        <f>SUM(AV98:AV101,BB98:BB101,BI98:BI101)</f>
        <v>2308.6957110615431</v>
      </c>
      <c r="DL101" s="190"/>
    </row>
    <row r="102" spans="1:120" x14ac:dyDescent="0.25">
      <c r="A102" s="190"/>
      <c r="B102" s="188">
        <v>2008</v>
      </c>
      <c r="C102" s="61" t="s">
        <v>327</v>
      </c>
      <c r="D102" s="169">
        <v>0</v>
      </c>
      <c r="E102" s="169">
        <v>0</v>
      </c>
      <c r="F102" s="169">
        <v>0</v>
      </c>
      <c r="G102" s="169">
        <v>0</v>
      </c>
      <c r="H102" s="169">
        <v>0</v>
      </c>
      <c r="I102" s="169">
        <v>0</v>
      </c>
      <c r="J102" s="169">
        <v>0</v>
      </c>
      <c r="K102" s="169">
        <v>0</v>
      </c>
      <c r="L102" s="169">
        <v>0</v>
      </c>
      <c r="M102" s="169">
        <v>0</v>
      </c>
      <c r="N102" s="172">
        <f>pAIDS_NoCare_2007_2009</f>
        <v>6.9057483924386043E-2</v>
      </c>
      <c r="O102" s="172">
        <f>pAIDS_NoCare_AIDS_InCare_2007_2009</f>
        <v>0.46884042112291341</v>
      </c>
      <c r="P102" s="170">
        <f>pAIDS_NoCare_AIDS_ART1ear_2007_2009</f>
        <v>5.1587356649849515E-2</v>
      </c>
      <c r="Q102" s="169">
        <v>0</v>
      </c>
      <c r="R102" s="169">
        <v>0</v>
      </c>
      <c r="S102" s="169">
        <v>0</v>
      </c>
      <c r="T102" s="170">
        <f>pAIDS_NoCare_AIDS_Dead_2007_2009</f>
        <v>0.41051473830285101</v>
      </c>
      <c r="U102" s="61">
        <f t="shared" si="875"/>
        <v>0.99999999999999989</v>
      </c>
      <c r="V102" s="190"/>
      <c r="W102" s="66">
        <v>10</v>
      </c>
      <c r="X102" s="66">
        <v>2014</v>
      </c>
      <c r="Y102" s="70">
        <f t="shared" ref="Y102:Y111" si="1028">MMULT($Y101:$AO101,D$202:D$218)</f>
        <v>6.4796165047057069E-2</v>
      </c>
      <c r="Z102" s="70">
        <f t="shared" si="976"/>
        <v>2.1843525905788905E-2</v>
      </c>
      <c r="AA102" s="70">
        <f t="shared" si="977"/>
        <v>3.8769816816827674E-2</v>
      </c>
      <c r="AB102" s="70">
        <f t="shared" si="978"/>
        <v>3.2195591958670911E-3</v>
      </c>
      <c r="AC102" s="70">
        <f t="shared" si="979"/>
        <v>6.708755215141908E-2</v>
      </c>
      <c r="AD102" s="70">
        <f t="shared" si="980"/>
        <v>3.9104686877750108E-2</v>
      </c>
      <c r="AE102" s="70">
        <f t="shared" si="981"/>
        <v>9.6072930260269584E-2</v>
      </c>
      <c r="AF102" s="70">
        <f t="shared" si="982"/>
        <v>2.0951910682015136E-2</v>
      </c>
      <c r="AG102" s="70">
        <f t="shared" si="983"/>
        <v>3.6041947703449775E-2</v>
      </c>
      <c r="AH102" s="70">
        <f t="shared" si="984"/>
        <v>5.763377328924197E-3</v>
      </c>
      <c r="AI102" s="70">
        <f t="shared" si="985"/>
        <v>3.2643231150590313E-2</v>
      </c>
      <c r="AJ102" s="70">
        <f t="shared" si="986"/>
        <v>5.7361820503332731E-2</v>
      </c>
      <c r="AK102" s="70">
        <f t="shared" si="987"/>
        <v>4.4249513186057444E-2</v>
      </c>
      <c r="AL102" s="70">
        <f t="shared" si="988"/>
        <v>0.10733702419037131</v>
      </c>
      <c r="AM102" s="70">
        <f t="shared" si="989"/>
        <v>1.1185048354585635E-2</v>
      </c>
      <c r="AN102" s="70">
        <f t="shared" si="990"/>
        <v>1.9183473891676895E-2</v>
      </c>
      <c r="AO102" s="70">
        <f t="shared" si="991"/>
        <v>6.5805794970869358E-2</v>
      </c>
      <c r="AP102" s="190"/>
      <c r="AQ102" s="66">
        <v>10</v>
      </c>
      <c r="AR102" s="66">
        <v>2014</v>
      </c>
      <c r="AS102" s="215">
        <f t="shared" si="852"/>
        <v>597.42841727367193</v>
      </c>
      <c r="AT102" s="215">
        <f t="shared" si="853"/>
        <v>201.39993007448243</v>
      </c>
      <c r="AU102" s="215">
        <f t="shared" si="854"/>
        <v>357.46236342916922</v>
      </c>
      <c r="AV102" s="215">
        <f t="shared" si="855"/>
        <v>29.684722132998086</v>
      </c>
      <c r="AW102" s="215">
        <f t="shared" si="856"/>
        <v>618.55528134234214</v>
      </c>
      <c r="AX102" s="215">
        <f t="shared" si="857"/>
        <v>360.54990557528134</v>
      </c>
      <c r="AY102" s="215">
        <f t="shared" si="858"/>
        <v>885.80394575131686</v>
      </c>
      <c r="AZ102" s="215">
        <f t="shared" si="859"/>
        <v>193.17913071746142</v>
      </c>
      <c r="BA102" s="215">
        <f t="shared" si="860"/>
        <v>332.31108285953138</v>
      </c>
      <c r="BB102" s="215">
        <f t="shared" si="861"/>
        <v>53.139030577960568</v>
      </c>
      <c r="BC102" s="215">
        <f t="shared" si="862"/>
        <v>300.97450839618079</v>
      </c>
      <c r="BD102" s="215">
        <f t="shared" si="863"/>
        <v>528.88286845918822</v>
      </c>
      <c r="BE102" s="215">
        <f t="shared" si="864"/>
        <v>407.98582151703198</v>
      </c>
      <c r="BF102" s="215">
        <f t="shared" si="865"/>
        <v>989.6602434781264</v>
      </c>
      <c r="BG102" s="215">
        <f t="shared" si="866"/>
        <v>103.12748803508211</v>
      </c>
      <c r="BH102" s="215">
        <f t="shared" si="867"/>
        <v>176.87393129812799</v>
      </c>
      <c r="BI102" s="215">
        <f t="shared" si="868"/>
        <v>606.73732632681208</v>
      </c>
      <c r="BJ102" s="194"/>
      <c r="BK102" s="66">
        <v>10</v>
      </c>
      <c r="BL102" s="66">
        <v>2014</v>
      </c>
      <c r="BM102" s="215">
        <f t="shared" si="992"/>
        <v>186.40446427778619</v>
      </c>
      <c r="BN102" s="219">
        <f t="shared" si="993"/>
        <v>129.63895887980354</v>
      </c>
      <c r="BO102" s="219">
        <f t="shared" si="994"/>
        <v>14.032198783163386</v>
      </c>
      <c r="BP102" s="219">
        <f t="shared" si="995"/>
        <v>2.2354609187782932</v>
      </c>
      <c r="BQ102" s="219">
        <f t="shared" si="996"/>
        <v>49.475587389113549</v>
      </c>
      <c r="BR102" s="220">
        <f t="shared" si="997"/>
        <v>32.386704562385432</v>
      </c>
      <c r="BS102" s="219">
        <f t="shared" si="998"/>
        <v>65.999049442782891</v>
      </c>
      <c r="BT102" s="219">
        <f t="shared" si="999"/>
        <v>17.578888816983088</v>
      </c>
      <c r="BU102" s="219">
        <f t="shared" si="1000"/>
        <v>7.3305434579734561</v>
      </c>
      <c r="BV102" s="219">
        <f t="shared" si="1001"/>
        <v>2.4354517700234566</v>
      </c>
      <c r="BW102" s="219">
        <f t="shared" si="1002"/>
        <v>1.4129108815577505</v>
      </c>
      <c r="BX102" s="220">
        <f t="shared" si="1003"/>
        <v>0.25479497730832873</v>
      </c>
      <c r="BY102" s="195"/>
      <c r="BZ102" s="192">
        <v>10</v>
      </c>
      <c r="CA102" s="66">
        <v>2014</v>
      </c>
      <c r="CB102" s="218">
        <f t="shared" si="1004"/>
        <v>17.142547386425171</v>
      </c>
      <c r="CC102" s="218">
        <f t="shared" si="1005"/>
        <v>5.1256964770610205</v>
      </c>
      <c r="CD102" s="73">
        <f t="shared" si="1006"/>
        <v>7.4164782695119005</v>
      </c>
      <c r="CE102" s="73">
        <f t="shared" si="1007"/>
        <v>25.263373091017623</v>
      </c>
      <c r="CF102" s="73">
        <f t="shared" si="1008"/>
        <v>13.498080488017726</v>
      </c>
      <c r="CG102" s="73">
        <f t="shared" si="1009"/>
        <v>3.6214700633959556</v>
      </c>
      <c r="CH102" s="73">
        <f t="shared" si="1010"/>
        <v>0.64320769759375074</v>
      </c>
      <c r="CI102" s="73">
        <f t="shared" si="1011"/>
        <v>6.4584863644714723</v>
      </c>
      <c r="CJ102" s="73">
        <f t="shared" si="1012"/>
        <v>3.3648770968032085</v>
      </c>
      <c r="CK102" s="73">
        <f t="shared" si="1013"/>
        <v>0.26113091534468158</v>
      </c>
      <c r="CL102" s="73">
        <f t="shared" si="1014"/>
        <v>2.8404861316153125E-2</v>
      </c>
      <c r="CM102" s="73">
        <f t="shared" si="1015"/>
        <v>173.66180789273531</v>
      </c>
      <c r="CN102" s="73">
        <f t="shared" si="1016"/>
        <v>270.31136370919779</v>
      </c>
      <c r="CO102" s="73">
        <f t="shared" si="1017"/>
        <v>71.093092996107572</v>
      </c>
      <c r="CP102" s="73">
        <f t="shared" si="1018"/>
        <v>16.427680601579205</v>
      </c>
      <c r="CQ102" s="73">
        <f t="shared" si="1019"/>
        <v>4.685906230936129</v>
      </c>
      <c r="CR102" s="73">
        <f t="shared" si="1020"/>
        <v>23.224083198812178</v>
      </c>
      <c r="CS102" s="73">
        <f t="shared" si="1021"/>
        <v>9.5732601041814931</v>
      </c>
      <c r="CT102" s="73">
        <f t="shared" si="1022"/>
        <v>29.230228519363855</v>
      </c>
      <c r="CU102" s="73">
        <f t="shared" si="1023"/>
        <v>6.5894697106356919</v>
      </c>
      <c r="CV102" s="73">
        <f t="shared" si="1024"/>
        <v>1.254513094496654</v>
      </c>
      <c r="CW102" s="73">
        <f t="shared" si="1025"/>
        <v>0.52247385122870404</v>
      </c>
      <c r="CX102" s="73">
        <f t="shared" si="1026"/>
        <v>0.13526067018997107</v>
      </c>
      <c r="CY102" s="73">
        <f t="shared" si="1027"/>
        <v>2.8185747347402736E-2</v>
      </c>
      <c r="CZ102" s="190"/>
      <c r="DA102" s="66">
        <v>2014</v>
      </c>
      <c r="DB102" s="218">
        <f t="shared" si="869"/>
        <v>1090.8327041089519</v>
      </c>
      <c r="DC102" s="218">
        <f t="shared" si="870"/>
        <v>6054.194918206993</v>
      </c>
      <c r="DD102" s="73">
        <f t="shared" si="871"/>
        <v>2579.7566294990188</v>
      </c>
      <c r="DE102" s="73">
        <f t="shared" si="872"/>
        <v>1500.7735530302405</v>
      </c>
      <c r="DF102" s="73">
        <f t="shared" si="873"/>
        <v>1006.731308153497</v>
      </c>
      <c r="DG102" s="73">
        <f t="shared" si="874"/>
        <v>2318.147577930652</v>
      </c>
      <c r="DH102" s="72">
        <f t="shared" si="902"/>
        <v>0.52670622377337739</v>
      </c>
      <c r="DI102" s="72">
        <f t="shared" si="903"/>
        <v>0.59851271926219063</v>
      </c>
      <c r="DJ102" s="73">
        <f>SUM(AV92:AV102,BB92:BB102,BI92:BI102)</f>
        <v>3165.9250817930069</v>
      </c>
      <c r="DK102" s="73">
        <f>SUM(AV98:AV102,BB98:BB102,BI98:BI102)</f>
        <v>2998.2567900993135</v>
      </c>
      <c r="DL102" s="190"/>
    </row>
    <row r="103" spans="1:120" x14ac:dyDescent="0.25">
      <c r="A103" s="190"/>
      <c r="B103" s="188">
        <v>2008</v>
      </c>
      <c r="C103" s="61" t="s">
        <v>328</v>
      </c>
      <c r="D103" s="169">
        <v>0</v>
      </c>
      <c r="E103" s="169">
        <v>0</v>
      </c>
      <c r="F103" s="169">
        <v>0</v>
      </c>
      <c r="G103" s="169">
        <v>0</v>
      </c>
      <c r="H103" s="169">
        <v>0</v>
      </c>
      <c r="I103" s="169">
        <v>0</v>
      </c>
      <c r="J103" s="169">
        <v>0</v>
      </c>
      <c r="K103" s="169">
        <v>0</v>
      </c>
      <c r="L103" s="169">
        <v>0</v>
      </c>
      <c r="M103" s="169">
        <v>0</v>
      </c>
      <c r="N103" s="169">
        <v>0</v>
      </c>
      <c r="O103" s="172">
        <f>pAIDS_InCare_2008</f>
        <v>0.13554598369525328</v>
      </c>
      <c r="P103" s="172">
        <f>pAIDS_InCare_AIDS_ART1ear_2008</f>
        <v>0.42046106174679715</v>
      </c>
      <c r="Q103" s="169">
        <v>0</v>
      </c>
      <c r="R103" s="169">
        <v>0</v>
      </c>
      <c r="S103" s="170">
        <f>pAIDS_InCare_AIDS_LTFU_2004_2012</f>
        <v>5.8805476905872532E-2</v>
      </c>
      <c r="T103" s="170">
        <f>pAIDS_InCare_AIDS_Dead_2004_2012</f>
        <v>0.385187477652077</v>
      </c>
      <c r="U103" s="61">
        <f t="shared" si="875"/>
        <v>1</v>
      </c>
      <c r="V103" s="190"/>
      <c r="W103" s="66">
        <v>11</v>
      </c>
      <c r="X103" s="66">
        <v>2015</v>
      </c>
      <c r="Y103" s="70">
        <f t="shared" si="1028"/>
        <v>4.1065223117054975E-2</v>
      </c>
      <c r="Z103" s="70">
        <f t="shared" si="976"/>
        <v>1.4367251330038267E-2</v>
      </c>
      <c r="AA103" s="70">
        <f t="shared" si="977"/>
        <v>3.1921836839326867E-2</v>
      </c>
      <c r="AB103" s="70">
        <f t="shared" si="978"/>
        <v>2.256070106142189E-3</v>
      </c>
      <c r="AC103" s="70">
        <f t="shared" si="979"/>
        <v>4.4806027409578501E-2</v>
      </c>
      <c r="AD103" s="70">
        <f t="shared" si="980"/>
        <v>2.6497177148528745E-2</v>
      </c>
      <c r="AE103" s="70">
        <f t="shared" si="981"/>
        <v>0.11014096175811676</v>
      </c>
      <c r="AF103" s="70">
        <f t="shared" si="982"/>
        <v>2.7565160640267958E-2</v>
      </c>
      <c r="AG103" s="70">
        <f t="shared" si="983"/>
        <v>3.0933971219224365E-2</v>
      </c>
      <c r="AH103" s="70">
        <f t="shared" si="984"/>
        <v>4.4912335139561709E-3</v>
      </c>
      <c r="AI103" s="70">
        <f t="shared" si="985"/>
        <v>2.2380525055847634E-2</v>
      </c>
      <c r="AJ103" s="70">
        <f t="shared" si="986"/>
        <v>4.0718872740305043E-2</v>
      </c>
      <c r="AK103" s="70">
        <f t="shared" si="987"/>
        <v>3.4065445054408602E-2</v>
      </c>
      <c r="AL103" s="70">
        <f t="shared" si="988"/>
        <v>0.13643596305815858</v>
      </c>
      <c r="AM103" s="70">
        <f t="shared" si="989"/>
        <v>1.756447617816774E-2</v>
      </c>
      <c r="AN103" s="70">
        <f t="shared" si="990"/>
        <v>1.7689220677198015E-2</v>
      </c>
      <c r="AO103" s="70">
        <f t="shared" si="991"/>
        <v>5.372923087487122E-2</v>
      </c>
      <c r="AP103" s="190"/>
      <c r="AQ103" s="66">
        <v>11</v>
      </c>
      <c r="AR103" s="66">
        <v>2015</v>
      </c>
      <c r="AS103" s="215">
        <f t="shared" si="852"/>
        <v>378.62628496602093</v>
      </c>
      <c r="AT103" s="215">
        <f t="shared" si="853"/>
        <v>132.46778133311244</v>
      </c>
      <c r="AU103" s="215">
        <f t="shared" si="854"/>
        <v>294.32316627901446</v>
      </c>
      <c r="AV103" s="215">
        <f t="shared" si="855"/>
        <v>20.801237107043722</v>
      </c>
      <c r="AW103" s="215">
        <f t="shared" si="856"/>
        <v>413.11694943960299</v>
      </c>
      <c r="AX103" s="215">
        <f t="shared" si="857"/>
        <v>244.30715297069287</v>
      </c>
      <c r="AY103" s="215">
        <f t="shared" si="858"/>
        <v>1015.5128843252476</v>
      </c>
      <c r="AZ103" s="215">
        <f t="shared" si="859"/>
        <v>254.15408892254743</v>
      </c>
      <c r="BA103" s="215">
        <f t="shared" si="860"/>
        <v>285.21492671779498</v>
      </c>
      <c r="BB103" s="215">
        <f t="shared" si="861"/>
        <v>41.409711946697577</v>
      </c>
      <c r="BC103" s="215">
        <f t="shared" si="862"/>
        <v>206.35112667792191</v>
      </c>
      <c r="BD103" s="215">
        <f t="shared" si="863"/>
        <v>375.43289293034138</v>
      </c>
      <c r="BE103" s="215">
        <f t="shared" si="864"/>
        <v>314.08749125505386</v>
      </c>
      <c r="BF103" s="215">
        <f t="shared" si="865"/>
        <v>1257.9559517117891</v>
      </c>
      <c r="BG103" s="215">
        <f t="shared" si="866"/>
        <v>161.94657809984795</v>
      </c>
      <c r="BH103" s="215">
        <f t="shared" si="867"/>
        <v>163.09673735024697</v>
      </c>
      <c r="BI103" s="215">
        <f t="shared" si="868"/>
        <v>495.3899561740177</v>
      </c>
      <c r="BJ103" s="194"/>
      <c r="BK103" s="66">
        <v>11</v>
      </c>
      <c r="BL103" s="66">
        <v>2015</v>
      </c>
      <c r="BM103" s="215">
        <f t="shared" si="992"/>
        <v>140.06737745450363</v>
      </c>
      <c r="BN103" s="219">
        <f t="shared" si="993"/>
        <v>123.14431367719106</v>
      </c>
      <c r="BO103" s="219">
        <f t="shared" si="994"/>
        <v>18.333581255317142</v>
      </c>
      <c r="BP103" s="219">
        <f t="shared" si="995"/>
        <v>3.6696543307831733</v>
      </c>
      <c r="BQ103" s="219">
        <f t="shared" si="996"/>
        <v>38.279387851058118</v>
      </c>
      <c r="BR103" s="220">
        <f t="shared" si="997"/>
        <v>35.861845452542369</v>
      </c>
      <c r="BS103" s="219">
        <f t="shared" si="998"/>
        <v>54.38396820939942</v>
      </c>
      <c r="BT103" s="219">
        <f t="shared" si="999"/>
        <v>15.485750882752914</v>
      </c>
      <c r="BU103" s="219">
        <f t="shared" si="1000"/>
        <v>11.749562947812665</v>
      </c>
      <c r="BV103" s="219">
        <f t="shared" si="1001"/>
        <v>3.7264512899914664</v>
      </c>
      <c r="BW103" s="219">
        <f t="shared" si="1002"/>
        <v>3.0354367446449553</v>
      </c>
      <c r="BX103" s="220">
        <f t="shared" si="1003"/>
        <v>0.57433397204507119</v>
      </c>
      <c r="BY103" s="195"/>
      <c r="BZ103" s="192">
        <v>11</v>
      </c>
      <c r="CA103" s="66">
        <v>2015</v>
      </c>
      <c r="CB103" s="218">
        <f t="shared" si="1004"/>
        <v>10.864262301742658</v>
      </c>
      <c r="CC103" s="218">
        <f t="shared" si="1005"/>
        <v>3.4365058503461485</v>
      </c>
      <c r="CD103" s="73">
        <f t="shared" si="1006"/>
        <v>6.5004689549549175</v>
      </c>
      <c r="CE103" s="73">
        <f t="shared" si="1007"/>
        <v>17.250602073783174</v>
      </c>
      <c r="CF103" s="73">
        <f t="shared" si="1008"/>
        <v>9.4348397948082177</v>
      </c>
      <c r="CG103" s="73">
        <f t="shared" si="1009"/>
        <v>4.4796604699033828</v>
      </c>
      <c r="CH103" s="73">
        <f t="shared" si="1010"/>
        <v>0.97693955828038115</v>
      </c>
      <c r="CI103" s="73">
        <f t="shared" si="1011"/>
        <v>5.1985478663355522</v>
      </c>
      <c r="CJ103" s="73">
        <f t="shared" si="1012"/>
        <v>3.6154409482073642</v>
      </c>
      <c r="CK103" s="73">
        <f t="shared" si="1013"/>
        <v>0.39133750002629869</v>
      </c>
      <c r="CL103" s="73">
        <f t="shared" si="1014"/>
        <v>6.234373535321118E-2</v>
      </c>
      <c r="CM103" s="73">
        <f t="shared" si="1015"/>
        <v>123.5544715500874</v>
      </c>
      <c r="CN103" s="73">
        <f t="shared" si="1016"/>
        <v>203.71905807518993</v>
      </c>
      <c r="CO103" s="73">
        <f t="shared" si="1017"/>
        <v>60.302309041418511</v>
      </c>
      <c r="CP103" s="73">
        <f t="shared" si="1018"/>
        <v>25.48889402485058</v>
      </c>
      <c r="CQ103" s="73">
        <f t="shared" si="1019"/>
        <v>9.7158678630238811</v>
      </c>
      <c r="CR103" s="73">
        <f t="shared" si="1020"/>
        <v>20.310457809421784</v>
      </c>
      <c r="CS103" s="73">
        <f t="shared" si="1021"/>
        <v>13.295219547919407</v>
      </c>
      <c r="CT103" s="73">
        <f t="shared" si="1022"/>
        <v>27.093582510240942</v>
      </c>
      <c r="CU103" s="73">
        <f t="shared" si="1023"/>
        <v>7.216392942358727</v>
      </c>
      <c r="CV103" s="73">
        <f t="shared" si="1024"/>
        <v>3.0092961292676499</v>
      </c>
      <c r="CW103" s="73">
        <f t="shared" si="1025"/>
        <v>0.99978884602039453</v>
      </c>
      <c r="CX103" s="73">
        <f t="shared" si="1026"/>
        <v>0.58002074078793042</v>
      </c>
      <c r="CY103" s="73">
        <f t="shared" si="1027"/>
        <v>0.10459709343060943</v>
      </c>
      <c r="CZ103" s="190"/>
      <c r="DA103" s="66">
        <v>2015</v>
      </c>
      <c r="DB103" s="218">
        <f t="shared" si="869"/>
        <v>752.20782723414663</v>
      </c>
      <c r="DC103" s="218">
        <f t="shared" si="870"/>
        <v>5496.5940129792361</v>
      </c>
      <c r="DD103" s="73">
        <f t="shared" si="871"/>
        <v>3003.6569943144859</v>
      </c>
      <c r="DE103" s="73">
        <f t="shared" si="872"/>
        <v>1733.990021066691</v>
      </c>
      <c r="DF103" s="73">
        <f t="shared" si="873"/>
        <v>744.88075695851023</v>
      </c>
      <c r="DG103" s="73">
        <f t="shared" si="874"/>
        <v>1687.519786086601</v>
      </c>
      <c r="DH103" s="72">
        <f t="shared" si="902"/>
        <v>0.64027793769427699</v>
      </c>
      <c r="DI103" s="72">
        <f t="shared" si="903"/>
        <v>0.69950803262446726</v>
      </c>
      <c r="DJ103" s="73">
        <f>SUM(AV92:AV103,BB92:BB103,BI92:BI103)</f>
        <v>3723.525987020766</v>
      </c>
      <c r="DK103" s="73">
        <f>SUM(AV98:AV103,BB98:BB103,BI98:BI103)</f>
        <v>3555.8576953270726</v>
      </c>
      <c r="DL103" s="190"/>
    </row>
    <row r="104" spans="1:120" x14ac:dyDescent="0.25">
      <c r="A104" s="190"/>
      <c r="B104" s="188">
        <v>2008</v>
      </c>
      <c r="C104" s="61" t="s">
        <v>329</v>
      </c>
      <c r="D104" s="169">
        <v>0</v>
      </c>
      <c r="E104" s="169">
        <v>0</v>
      </c>
      <c r="F104" s="169">
        <v>0</v>
      </c>
      <c r="G104" s="169">
        <v>0</v>
      </c>
      <c r="H104" s="169">
        <v>0</v>
      </c>
      <c r="I104" s="169">
        <v>0</v>
      </c>
      <c r="J104" s="169">
        <v>0</v>
      </c>
      <c r="K104" s="169">
        <v>0</v>
      </c>
      <c r="L104" s="169">
        <v>0</v>
      </c>
      <c r="M104" s="169">
        <v>0</v>
      </c>
      <c r="N104" s="169">
        <v>0</v>
      </c>
      <c r="O104" s="169">
        <v>0</v>
      </c>
      <c r="P104" s="169">
        <v>0</v>
      </c>
      <c r="Q104" s="172">
        <f>pAIDS_ART1ear_AIDS_ART1late_2004_2012</f>
        <v>0.82048978572958342</v>
      </c>
      <c r="R104" s="169">
        <v>0</v>
      </c>
      <c r="S104" s="170">
        <f>pAIDS_ART1ear_AIDS_LTFU_2004_2012</f>
        <v>3.1705300812410298E-2</v>
      </c>
      <c r="T104" s="170">
        <f>pAIDS_ART1ear_AIDS_Dead_2004_2012</f>
        <v>0.14780491345800628</v>
      </c>
      <c r="U104" s="61">
        <f t="shared" si="875"/>
        <v>1</v>
      </c>
      <c r="V104" s="190"/>
      <c r="W104" s="66">
        <v>12</v>
      </c>
      <c r="X104" s="66">
        <v>2016</v>
      </c>
      <c r="Y104" s="70">
        <f t="shared" si="1028"/>
        <v>2.6025499324363141E-2</v>
      </c>
      <c r="Z104" s="70">
        <f t="shared" si="976"/>
        <v>9.3348436493219857E-3</v>
      </c>
      <c r="AA104" s="70">
        <f t="shared" si="977"/>
        <v>2.5173437515807504E-2</v>
      </c>
      <c r="AB104" s="70">
        <f t="shared" si="978"/>
        <v>1.5724226805657869E-3</v>
      </c>
      <c r="AC104" s="70">
        <f t="shared" si="979"/>
        <v>2.9482688499825917E-2</v>
      </c>
      <c r="AD104" s="70">
        <f t="shared" si="980"/>
        <v>1.7592969099059799E-2</v>
      </c>
      <c r="AE104" s="70">
        <f t="shared" si="981"/>
        <v>0.12018540920196542</v>
      </c>
      <c r="AF104" s="70">
        <f t="shared" si="982"/>
        <v>3.3294652648149473E-2</v>
      </c>
      <c r="AG104" s="70">
        <f t="shared" si="983"/>
        <v>2.5525916261684798E-2</v>
      </c>
      <c r="AH104" s="70">
        <f t="shared" si="984"/>
        <v>3.5020568653172175E-3</v>
      </c>
      <c r="AI104" s="70">
        <f t="shared" si="985"/>
        <v>1.4987350972137069E-2</v>
      </c>
      <c r="AJ104" s="70">
        <f t="shared" si="986"/>
        <v>2.7877042345714864E-2</v>
      </c>
      <c r="AK104" s="70">
        <f t="shared" si="987"/>
        <v>2.4892170687398709E-2</v>
      </c>
      <c r="AL104" s="70">
        <f t="shared" si="988"/>
        <v>0.15522507822382803</v>
      </c>
      <c r="AM104" s="70">
        <f t="shared" si="989"/>
        <v>2.3710929464158668E-2</v>
      </c>
      <c r="AN104" s="70">
        <f t="shared" si="990"/>
        <v>1.5432260525725328E-2</v>
      </c>
      <c r="AO104" s="70">
        <f t="shared" si="991"/>
        <v>4.2337384261198305E-2</v>
      </c>
      <c r="AP104" s="190"/>
      <c r="AQ104" s="66">
        <v>12</v>
      </c>
      <c r="AR104" s="66">
        <v>2016</v>
      </c>
      <c r="AS104" s="215">
        <f t="shared" si="852"/>
        <v>239.95822683054712</v>
      </c>
      <c r="AT104" s="215">
        <f t="shared" si="853"/>
        <v>86.068378627986633</v>
      </c>
      <c r="AU104" s="215">
        <f t="shared" si="854"/>
        <v>232.10211470824711</v>
      </c>
      <c r="AV104" s="215">
        <f t="shared" si="855"/>
        <v>14.497925805538223</v>
      </c>
      <c r="AW104" s="215">
        <f t="shared" si="856"/>
        <v>271.83392589101493</v>
      </c>
      <c r="AX104" s="215">
        <f t="shared" si="857"/>
        <v>162.20928624962323</v>
      </c>
      <c r="AY104" s="215">
        <f t="shared" si="858"/>
        <v>1108.1238950912254</v>
      </c>
      <c r="AZ104" s="215">
        <f t="shared" si="859"/>
        <v>306.98069277425594</v>
      </c>
      <c r="BA104" s="215">
        <f t="shared" si="860"/>
        <v>235.35201104268526</v>
      </c>
      <c r="BB104" s="215">
        <f t="shared" si="861"/>
        <v>32.289384545048584</v>
      </c>
      <c r="BC104" s="215">
        <f t="shared" si="862"/>
        <v>138.18517444522044</v>
      </c>
      <c r="BD104" s="215">
        <f t="shared" si="863"/>
        <v>257.02967567257258</v>
      </c>
      <c r="BE104" s="215">
        <f t="shared" si="864"/>
        <v>229.50880079829861</v>
      </c>
      <c r="BF104" s="215">
        <f t="shared" si="865"/>
        <v>1431.1938482330813</v>
      </c>
      <c r="BG104" s="215">
        <f t="shared" si="866"/>
        <v>218.61761497107864</v>
      </c>
      <c r="BH104" s="215">
        <f t="shared" si="867"/>
        <v>142.28729391845062</v>
      </c>
      <c r="BI104" s="215">
        <f t="shared" si="868"/>
        <v>390.35576337435975</v>
      </c>
      <c r="BJ104" s="194"/>
      <c r="BK104" s="66">
        <v>12</v>
      </c>
      <c r="BL104" s="66">
        <v>2016</v>
      </c>
      <c r="BM104" s="215">
        <f t="shared" si="992"/>
        <v>100.39164797487615</v>
      </c>
      <c r="BN104" s="219">
        <f t="shared" si="993"/>
        <v>107.92882324934821</v>
      </c>
      <c r="BO104" s="219">
        <f t="shared" si="994"/>
        <v>21.913305326936978</v>
      </c>
      <c r="BP104" s="219">
        <f t="shared" si="995"/>
        <v>5.1182344915239444</v>
      </c>
      <c r="BQ104" s="219">
        <f t="shared" si="996"/>
        <v>27.631285318897536</v>
      </c>
      <c r="BR104" s="220">
        <f t="shared" si="997"/>
        <v>34.804834374637267</v>
      </c>
      <c r="BS104" s="219">
        <f t="shared" si="998"/>
        <v>41.560139559549739</v>
      </c>
      <c r="BT104" s="219">
        <f t="shared" si="999"/>
        <v>12.204992611057833</v>
      </c>
      <c r="BU104" s="219">
        <f t="shared" si="1000"/>
        <v>15.287661840605629</v>
      </c>
      <c r="BV104" s="219">
        <f t="shared" si="1001"/>
        <v>4.9477358508899458</v>
      </c>
      <c r="BW104" s="219">
        <f t="shared" si="1002"/>
        <v>4.8851941654749753</v>
      </c>
      <c r="BX104" s="220">
        <f t="shared" si="1003"/>
        <v>0.96545019733771253</v>
      </c>
      <c r="BY104" s="195"/>
      <c r="BZ104" s="192">
        <v>12</v>
      </c>
      <c r="CA104" s="66">
        <v>2016</v>
      </c>
      <c r="CB104" s="218">
        <f t="shared" si="1004"/>
        <v>6.8853358080569693</v>
      </c>
      <c r="CC104" s="218">
        <f t="shared" si="1005"/>
        <v>2.260310146906515</v>
      </c>
      <c r="CD104" s="73">
        <f t="shared" si="1006"/>
        <v>5.3522798505747406</v>
      </c>
      <c r="CE104" s="73">
        <f t="shared" si="1007"/>
        <v>11.521227479057918</v>
      </c>
      <c r="CF104" s="73">
        <f t="shared" si="1008"/>
        <v>6.3930091600673498</v>
      </c>
      <c r="CG104" s="73">
        <f t="shared" si="1009"/>
        <v>5.1356205246194744</v>
      </c>
      <c r="CH104" s="73">
        <f t="shared" si="1010"/>
        <v>1.2853002415167356</v>
      </c>
      <c r="CI104" s="73">
        <f t="shared" si="1011"/>
        <v>3.9062742892478006</v>
      </c>
      <c r="CJ104" s="73">
        <f t="shared" si="1012"/>
        <v>3.4343147928255213</v>
      </c>
      <c r="CK104" s="73">
        <f t="shared" si="1013"/>
        <v>0.51129676580646277</v>
      </c>
      <c r="CL104" s="73">
        <f t="shared" si="1014"/>
        <v>0.10234129190732731</v>
      </c>
      <c r="CM104" s="73">
        <f t="shared" si="1015"/>
        <v>84.710178766685573</v>
      </c>
      <c r="CN104" s="73">
        <f t="shared" si="1016"/>
        <v>144.61204905546049</v>
      </c>
      <c r="CO104" s="73">
        <f t="shared" si="1017"/>
        <v>46.423674463195539</v>
      </c>
      <c r="CP104" s="73">
        <f t="shared" si="1018"/>
        <v>32.398902706674733</v>
      </c>
      <c r="CQ104" s="73">
        <f t="shared" si="1019"/>
        <v>15.257343930957962</v>
      </c>
      <c r="CR104" s="73">
        <f t="shared" si="1020"/>
        <v>15.714252886070458</v>
      </c>
      <c r="CS104" s="73">
        <f t="shared" si="1021"/>
        <v>14.721816101007718</v>
      </c>
      <c r="CT104" s="73">
        <f t="shared" si="1022"/>
        <v>22.325420477352171</v>
      </c>
      <c r="CU104" s="73">
        <f t="shared" si="1023"/>
        <v>6.357128971056456</v>
      </c>
      <c r="CV104" s="73">
        <f t="shared" si="1024"/>
        <v>4.8233687586941905</v>
      </c>
      <c r="CW104" s="73">
        <f t="shared" si="1025"/>
        <v>1.5297631761091683</v>
      </c>
      <c r="CX104" s="73">
        <f t="shared" si="1026"/>
        <v>1.2460915208627819</v>
      </c>
      <c r="CY104" s="73">
        <f t="shared" si="1027"/>
        <v>0.23577256023251936</v>
      </c>
      <c r="CZ104" s="190"/>
      <c r="DA104" s="66">
        <v>2016</v>
      </c>
      <c r="DB104" s="218">
        <f t="shared" si="869"/>
        <v>505.30734055018246</v>
      </c>
      <c r="DC104" s="218">
        <f t="shared" si="870"/>
        <v>5059.4509392542877</v>
      </c>
      <c r="DD104" s="73">
        <f t="shared" si="871"/>
        <v>3294.4248518679401</v>
      </c>
      <c r="DE104" s="73">
        <f t="shared" si="872"/>
        <v>1879.3202640024585</v>
      </c>
      <c r="DF104" s="73">
        <f t="shared" si="873"/>
        <v>537.50214403624364</v>
      </c>
      <c r="DG104" s="73">
        <f t="shared" si="874"/>
        <v>1206.8973672195671</v>
      </c>
      <c r="DH104" s="72">
        <f t="shared" si="902"/>
        <v>0.73187936600010262</v>
      </c>
      <c r="DI104" s="72">
        <f t="shared" si="903"/>
        <v>0.77759965223409322</v>
      </c>
      <c r="DJ104" s="73">
        <f>SUM(AV92:AV104,BB92:BB104,BI92:BI104)</f>
        <v>4160.6690607457131</v>
      </c>
      <c r="DK104" s="73">
        <f>SUM(AV98:AV104,BB98:BB104,BI98:BI104)</f>
        <v>3993.0007690520197</v>
      </c>
      <c r="DL104" s="190"/>
    </row>
    <row r="105" spans="1:120" x14ac:dyDescent="0.25">
      <c r="A105" s="190"/>
      <c r="B105" s="188">
        <v>2008</v>
      </c>
      <c r="C105" s="61" t="s">
        <v>330</v>
      </c>
      <c r="D105" s="169">
        <v>0</v>
      </c>
      <c r="E105" s="169">
        <v>0</v>
      </c>
      <c r="F105" s="169">
        <v>0</v>
      </c>
      <c r="G105" s="169">
        <v>0</v>
      </c>
      <c r="H105" s="169">
        <v>0</v>
      </c>
      <c r="I105" s="169">
        <v>0</v>
      </c>
      <c r="J105" s="169">
        <v>0</v>
      </c>
      <c r="K105" s="169">
        <v>0</v>
      </c>
      <c r="L105" s="169">
        <v>0</v>
      </c>
      <c r="M105" s="169">
        <v>0</v>
      </c>
      <c r="N105" s="169">
        <v>0</v>
      </c>
      <c r="O105" s="169">
        <v>0</v>
      </c>
      <c r="P105" s="169">
        <v>0</v>
      </c>
      <c r="Q105" s="172">
        <f>pAIDS_ART1late_2004_2012</f>
        <v>0.93285322767942069</v>
      </c>
      <c r="R105" s="170">
        <f>pAIDS_ART1late_AIDS_ART2_2004_2012</f>
        <v>3.0593921587134254E-2</v>
      </c>
      <c r="S105" s="170">
        <f>pAIDS_ART1late_AIDS_LTFU_2004_2012</f>
        <v>1.0797654247759469E-2</v>
      </c>
      <c r="T105" s="170">
        <f>pAIDS_ART1late_AIDS_Dead_2004_2012</f>
        <v>2.5755196485685583E-2</v>
      </c>
      <c r="U105" s="61">
        <f t="shared" si="875"/>
        <v>1</v>
      </c>
      <c r="V105" s="190"/>
      <c r="W105" s="66">
        <v>13</v>
      </c>
      <c r="X105" s="66">
        <v>2017</v>
      </c>
      <c r="Y105" s="70">
        <f t="shared" si="1028"/>
        <v>1.6493922683720252E-2</v>
      </c>
      <c r="Z105" s="70">
        <f t="shared" si="976"/>
        <v>6.0165843106862226E-3</v>
      </c>
      <c r="AA105" s="70">
        <f t="shared" si="977"/>
        <v>1.92395837844259E-2</v>
      </c>
      <c r="AB105" s="70">
        <f t="shared" si="978"/>
        <v>1.0903362509195713E-3</v>
      </c>
      <c r="AC105" s="70">
        <f t="shared" si="979"/>
        <v>1.9200678610970398E-2</v>
      </c>
      <c r="AD105" s="70">
        <f t="shared" si="980"/>
        <v>1.1521981388494302E-2</v>
      </c>
      <c r="AE105" s="70">
        <f t="shared" si="981"/>
        <v>0.12685251728502508</v>
      </c>
      <c r="AF105" s="70">
        <f t="shared" si="982"/>
        <v>3.8071192518194956E-2</v>
      </c>
      <c r="AG105" s="70">
        <f t="shared" si="983"/>
        <v>2.0623456927858108E-2</v>
      </c>
      <c r="AH105" s="70">
        <f t="shared" si="984"/>
        <v>2.7706555222980155E-3</v>
      </c>
      <c r="AI105" s="70">
        <f t="shared" si="985"/>
        <v>9.8797952987752635E-3</v>
      </c>
      <c r="AJ105" s="70">
        <f t="shared" si="986"/>
        <v>1.8646268206401223E-2</v>
      </c>
      <c r="AK105" s="70">
        <f t="shared" si="987"/>
        <v>1.7680282014092781E-2</v>
      </c>
      <c r="AL105" s="70">
        <f t="shared" si="988"/>
        <v>0.16522598703153651</v>
      </c>
      <c r="AM105" s="70">
        <f t="shared" si="989"/>
        <v>2.9160156733002381E-2</v>
      </c>
      <c r="AN105" s="70">
        <f t="shared" si="990"/>
        <v>1.3130366944648874E-2</v>
      </c>
      <c r="AO105" s="70">
        <f t="shared" si="991"/>
        <v>3.3136482908090861E-2</v>
      </c>
      <c r="AP105" s="190"/>
      <c r="AQ105" s="66">
        <v>13</v>
      </c>
      <c r="AR105" s="66">
        <v>2017</v>
      </c>
      <c r="AS105" s="215">
        <f t="shared" si="852"/>
        <v>152.07594641462279</v>
      </c>
      <c r="AT105" s="215">
        <f t="shared" si="853"/>
        <v>55.473629334644258</v>
      </c>
      <c r="AU105" s="215">
        <f t="shared" si="854"/>
        <v>177.39127124246096</v>
      </c>
      <c r="AV105" s="215">
        <f t="shared" si="855"/>
        <v>10.053031073828558</v>
      </c>
      <c r="AW105" s="215">
        <f t="shared" si="856"/>
        <v>177.03256087458041</v>
      </c>
      <c r="AX105" s="215">
        <f t="shared" si="857"/>
        <v>106.23405103968409</v>
      </c>
      <c r="AY105" s="215">
        <f t="shared" si="858"/>
        <v>1169.5954316700056</v>
      </c>
      <c r="AZ105" s="215">
        <f t="shared" si="859"/>
        <v>351.02096356085968</v>
      </c>
      <c r="BA105" s="215">
        <f t="shared" si="860"/>
        <v>190.15074768968313</v>
      </c>
      <c r="BB105" s="215">
        <f t="shared" si="861"/>
        <v>25.545776394250382</v>
      </c>
      <c r="BC105" s="215">
        <f t="shared" si="862"/>
        <v>91.092898230143788</v>
      </c>
      <c r="BD105" s="215">
        <f t="shared" si="863"/>
        <v>171.92083041520405</v>
      </c>
      <c r="BE105" s="215">
        <f t="shared" si="864"/>
        <v>163.01432180377714</v>
      </c>
      <c r="BF105" s="215">
        <f t="shared" si="865"/>
        <v>1523.4034275492106</v>
      </c>
      <c r="BG105" s="215">
        <f t="shared" si="866"/>
        <v>268.86014429708996</v>
      </c>
      <c r="BH105" s="215">
        <f t="shared" si="867"/>
        <v>121.06355887369598</v>
      </c>
      <c r="BI105" s="215">
        <f t="shared" si="868"/>
        <v>305.52234879054674</v>
      </c>
      <c r="BJ105" s="194"/>
      <c r="BK105" s="66">
        <v>13</v>
      </c>
      <c r="BL105" s="66">
        <v>2017</v>
      </c>
      <c r="BM105" s="215">
        <f t="shared" si="992"/>
        <v>69.60126261131127</v>
      </c>
      <c r="BN105" s="219">
        <f t="shared" si="993"/>
        <v>89.422329660356638</v>
      </c>
      <c r="BO105" s="219">
        <f t="shared" si="994"/>
        <v>24.671827033351505</v>
      </c>
      <c r="BP105" s="219">
        <f t="shared" si="995"/>
        <v>6.4553283846637175</v>
      </c>
      <c r="BQ105" s="219">
        <f t="shared" si="996"/>
        <v>19.123644918408214</v>
      </c>
      <c r="BR105" s="220">
        <f t="shared" si="997"/>
        <v>30.993931225646215</v>
      </c>
      <c r="BS105" s="219">
        <f t="shared" si="998"/>
        <v>30.162217055424108</v>
      </c>
      <c r="BT105" s="219">
        <f t="shared" si="999"/>
        <v>9.0474101153927045</v>
      </c>
      <c r="BU105" s="219">
        <f t="shared" si="1000"/>
        <v>17.671550753622938</v>
      </c>
      <c r="BV105" s="219">
        <f t="shared" si="1001"/>
        <v>5.9854313312264908</v>
      </c>
      <c r="BW105" s="219">
        <f t="shared" si="1002"/>
        <v>6.7089639191767283</v>
      </c>
      <c r="BX105" s="220">
        <f t="shared" si="1003"/>
        <v>1.3704095547985908</v>
      </c>
      <c r="BY105" s="195"/>
      <c r="BZ105" s="192">
        <v>13</v>
      </c>
      <c r="CA105" s="66">
        <v>2017</v>
      </c>
      <c r="CB105" s="218">
        <f t="shared" si="1004"/>
        <v>4.3636510121913368</v>
      </c>
      <c r="CC105" s="218">
        <f t="shared" si="1005"/>
        <v>1.4685927973038477</v>
      </c>
      <c r="CD105" s="73">
        <f t="shared" si="1006"/>
        <v>4.2207872643333744</v>
      </c>
      <c r="CE105" s="73">
        <f t="shared" si="1007"/>
        <v>7.5810505982970513</v>
      </c>
      <c r="CF105" s="73">
        <f t="shared" si="1008"/>
        <v>4.2446790453418588</v>
      </c>
      <c r="CG105" s="73">
        <f t="shared" si="1009"/>
        <v>5.6039700798410514</v>
      </c>
      <c r="CH105" s="73">
        <f t="shared" si="1010"/>
        <v>1.5524533177350039</v>
      </c>
      <c r="CI105" s="73">
        <f t="shared" si="1011"/>
        <v>2.7997762253159513</v>
      </c>
      <c r="CJ105" s="73">
        <f t="shared" si="1012"/>
        <v>3.0099770195571929</v>
      </c>
      <c r="CK105" s="73">
        <f t="shared" si="1013"/>
        <v>0.6111300343211965</v>
      </c>
      <c r="CL105" s="73">
        <f t="shared" si="1014"/>
        <v>0.14274007384107287</v>
      </c>
      <c r="CM105" s="73">
        <f t="shared" si="1015"/>
        <v>56.727050724713486</v>
      </c>
      <c r="CN105" s="73">
        <f t="shared" si="1016"/>
        <v>99.004612454049649</v>
      </c>
      <c r="CO105" s="73">
        <f t="shared" si="1017"/>
        <v>33.922528439843326</v>
      </c>
      <c r="CP105" s="73">
        <f t="shared" si="1018"/>
        <v>36.860678770347484</v>
      </c>
      <c r="CQ105" s="73">
        <f t="shared" si="1019"/>
        <v>20.596447174839209</v>
      </c>
      <c r="CR105" s="73">
        <f t="shared" si="1020"/>
        <v>11.343049861658631</v>
      </c>
      <c r="CS105" s="73">
        <f t="shared" si="1021"/>
        <v>14.287897474978291</v>
      </c>
      <c r="CT105" s="73">
        <f t="shared" si="1022"/>
        <v>17.061049815118526</v>
      </c>
      <c r="CU105" s="73">
        <f t="shared" si="1023"/>
        <v>5.0103293477166364</v>
      </c>
      <c r="CV105" s="73">
        <f t="shared" si="1024"/>
        <v>6.2758104997587019</v>
      </c>
      <c r="CW105" s="73">
        <f t="shared" si="1025"/>
        <v>2.0311184880197199</v>
      </c>
      <c r="CX105" s="73">
        <f t="shared" si="1026"/>
        <v>2.0054442043985743</v>
      </c>
      <c r="CY105" s="73">
        <f t="shared" si="1027"/>
        <v>0.39633153510452696</v>
      </c>
      <c r="CZ105" s="190"/>
      <c r="DA105" s="66">
        <v>2017</v>
      </c>
      <c r="DB105" s="218">
        <f t="shared" si="869"/>
        <v>333.62851078953236</v>
      </c>
      <c r="DC105" s="218">
        <f t="shared" si="870"/>
        <v>4718.3297829956628</v>
      </c>
      <c r="DD105" s="73">
        <f t="shared" si="871"/>
        <v>3475.8942888809429</v>
      </c>
      <c r="DE105" s="73">
        <f t="shared" si="872"/>
        <v>1955.2778936500777</v>
      </c>
      <c r="DF105" s="73">
        <f t="shared" si="873"/>
        <v>384.07728751904381</v>
      </c>
      <c r="DG105" s="73">
        <f t="shared" si="874"/>
        <v>857.49464712299152</v>
      </c>
      <c r="DH105" s="72">
        <f t="shared" si="902"/>
        <v>0.80211915898005304</v>
      </c>
      <c r="DI105" s="72">
        <f t="shared" si="903"/>
        <v>0.8358191647806571</v>
      </c>
      <c r="DJ105" s="73">
        <f>SUM(AV92:AV105,BB92:BB105,BI92:BI105)</f>
        <v>4501.790217004339</v>
      </c>
      <c r="DK105" s="73">
        <f>SUM(AV98:AV105,BB98:BB105,BI98:BI105)</f>
        <v>4334.1219253106456</v>
      </c>
      <c r="DL105" s="190"/>
    </row>
    <row r="106" spans="1:120" x14ac:dyDescent="0.25">
      <c r="A106" s="190"/>
      <c r="B106" s="188">
        <v>2008</v>
      </c>
      <c r="C106" s="61" t="s">
        <v>331</v>
      </c>
      <c r="D106" s="169">
        <v>0</v>
      </c>
      <c r="E106" s="169">
        <v>0</v>
      </c>
      <c r="F106" s="169">
        <v>0</v>
      </c>
      <c r="G106" s="169">
        <v>0</v>
      </c>
      <c r="H106" s="169">
        <v>0</v>
      </c>
      <c r="I106" s="169">
        <v>0</v>
      </c>
      <c r="J106" s="169">
        <v>0</v>
      </c>
      <c r="K106" s="169">
        <v>0</v>
      </c>
      <c r="L106" s="169">
        <v>0</v>
      </c>
      <c r="M106" s="169">
        <v>0</v>
      </c>
      <c r="N106" s="169">
        <v>0</v>
      </c>
      <c r="O106" s="169">
        <v>0</v>
      </c>
      <c r="P106" s="169">
        <v>0</v>
      </c>
      <c r="Q106" s="169">
        <v>0</v>
      </c>
      <c r="R106" s="172">
        <f>pAIDS_ART2_2004_2012</f>
        <v>0.87834172729587623</v>
      </c>
      <c r="S106" s="170">
        <f>pAIDS_ART2_AIDS_LTFU_2004_2012</f>
        <v>2.7446069457994882E-2</v>
      </c>
      <c r="T106" s="171">
        <f>pAIDS_ART2_AIDS_Dead_2004_2012</f>
        <v>9.4212203246128889E-2</v>
      </c>
      <c r="U106" s="61">
        <f t="shared" si="875"/>
        <v>1</v>
      </c>
      <c r="V106" s="190"/>
      <c r="W106" s="66">
        <v>14</v>
      </c>
      <c r="X106" s="66">
        <v>2018</v>
      </c>
      <c r="Y106" s="70">
        <f t="shared" si="1028"/>
        <v>1.0453189854531204E-2</v>
      </c>
      <c r="Z106" s="70">
        <f t="shared" si="976"/>
        <v>3.8571186779537067E-3</v>
      </c>
      <c r="AA106" s="70">
        <f t="shared" si="977"/>
        <v>1.4361496804754315E-2</v>
      </c>
      <c r="AB106" s="70">
        <f t="shared" si="978"/>
        <v>7.5247694317744952E-4</v>
      </c>
      <c r="AC106" s="70">
        <f t="shared" si="979"/>
        <v>1.2413442091801759E-2</v>
      </c>
      <c r="AD106" s="70">
        <f t="shared" si="980"/>
        <v>7.4751372520230532E-3</v>
      </c>
      <c r="AE106" s="70">
        <f t="shared" si="981"/>
        <v>0.13085494302249756</v>
      </c>
      <c r="AF106" s="70">
        <f t="shared" si="982"/>
        <v>4.1970863569313614E-2</v>
      </c>
      <c r="AG106" s="70">
        <f t="shared" si="983"/>
        <v>1.6540105332124244E-2</v>
      </c>
      <c r="AH106" s="70">
        <f t="shared" si="984"/>
        <v>2.2461902505216112E-3</v>
      </c>
      <c r="AI106" s="70">
        <f t="shared" si="985"/>
        <v>6.4424773883125178E-3</v>
      </c>
      <c r="AJ106" s="70">
        <f t="shared" si="986"/>
        <v>1.2279167104441326E-2</v>
      </c>
      <c r="AK106" s="70">
        <f t="shared" si="987"/>
        <v>1.2392180205703587E-2</v>
      </c>
      <c r="AL106" s="70">
        <f t="shared" si="988"/>
        <v>0.16863808610026854</v>
      </c>
      <c r="AM106" s="70">
        <f t="shared" si="989"/>
        <v>3.3717677565725412E-2</v>
      </c>
      <c r="AN106" s="70">
        <f t="shared" si="990"/>
        <v>1.1103998898605876E-2</v>
      </c>
      <c r="AO106" s="70">
        <f t="shared" si="991"/>
        <v>2.6244222676076491E-2</v>
      </c>
      <c r="AP106" s="190"/>
      <c r="AQ106" s="66">
        <v>14</v>
      </c>
      <c r="AR106" s="66">
        <v>2018</v>
      </c>
      <c r="AS106" s="215">
        <f t="shared" si="852"/>
        <v>96.379664841560256</v>
      </c>
      <c r="AT106" s="215">
        <f t="shared" si="853"/>
        <v>35.563097064974535</v>
      </c>
      <c r="AU106" s="215">
        <f t="shared" si="854"/>
        <v>132.41472391945138</v>
      </c>
      <c r="AV106" s="215">
        <f t="shared" si="855"/>
        <v>6.9379277133292661</v>
      </c>
      <c r="AW106" s="215">
        <f t="shared" si="856"/>
        <v>114.45342569946324</v>
      </c>
      <c r="AX106" s="215">
        <f t="shared" si="857"/>
        <v>68.921662480122805</v>
      </c>
      <c r="AY106" s="215">
        <f t="shared" si="858"/>
        <v>1206.4982772605904</v>
      </c>
      <c r="AZ106" s="215">
        <f t="shared" si="859"/>
        <v>386.97639861269988</v>
      </c>
      <c r="BA106" s="215">
        <f t="shared" si="860"/>
        <v>152.50175597482539</v>
      </c>
      <c r="BB106" s="215">
        <f t="shared" si="861"/>
        <v>20.710143652639321</v>
      </c>
      <c r="BC106" s="215">
        <f t="shared" si="862"/>
        <v>59.400414617528014</v>
      </c>
      <c r="BD106" s="215">
        <f t="shared" si="863"/>
        <v>113.21539420300157</v>
      </c>
      <c r="BE106" s="215">
        <f t="shared" si="864"/>
        <v>114.25738855821177</v>
      </c>
      <c r="BF106" s="215">
        <f t="shared" si="865"/>
        <v>1554.863390414808</v>
      </c>
      <c r="BG106" s="215">
        <f t="shared" si="866"/>
        <v>310.88103327729624</v>
      </c>
      <c r="BH106" s="215">
        <f t="shared" si="867"/>
        <v>102.38020232501401</v>
      </c>
      <c r="BI106" s="215">
        <f t="shared" si="868"/>
        <v>241.9748823801464</v>
      </c>
      <c r="BJ106" s="194"/>
      <c r="BK106" s="66">
        <v>14</v>
      </c>
      <c r="BL106" s="66">
        <v>2018</v>
      </c>
      <c r="BM106" s="215">
        <f t="shared" si="992"/>
        <v>47.11829966942534</v>
      </c>
      <c r="BN106" s="219">
        <f t="shared" si="993"/>
        <v>71.106648618550935</v>
      </c>
      <c r="BO106" s="219">
        <f t="shared" si="994"/>
        <v>26.655200718050317</v>
      </c>
      <c r="BP106" s="219">
        <f t="shared" si="995"/>
        <v>7.6216069687988455</v>
      </c>
      <c r="BQ106" s="219">
        <f t="shared" si="996"/>
        <v>12.884445450210318</v>
      </c>
      <c r="BR106" s="220">
        <f t="shared" si="997"/>
        <v>25.992377455724544</v>
      </c>
      <c r="BS106" s="219">
        <f t="shared" si="998"/>
        <v>21.107058884037023</v>
      </c>
      <c r="BT106" s="219">
        <f t="shared" si="999"/>
        <v>6.4810639737929927</v>
      </c>
      <c r="BU106" s="219">
        <f t="shared" si="1000"/>
        <v>19.0130650562119</v>
      </c>
      <c r="BV106" s="219">
        <f t="shared" si="1001"/>
        <v>6.7990875896741265</v>
      </c>
      <c r="BW106" s="219">
        <f t="shared" si="1002"/>
        <v>8.3525259807949439</v>
      </c>
      <c r="BX106" s="220">
        <f t="shared" si="1003"/>
        <v>1.7505779345681782</v>
      </c>
      <c r="BY106" s="195"/>
      <c r="BZ106" s="192">
        <v>14</v>
      </c>
      <c r="CA106" s="66">
        <v>2018</v>
      </c>
      <c r="CB106" s="218">
        <f t="shared" si="1004"/>
        <v>2.7655078397072312</v>
      </c>
      <c r="CC106" s="218">
        <f t="shared" si="1005"/>
        <v>0.94655172758966322</v>
      </c>
      <c r="CD106" s="73">
        <f t="shared" si="1006"/>
        <v>3.225868146032373</v>
      </c>
      <c r="CE106" s="73">
        <f t="shared" si="1007"/>
        <v>4.9371791881281801</v>
      </c>
      <c r="CF106" s="73">
        <f t="shared" si="1008"/>
        <v>2.7799237687045304</v>
      </c>
      <c r="CG106" s="73">
        <f t="shared" si="1009"/>
        <v>5.9148420439556597</v>
      </c>
      <c r="CH106" s="73">
        <f t="shared" si="1010"/>
        <v>1.7751724206164627</v>
      </c>
      <c r="CI106" s="73">
        <f t="shared" si="1011"/>
        <v>1.941077412733464</v>
      </c>
      <c r="CJ106" s="73">
        <f t="shared" si="1012"/>
        <v>2.4938579816728104</v>
      </c>
      <c r="CK106" s="73">
        <f t="shared" si="1013"/>
        <v>0.68806116999266376</v>
      </c>
      <c r="CL106" s="73">
        <f t="shared" si="1014"/>
        <v>0.18002966683554927</v>
      </c>
      <c r="CM106" s="73">
        <f t="shared" si="1015"/>
        <v>37.394977278195718</v>
      </c>
      <c r="CN106" s="73">
        <f t="shared" si="1016"/>
        <v>66.221751023482938</v>
      </c>
      <c r="CO106" s="73">
        <f t="shared" si="1017"/>
        <v>24.094317726622865</v>
      </c>
      <c r="CP106" s="73">
        <f t="shared" si="1018"/>
        <v>39.235554603496801</v>
      </c>
      <c r="CQ106" s="73">
        <f t="shared" si="1019"/>
        <v>25.32990655930098</v>
      </c>
      <c r="CR106" s="73">
        <f t="shared" si="1020"/>
        <v>7.8505380890769949</v>
      </c>
      <c r="CS106" s="73">
        <f t="shared" si="1021"/>
        <v>12.723465566072719</v>
      </c>
      <c r="CT106" s="73">
        <f t="shared" si="1022"/>
        <v>12.382034641141217</v>
      </c>
      <c r="CU106" s="73">
        <f t="shared" si="1023"/>
        <v>3.7140951958390032</v>
      </c>
      <c r="CV106" s="73">
        <f t="shared" si="1024"/>
        <v>7.2544320330290697</v>
      </c>
      <c r="CW106" s="73">
        <f t="shared" si="1025"/>
        <v>2.4571077765681282</v>
      </c>
      <c r="CX106" s="73">
        <f t="shared" si="1026"/>
        <v>2.7541285675641043</v>
      </c>
      <c r="CY106" s="73">
        <f t="shared" si="1027"/>
        <v>0.5625733197558701</v>
      </c>
      <c r="CZ106" s="190"/>
      <c r="DA106" s="66">
        <v>2018</v>
      </c>
      <c r="DB106" s="218">
        <f t="shared" si="869"/>
        <v>217.7001537480989</v>
      </c>
      <c r="DC106" s="218">
        <f t="shared" si="870"/>
        <v>4448.7068292495478</v>
      </c>
      <c r="DD106" s="73">
        <f t="shared" si="871"/>
        <v>3573.4764881236065</v>
      </c>
      <c r="DE106" s="73">
        <f t="shared" si="872"/>
        <v>1980.0018122503159</v>
      </c>
      <c r="DF106" s="73">
        <f t="shared" si="873"/>
        <v>274.9960111455436</v>
      </c>
      <c r="DG106" s="73">
        <f t="shared" si="874"/>
        <v>610.87285529995506</v>
      </c>
      <c r="DH106" s="72">
        <f t="shared" si="902"/>
        <v>0.85401007297346032</v>
      </c>
      <c r="DI106" s="72">
        <f t="shared" si="903"/>
        <v>0.87805043167118446</v>
      </c>
      <c r="DJ106" s="73">
        <f>SUM(AV92:AV106,BB92:BB106,BI92:BI106)</f>
        <v>4771.4131707504539</v>
      </c>
      <c r="DK106" s="73">
        <f>SUM(AV98:AV106,BB98:BB106,BI98:BI106)</f>
        <v>4603.7448790567605</v>
      </c>
      <c r="DL106" s="190"/>
    </row>
    <row r="107" spans="1:120" x14ac:dyDescent="0.25">
      <c r="A107" s="190"/>
      <c r="B107" s="188">
        <v>2008</v>
      </c>
      <c r="C107" s="61" t="s">
        <v>332</v>
      </c>
      <c r="D107" s="169">
        <v>0</v>
      </c>
      <c r="E107" s="169">
        <v>0</v>
      </c>
      <c r="F107" s="169">
        <v>0</v>
      </c>
      <c r="G107" s="169">
        <v>0</v>
      </c>
      <c r="H107" s="169">
        <v>0</v>
      </c>
      <c r="I107" s="169">
        <v>0</v>
      </c>
      <c r="J107" s="169">
        <v>0</v>
      </c>
      <c r="K107" s="169">
        <v>0</v>
      </c>
      <c r="L107" s="169">
        <v>0</v>
      </c>
      <c r="M107" s="169">
        <v>0</v>
      </c>
      <c r="N107" s="169">
        <v>0</v>
      </c>
      <c r="O107" s="169">
        <v>0</v>
      </c>
      <c r="P107" s="171">
        <f>pAIDS_LTFU_AIDS_ART1ear_2004_2012</f>
        <v>0.18179999999999999</v>
      </c>
      <c r="Q107" s="169">
        <v>0</v>
      </c>
      <c r="R107" s="171">
        <f>pAIDS_LTFU_AIDS_ART2_2004_2012</f>
        <v>0.19189999999999999</v>
      </c>
      <c r="S107" s="172">
        <f>pAIDS_LTFU_2004_2012</f>
        <v>0.21578526169714907</v>
      </c>
      <c r="T107" s="170">
        <f>pAIDS_LTFU_AIDS_Dead_2004_2012</f>
        <v>0.41051473830285101</v>
      </c>
      <c r="U107" s="61">
        <f t="shared" si="875"/>
        <v>1</v>
      </c>
      <c r="V107" s="190"/>
      <c r="W107" s="66">
        <v>15</v>
      </c>
      <c r="X107" s="66">
        <v>2019</v>
      </c>
      <c r="Y107" s="70">
        <f t="shared" si="1028"/>
        <v>6.6248144986592187E-3</v>
      </c>
      <c r="Z107" s="70">
        <f t="shared" si="976"/>
        <v>2.4637869892602132E-3</v>
      </c>
      <c r="AA107" s="70">
        <f t="shared" si="977"/>
        <v>1.0525714354165151E-2</v>
      </c>
      <c r="AB107" s="70">
        <f t="shared" si="978"/>
        <v>5.1707055587881412E-4</v>
      </c>
      <c r="AC107" s="70">
        <f t="shared" si="979"/>
        <v>7.9833606209102244E-3</v>
      </c>
      <c r="AD107" s="70">
        <f t="shared" si="980"/>
        <v>4.8177893990965469E-3</v>
      </c>
      <c r="AE107" s="70">
        <f t="shared" si="981"/>
        <v>0.13284261555896115</v>
      </c>
      <c r="AF107" s="70">
        <f t="shared" si="982"/>
        <v>4.5128273109306172E-2</v>
      </c>
      <c r="AG107" s="70">
        <f t="shared" si="983"/>
        <v>1.3312711827592801E-2</v>
      </c>
      <c r="AH107" s="70">
        <f t="shared" si="984"/>
        <v>1.8770902094414604E-3</v>
      </c>
      <c r="AI107" s="70">
        <f t="shared" si="985"/>
        <v>4.1689339062171401E-3</v>
      </c>
      <c r="AJ107" s="70">
        <f t="shared" si="986"/>
        <v>7.9998477358549022E-3</v>
      </c>
      <c r="AK107" s="70">
        <f t="shared" si="987"/>
        <v>8.6685334697052391E-3</v>
      </c>
      <c r="AL107" s="70">
        <f t="shared" si="988"/>
        <v>0.16748224021001568</v>
      </c>
      <c r="AM107" s="70">
        <f t="shared" si="989"/>
        <v>3.7354402480386829E-2</v>
      </c>
      <c r="AN107" s="70">
        <f t="shared" si="990"/>
        <v>9.448281559763615E-3</v>
      </c>
      <c r="AO107" s="70">
        <f t="shared" si="991"/>
        <v>2.1284417382841578E-2</v>
      </c>
      <c r="AP107" s="190"/>
      <c r="AQ107" s="66">
        <v>15</v>
      </c>
      <c r="AR107" s="66">
        <v>2019</v>
      </c>
      <c r="AS107" s="215">
        <f t="shared" si="852"/>
        <v>61.081584655377839</v>
      </c>
      <c r="AT107" s="215">
        <f t="shared" si="853"/>
        <v>22.716411695417879</v>
      </c>
      <c r="AU107" s="215">
        <f t="shared" si="854"/>
        <v>97.048349431125203</v>
      </c>
      <c r="AV107" s="215">
        <f t="shared" si="855"/>
        <v>4.767452573669372</v>
      </c>
      <c r="AW107" s="215">
        <f t="shared" si="856"/>
        <v>73.607542928066778</v>
      </c>
      <c r="AX107" s="215">
        <f t="shared" si="857"/>
        <v>44.420596394398061</v>
      </c>
      <c r="AY107" s="215">
        <f t="shared" si="858"/>
        <v>1224.824856567489</v>
      </c>
      <c r="AZ107" s="215">
        <f t="shared" si="859"/>
        <v>416.08809346057603</v>
      </c>
      <c r="BA107" s="215">
        <f t="shared" si="860"/>
        <v>122.74480057582495</v>
      </c>
      <c r="BB107" s="215">
        <f t="shared" si="861"/>
        <v>17.3069969818754</v>
      </c>
      <c r="BC107" s="215">
        <f t="shared" si="862"/>
        <v>38.438070887390779</v>
      </c>
      <c r="BD107" s="215">
        <f t="shared" si="863"/>
        <v>73.759556106310512</v>
      </c>
      <c r="BE107" s="215">
        <f t="shared" si="864"/>
        <v>79.924918814698671</v>
      </c>
      <c r="BF107" s="215">
        <f t="shared" si="865"/>
        <v>1544.20635260517</v>
      </c>
      <c r="BG107" s="215">
        <f t="shared" si="866"/>
        <v>344.41207339746427</v>
      </c>
      <c r="BH107" s="215">
        <f t="shared" si="867"/>
        <v>87.114289774807716</v>
      </c>
      <c r="BI107" s="215">
        <f t="shared" si="868"/>
        <v>196.24488239988531</v>
      </c>
      <c r="BJ107" s="194"/>
      <c r="BK107" s="66">
        <v>15</v>
      </c>
      <c r="BL107" s="66">
        <v>2019</v>
      </c>
      <c r="BM107" s="215">
        <f t="shared" si="992"/>
        <v>31.351125452424768</v>
      </c>
      <c r="BN107" s="219">
        <f t="shared" si="993"/>
        <v>54.813851940272016</v>
      </c>
      <c r="BO107" s="219">
        <f t="shared" si="994"/>
        <v>27.976299905832178</v>
      </c>
      <c r="BP107" s="219">
        <f t="shared" si="995"/>
        <v>8.6035232772960022</v>
      </c>
      <c r="BQ107" s="219">
        <f t="shared" si="996"/>
        <v>8.5270283891602681</v>
      </c>
      <c r="BR107" s="220">
        <f t="shared" si="997"/>
        <v>20.863945936261402</v>
      </c>
      <c r="BS107" s="219">
        <f t="shared" si="998"/>
        <v>14.388765059734844</v>
      </c>
      <c r="BT107" s="219">
        <f t="shared" si="999"/>
        <v>4.5628717369922711</v>
      </c>
      <c r="BU107" s="219">
        <f t="shared" si="1000"/>
        <v>19.547392811543563</v>
      </c>
      <c r="BV107" s="219">
        <f t="shared" si="1001"/>
        <v>7.393906591729416</v>
      </c>
      <c r="BW107" s="219">
        <f t="shared" si="1002"/>
        <v>9.7442908502577605</v>
      </c>
      <c r="BX107" s="220">
        <f t="shared" si="1003"/>
        <v>2.0860883991282022</v>
      </c>
      <c r="BY107" s="195"/>
      <c r="BZ107" s="192">
        <v>15</v>
      </c>
      <c r="CA107" s="66">
        <v>2019</v>
      </c>
      <c r="CB107" s="218">
        <f t="shared" si="1004"/>
        <v>1.7526684856590931</v>
      </c>
      <c r="CC107" s="218">
        <f t="shared" si="1005"/>
        <v>0.60681645259268846</v>
      </c>
      <c r="CD107" s="73">
        <f t="shared" si="1006"/>
        <v>2.4079676354175903</v>
      </c>
      <c r="CE107" s="73">
        <f t="shared" si="1007"/>
        <v>3.1919386387552544</v>
      </c>
      <c r="CF107" s="73">
        <f t="shared" si="1008"/>
        <v>1.8035363033981724</v>
      </c>
      <c r="CG107" s="73">
        <f t="shared" si="1009"/>
        <v>6.1014659796606168</v>
      </c>
      <c r="CH107" s="73">
        <f t="shared" si="1010"/>
        <v>1.9570051408842561</v>
      </c>
      <c r="CI107" s="73">
        <f t="shared" si="1011"/>
        <v>1.3140604607345798</v>
      </c>
      <c r="CJ107" s="73">
        <f t="shared" si="1012"/>
        <v>1.9830604266396377</v>
      </c>
      <c r="CK107" s="73">
        <f t="shared" si="1013"/>
        <v>0.74337456109992706</v>
      </c>
      <c r="CL107" s="73">
        <f t="shared" si="1014"/>
        <v>0.21255547070295719</v>
      </c>
      <c r="CM107" s="73">
        <f t="shared" si="1015"/>
        <v>24.384745661795357</v>
      </c>
      <c r="CN107" s="73">
        <f t="shared" si="1016"/>
        <v>43.609152124439753</v>
      </c>
      <c r="CO107" s="73">
        <f t="shared" si="1017"/>
        <v>16.887803427784288</v>
      </c>
      <c r="CP107" s="73">
        <f t="shared" si="1018"/>
        <v>40.045812128532631</v>
      </c>
      <c r="CQ107" s="73">
        <f t="shared" si="1019"/>
        <v>29.28878709248719</v>
      </c>
      <c r="CR107" s="73">
        <f t="shared" si="1020"/>
        <v>5.2892547521704483</v>
      </c>
      <c r="CS107" s="73">
        <f t="shared" si="1021"/>
        <v>10.670254029105685</v>
      </c>
      <c r="CT107" s="73">
        <f t="shared" si="1022"/>
        <v>8.6647587541233246</v>
      </c>
      <c r="CU107" s="73">
        <f t="shared" si="1023"/>
        <v>2.660572281125666</v>
      </c>
      <c r="CV107" s="73">
        <f t="shared" si="1024"/>
        <v>7.8051434258859098</v>
      </c>
      <c r="CW107" s="73">
        <f t="shared" si="1025"/>
        <v>2.7911256625732359</v>
      </c>
      <c r="CX107" s="73">
        <f t="shared" si="1026"/>
        <v>3.4288350171738005</v>
      </c>
      <c r="CY107" s="73">
        <f t="shared" si="1027"/>
        <v>0.71863804268800113</v>
      </c>
      <c r="CZ107" s="190"/>
      <c r="DA107" s="66">
        <v>2019</v>
      </c>
      <c r="DB107" s="218">
        <f t="shared" si="869"/>
        <v>140.89656419612646</v>
      </c>
      <c r="DC107" s="218">
        <f t="shared" si="870"/>
        <v>4230.3874972941176</v>
      </c>
      <c r="DD107" s="73">
        <f t="shared" si="871"/>
        <v>3609.4562948453977</v>
      </c>
      <c r="DE107" s="73">
        <f t="shared" si="872"/>
        <v>1968.543344817333</v>
      </c>
      <c r="DF107" s="73">
        <f t="shared" si="873"/>
        <v>199.31191676850901</v>
      </c>
      <c r="DG107" s="73">
        <f t="shared" si="874"/>
        <v>440.08485666679883</v>
      </c>
      <c r="DH107" s="72">
        <f t="shared" si="902"/>
        <v>0.89132475996633342</v>
      </c>
      <c r="DI107" s="72">
        <f t="shared" si="903"/>
        <v>0.90806032104619971</v>
      </c>
      <c r="DJ107" s="73">
        <f>SUM(AV92:AV107,BB92:BB107,BI92:BI107)</f>
        <v>4989.7325027058851</v>
      </c>
      <c r="DK107" s="73">
        <f>SUM(AV98:AV107,BB98:BB107,BI98:BI107)</f>
        <v>4822.0642110121908</v>
      </c>
      <c r="DL107" s="190"/>
    </row>
    <row r="108" spans="1:120" x14ac:dyDescent="0.25">
      <c r="A108" s="190"/>
      <c r="B108" s="191">
        <v>2008</v>
      </c>
      <c r="C108" s="179" t="s">
        <v>333</v>
      </c>
      <c r="D108" s="180">
        <v>0</v>
      </c>
      <c r="E108" s="180">
        <v>0</v>
      </c>
      <c r="F108" s="180">
        <v>0</v>
      </c>
      <c r="G108" s="180">
        <v>0</v>
      </c>
      <c r="H108" s="180">
        <v>0</v>
      </c>
      <c r="I108" s="180">
        <v>0</v>
      </c>
      <c r="J108" s="180">
        <v>0</v>
      </c>
      <c r="K108" s="180">
        <v>0</v>
      </c>
      <c r="L108" s="180">
        <v>0</v>
      </c>
      <c r="M108" s="180">
        <v>0</v>
      </c>
      <c r="N108" s="180">
        <v>0</v>
      </c>
      <c r="O108" s="180">
        <v>0</v>
      </c>
      <c r="P108" s="180">
        <v>0</v>
      </c>
      <c r="Q108" s="180">
        <v>0</v>
      </c>
      <c r="R108" s="180">
        <v>0</v>
      </c>
      <c r="S108" s="180">
        <v>0</v>
      </c>
      <c r="T108" s="180">
        <v>0</v>
      </c>
      <c r="U108" s="179">
        <f t="shared" si="875"/>
        <v>0</v>
      </c>
      <c r="V108" s="190"/>
      <c r="W108" s="66">
        <v>16</v>
      </c>
      <c r="X108" s="66">
        <v>2020</v>
      </c>
      <c r="Y108" s="70">
        <f t="shared" si="1028"/>
        <v>4.1985430048054606E-3</v>
      </c>
      <c r="Z108" s="70">
        <f t="shared" si="976"/>
        <v>1.5699056032151791E-3</v>
      </c>
      <c r="AA108" s="70">
        <f t="shared" si="977"/>
        <v>7.6030128844236239E-3</v>
      </c>
      <c r="AB108" s="70">
        <f t="shared" si="978"/>
        <v>3.5392295681185577E-4</v>
      </c>
      <c r="AC108" s="70">
        <f t="shared" si="979"/>
        <v>5.1147038600619964E-3</v>
      </c>
      <c r="AD108" s="70">
        <f t="shared" si="980"/>
        <v>3.0906585495681254E-3</v>
      </c>
      <c r="AE108" s="70">
        <f t="shared" si="981"/>
        <v>0.13335493965266645</v>
      </c>
      <c r="AF108" s="70">
        <f t="shared" si="982"/>
        <v>4.7687368381015192E-2</v>
      </c>
      <c r="AG108" s="70">
        <f t="shared" si="983"/>
        <v>1.0848732220643417E-2</v>
      </c>
      <c r="AH108" s="70">
        <f t="shared" si="984"/>
        <v>1.6200167268084098E-3</v>
      </c>
      <c r="AI108" s="70">
        <f t="shared" si="985"/>
        <v>2.6829042724834857E-3</v>
      </c>
      <c r="AJ108" s="70">
        <f t="shared" si="986"/>
        <v>5.1726665739265897E-3</v>
      </c>
      <c r="AK108" s="70">
        <f t="shared" si="987"/>
        <v>6.1110183449216652E-3</v>
      </c>
      <c r="AL108" s="70">
        <f t="shared" si="988"/>
        <v>0.16334879152804135</v>
      </c>
      <c r="AM108" s="70">
        <f t="shared" si="989"/>
        <v>4.0128704727284227E-2</v>
      </c>
      <c r="AN108" s="70">
        <f t="shared" si="990"/>
        <v>8.1498772164233409E-3</v>
      </c>
      <c r="AO108" s="70">
        <f t="shared" si="991"/>
        <v>1.7785539216794516E-2</v>
      </c>
      <c r="AP108" s="190"/>
      <c r="AQ108" s="66">
        <v>16</v>
      </c>
      <c r="AR108" s="66">
        <v>2020</v>
      </c>
      <c r="AS108" s="215">
        <f t="shared" si="852"/>
        <v>38.711070329466928</v>
      </c>
      <c r="AT108" s="215">
        <f t="shared" si="853"/>
        <v>14.474718050316339</v>
      </c>
      <c r="AU108" s="215">
        <f t="shared" si="854"/>
        <v>70.100691155931955</v>
      </c>
      <c r="AV108" s="215">
        <f t="shared" si="855"/>
        <v>3.263212132560128</v>
      </c>
      <c r="AW108" s="215">
        <f t="shared" si="856"/>
        <v>47.158183354234815</v>
      </c>
      <c r="AX108" s="215">
        <f t="shared" si="857"/>
        <v>28.496242706044068</v>
      </c>
      <c r="AY108" s="215">
        <f t="shared" si="858"/>
        <v>1229.5485461903431</v>
      </c>
      <c r="AZ108" s="215">
        <f t="shared" si="859"/>
        <v>439.68325895716583</v>
      </c>
      <c r="BA108" s="215">
        <f t="shared" si="860"/>
        <v>100.02661292219878</v>
      </c>
      <c r="BB108" s="215">
        <f t="shared" si="861"/>
        <v>14.936748623180756</v>
      </c>
      <c r="BC108" s="215">
        <f t="shared" si="862"/>
        <v>24.736699340810439</v>
      </c>
      <c r="BD108" s="215">
        <f t="shared" si="863"/>
        <v>47.692606531592034</v>
      </c>
      <c r="BE108" s="215">
        <f t="shared" si="864"/>
        <v>56.344322462379147</v>
      </c>
      <c r="BF108" s="215">
        <f t="shared" si="865"/>
        <v>1506.0954597435248</v>
      </c>
      <c r="BG108" s="215">
        <f t="shared" si="866"/>
        <v>369.99147303012791</v>
      </c>
      <c r="BH108" s="215">
        <f t="shared" si="867"/>
        <v>75.142845920689183</v>
      </c>
      <c r="BI108" s="215">
        <f t="shared" si="868"/>
        <v>163.98480584355147</v>
      </c>
      <c r="BJ108" s="194"/>
      <c r="BK108" s="66">
        <v>16</v>
      </c>
      <c r="BL108" s="66">
        <v>2020</v>
      </c>
      <c r="BM108" s="215">
        <f t="shared" si="992"/>
        <v>20.597714129290964</v>
      </c>
      <c r="BN108" s="219">
        <f t="shared" si="993"/>
        <v>41.249064378491411</v>
      </c>
      <c r="BO108" s="219">
        <f t="shared" si="994"/>
        <v>28.766300789296285</v>
      </c>
      <c r="BP108" s="219">
        <f t="shared" si="995"/>
        <v>9.4135336251201274</v>
      </c>
      <c r="BQ108" s="219">
        <f t="shared" si="996"/>
        <v>5.5746120185373886</v>
      </c>
      <c r="BR108" s="220">
        <f t="shared" si="997"/>
        <v>16.203373494754242</v>
      </c>
      <c r="BS108" s="219">
        <f t="shared" si="998"/>
        <v>9.6238777747001159</v>
      </c>
      <c r="BT108" s="219">
        <f t="shared" si="999"/>
        <v>3.1960490334795413</v>
      </c>
      <c r="BU108" s="219">
        <f t="shared" si="1000"/>
        <v>19.509844884184137</v>
      </c>
      <c r="BV108" s="219">
        <f t="shared" si="1001"/>
        <v>7.797775951217373</v>
      </c>
      <c r="BW108" s="219">
        <f t="shared" si="1002"/>
        <v>10.866510676701616</v>
      </c>
      <c r="BX108" s="220">
        <f t="shared" si="1003"/>
        <v>2.3708020871147695</v>
      </c>
      <c r="BY108" s="195"/>
      <c r="BZ108" s="192">
        <v>16</v>
      </c>
      <c r="CA108" s="66">
        <v>2020</v>
      </c>
      <c r="CB108" s="218">
        <f t="shared" si="1004"/>
        <v>1.1107713297778021</v>
      </c>
      <c r="CC108" s="218">
        <f t="shared" si="1005"/>
        <v>0.38761225816366923</v>
      </c>
      <c r="CD108" s="73">
        <f t="shared" si="1006"/>
        <v>1.7648285446186569</v>
      </c>
      <c r="CE108" s="73">
        <f t="shared" si="1007"/>
        <v>2.0528067110273858</v>
      </c>
      <c r="CF108" s="73">
        <f t="shared" si="1008"/>
        <v>1.1623944538337276</v>
      </c>
      <c r="CG108" s="73">
        <f t="shared" si="1009"/>
        <v>6.1941465928633841</v>
      </c>
      <c r="CH108" s="73">
        <f t="shared" si="1010"/>
        <v>2.1042279086845395</v>
      </c>
      <c r="CI108" s="73">
        <f t="shared" si="1011"/>
        <v>0.87433703350066894</v>
      </c>
      <c r="CJ108" s="73">
        <f t="shared" si="1012"/>
        <v>1.528678157756395</v>
      </c>
      <c r="CK108" s="73">
        <f t="shared" si="1013"/>
        <v>0.78021808515644542</v>
      </c>
      <c r="CL108" s="73">
        <f t="shared" si="1014"/>
        <v>0.23993968035820998</v>
      </c>
      <c r="CM108" s="73">
        <f t="shared" si="1015"/>
        <v>15.779394611203662</v>
      </c>
      <c r="CN108" s="73">
        <f t="shared" si="1016"/>
        <v>28.411257369326599</v>
      </c>
      <c r="CO108" s="73">
        <f t="shared" si="1017"/>
        <v>11.813295708544715</v>
      </c>
      <c r="CP108" s="73">
        <f t="shared" si="1018"/>
        <v>39.771338025790023</v>
      </c>
      <c r="CQ108" s="73">
        <f t="shared" si="1019"/>
        <v>32.447820259342564</v>
      </c>
      <c r="CR108" s="73">
        <f t="shared" si="1020"/>
        <v>3.5004708276771086</v>
      </c>
      <c r="CS108" s="73">
        <f t="shared" si="1021"/>
        <v>8.5649573059891804</v>
      </c>
      <c r="CT108" s="73">
        <f t="shared" si="1022"/>
        <v>5.9068001229982556</v>
      </c>
      <c r="CU108" s="73">
        <f t="shared" si="1023"/>
        <v>1.8731260970208574</v>
      </c>
      <c r="CV108" s="73">
        <f t="shared" si="1024"/>
        <v>8.024492844533837</v>
      </c>
      <c r="CW108" s="73">
        <f t="shared" si="1025"/>
        <v>3.0353076295395263</v>
      </c>
      <c r="CX108" s="73">
        <f t="shared" si="1026"/>
        <v>4.0001750083404302</v>
      </c>
      <c r="CY108" s="73">
        <f t="shared" si="1027"/>
        <v>0.85637003324472738</v>
      </c>
      <c r="CZ108" s="190"/>
      <c r="DA108" s="66">
        <v>2020</v>
      </c>
      <c r="DB108" s="218">
        <f t="shared" si="869"/>
        <v>90.663567287952446</v>
      </c>
      <c r="DC108" s="218">
        <f t="shared" si="870"/>
        <v>4048.2027306948253</v>
      </c>
      <c r="DD108" s="73">
        <f t="shared" si="871"/>
        <v>3601.6630603835411</v>
      </c>
      <c r="DE108" s="73">
        <f t="shared" si="872"/>
        <v>1932.4312552360318</v>
      </c>
      <c r="DF108" s="73">
        <f t="shared" si="873"/>
        <v>147.57215179309165</v>
      </c>
      <c r="DG108" s="73">
        <f t="shared" si="874"/>
        <v>323.25319077556929</v>
      </c>
      <c r="DH108" s="72">
        <f t="shared" si="902"/>
        <v>0.91764074184255373</v>
      </c>
      <c r="DI108" s="72">
        <f t="shared" si="903"/>
        <v>0.92905196631198328</v>
      </c>
      <c r="DJ108" s="73">
        <f>SUM(AV92:AV108,BB92:BB108,BI92:BI108)</f>
        <v>5171.9172693051778</v>
      </c>
      <c r="DK108" s="73">
        <f>SUM(AV98:AV108,BB98:BB108,BI98:BI108)</f>
        <v>5004.2489776114835</v>
      </c>
      <c r="DL108" s="190"/>
    </row>
    <row r="109" spans="1:120" x14ac:dyDescent="0.25">
      <c r="A109" s="190"/>
      <c r="B109" s="178"/>
      <c r="C109" s="182"/>
      <c r="D109" s="183"/>
      <c r="E109" s="183"/>
      <c r="F109" s="183"/>
      <c r="G109" s="183"/>
      <c r="H109" s="183"/>
      <c r="I109" s="183"/>
      <c r="J109" s="183"/>
      <c r="K109" s="183"/>
      <c r="L109" s="183"/>
      <c r="M109" s="183"/>
      <c r="N109" s="183"/>
      <c r="O109" s="183"/>
      <c r="P109" s="183"/>
      <c r="Q109" s="183"/>
      <c r="R109" s="183"/>
      <c r="S109" s="183"/>
      <c r="T109" s="183"/>
      <c r="U109" s="178"/>
      <c r="V109" s="178"/>
      <c r="W109" s="66">
        <v>17</v>
      </c>
      <c r="X109" s="66">
        <v>2021</v>
      </c>
      <c r="Y109" s="70">
        <f t="shared" si="1028"/>
        <v>2.6608689747869181E-3</v>
      </c>
      <c r="Z109" s="70">
        <f t="shared" si="976"/>
        <v>9.986483254093145E-4</v>
      </c>
      <c r="AA109" s="70">
        <f t="shared" si="977"/>
        <v>5.4275132559089443E-3</v>
      </c>
      <c r="AB109" s="70">
        <f t="shared" si="978"/>
        <v>2.4139926418076445E-4</v>
      </c>
      <c r="AC109" s="70">
        <f t="shared" si="979"/>
        <v>3.2676839410285545E-3</v>
      </c>
      <c r="AD109" s="70">
        <f t="shared" si="980"/>
        <v>1.976098081815311E-3</v>
      </c>
      <c r="AE109" s="70">
        <f t="shared" si="981"/>
        <v>0.13281510657517848</v>
      </c>
      <c r="AF109" s="70">
        <f t="shared" si="982"/>
        <v>4.9778080533679207E-2</v>
      </c>
      <c r="AG109" s="70">
        <f t="shared" si="983"/>
        <v>9.0114637823752938E-3</v>
      </c>
      <c r="AH109" s="70">
        <f t="shared" si="984"/>
        <v>1.4416345700589426E-3</v>
      </c>
      <c r="AI109" s="70">
        <f t="shared" si="985"/>
        <v>1.7196857766862939E-3</v>
      </c>
      <c r="AJ109" s="70">
        <f t="shared" si="986"/>
        <v>3.326644767373297E-3</v>
      </c>
      <c r="AK109" s="70">
        <f t="shared" si="987"/>
        <v>4.3813452094846519E-3</v>
      </c>
      <c r="AL109" s="70">
        <f t="shared" si="988"/>
        <v>0.15739447554688052</v>
      </c>
      <c r="AM109" s="70">
        <f t="shared" si="989"/>
        <v>4.2137412421046204E-2</v>
      </c>
      <c r="AN109" s="70">
        <f t="shared" si="990"/>
        <v>7.1533705003446572E-3</v>
      </c>
      <c r="AO109" s="70">
        <f t="shared" si="991"/>
        <v>1.5330395293242776E-2</v>
      </c>
      <c r="AP109" s="190"/>
      <c r="AQ109" s="66">
        <v>17</v>
      </c>
      <c r="AR109" s="66">
        <v>2021</v>
      </c>
      <c r="AS109" s="215">
        <f t="shared" si="852"/>
        <v>24.533531251812363</v>
      </c>
      <c r="AT109" s="215">
        <f t="shared" si="853"/>
        <v>9.2076573980729304</v>
      </c>
      <c r="AU109" s="215">
        <f t="shared" si="854"/>
        <v>50.042323521071182</v>
      </c>
      <c r="AV109" s="215">
        <f t="shared" si="855"/>
        <v>2.2257301836583503</v>
      </c>
      <c r="AW109" s="215">
        <f t="shared" si="856"/>
        <v>30.128438058356199</v>
      </c>
      <c r="AX109" s="215">
        <f t="shared" si="857"/>
        <v>18.219861446106986</v>
      </c>
      <c r="AY109" s="215">
        <f t="shared" si="858"/>
        <v>1224.5712204359347</v>
      </c>
      <c r="AZ109" s="215">
        <f t="shared" si="859"/>
        <v>458.95987589018637</v>
      </c>
      <c r="BA109" s="215">
        <f t="shared" si="860"/>
        <v>83.086777449154098</v>
      </c>
      <c r="BB109" s="215">
        <f t="shared" si="861"/>
        <v>13.292043732091859</v>
      </c>
      <c r="BC109" s="215">
        <f t="shared" si="862"/>
        <v>15.855709223340833</v>
      </c>
      <c r="BD109" s="215">
        <f t="shared" si="863"/>
        <v>30.672063952553884</v>
      </c>
      <c r="BE109" s="215">
        <f t="shared" si="864"/>
        <v>40.396528592873629</v>
      </c>
      <c r="BF109" s="215">
        <f t="shared" si="865"/>
        <v>1451.1959518793042</v>
      </c>
      <c r="BG109" s="215">
        <f t="shared" si="866"/>
        <v>388.51199901153655</v>
      </c>
      <c r="BH109" s="215">
        <f t="shared" si="867"/>
        <v>65.954934417637787</v>
      </c>
      <c r="BI109" s="215">
        <f t="shared" si="868"/>
        <v>141.3480842511336</v>
      </c>
      <c r="BJ109" s="194"/>
      <c r="BK109" s="66">
        <v>17</v>
      </c>
      <c r="BL109" s="66">
        <v>2021</v>
      </c>
      <c r="BM109" s="215">
        <f t="shared" si="992"/>
        <v>13.407135215758935</v>
      </c>
      <c r="BN109" s="219">
        <f t="shared" si="993"/>
        <v>30.454936325295591</v>
      </c>
      <c r="BO109" s="219">
        <f t="shared" si="994"/>
        <v>29.14901232124658</v>
      </c>
      <c r="BP109" s="219">
        <f t="shared" si="995"/>
        <v>10.07569358685299</v>
      </c>
      <c r="BQ109" s="219">
        <f t="shared" si="996"/>
        <v>3.6133805155439696</v>
      </c>
      <c r="BR109" s="220">
        <f t="shared" si="997"/>
        <v>12.266447737853342</v>
      </c>
      <c r="BS109" s="219">
        <f t="shared" si="998"/>
        <v>6.3476247446848273</v>
      </c>
      <c r="BT109" s="219">
        <f t="shared" si="999"/>
        <v>2.2501133031604765</v>
      </c>
      <c r="BU109" s="219">
        <f t="shared" si="1000"/>
        <v>19.092888989123558</v>
      </c>
      <c r="BV109" s="219">
        <f t="shared" si="1001"/>
        <v>8.0462742868063621</v>
      </c>
      <c r="BW109" s="219">
        <f t="shared" si="1002"/>
        <v>11.731382212914847</v>
      </c>
      <c r="BX109" s="220">
        <f t="shared" si="1003"/>
        <v>2.6068226275503945</v>
      </c>
      <c r="BY109" s="195"/>
      <c r="BZ109" s="192">
        <v>17</v>
      </c>
      <c r="CA109" s="66">
        <v>2021</v>
      </c>
      <c r="CB109" s="218">
        <f t="shared" si="1004"/>
        <v>0.70396253321823743</v>
      </c>
      <c r="CC109" s="218">
        <f t="shared" si="1005"/>
        <v>0.24698346838366411</v>
      </c>
      <c r="CD109" s="73">
        <f t="shared" si="1006"/>
        <v>1.2747841820564485</v>
      </c>
      <c r="CE109" s="73">
        <f t="shared" si="1007"/>
        <v>1.3151727583684976</v>
      </c>
      <c r="CF109" s="73">
        <f t="shared" si="1008"/>
        <v>0.74568729745336637</v>
      </c>
      <c r="CG109" s="73">
        <f t="shared" si="1009"/>
        <v>6.2180350907382094</v>
      </c>
      <c r="CH109" s="73">
        <f t="shared" si="1010"/>
        <v>2.2235526539206321</v>
      </c>
      <c r="CI109" s="73">
        <f t="shared" si="1011"/>
        <v>0.57444012005336775</v>
      </c>
      <c r="CJ109" s="73">
        <f t="shared" si="1012"/>
        <v>1.1503760730407495</v>
      </c>
      <c r="CK109" s="73">
        <f t="shared" si="1013"/>
        <v>0.8022500543104425</v>
      </c>
      <c r="CL109" s="73">
        <f t="shared" si="1014"/>
        <v>0.26252968420659223</v>
      </c>
      <c r="CM109" s="73">
        <f t="shared" si="1015"/>
        <v>10.154779656369104</v>
      </c>
      <c r="CN109" s="73">
        <f t="shared" si="1016"/>
        <v>18.370594812556909</v>
      </c>
      <c r="CO109" s="73">
        <f t="shared" si="1017"/>
        <v>8.3279677054019494</v>
      </c>
      <c r="CP109" s="73">
        <f t="shared" si="1018"/>
        <v>38.789784491893442</v>
      </c>
      <c r="CQ109" s="73">
        <f t="shared" si="1019"/>
        <v>34.857711856449029</v>
      </c>
      <c r="CR109" s="73">
        <f t="shared" si="1020"/>
        <v>2.288460393929804</v>
      </c>
      <c r="CS109" s="73">
        <f t="shared" si="1021"/>
        <v>6.6517236298223903</v>
      </c>
      <c r="CT109" s="73">
        <f t="shared" si="1022"/>
        <v>3.9507436661396422</v>
      </c>
      <c r="CU109" s="73">
        <f t="shared" si="1023"/>
        <v>1.3120252325819337</v>
      </c>
      <c r="CV109" s="73">
        <f t="shared" si="1024"/>
        <v>8.009078866960067</v>
      </c>
      <c r="CW109" s="73">
        <f t="shared" si="1025"/>
        <v>3.2011019539582648</v>
      </c>
      <c r="CX109" s="73">
        <f t="shared" si="1026"/>
        <v>4.4608627867113002</v>
      </c>
      <c r="CY109" s="73">
        <f t="shared" si="1027"/>
        <v>0.97324919835977253</v>
      </c>
      <c r="CZ109" s="190"/>
      <c r="DA109" s="66">
        <v>2021</v>
      </c>
      <c r="DB109" s="218">
        <f t="shared" si="869"/>
        <v>58.099582796733799</v>
      </c>
      <c r="DC109" s="218">
        <f t="shared" si="870"/>
        <v>3891.3368725279415</v>
      </c>
      <c r="DD109" s="73">
        <f t="shared" si="871"/>
        <v>3563.6355758098352</v>
      </c>
      <c r="DE109" s="73">
        <f t="shared" si="872"/>
        <v>1880.1044794837144</v>
      </c>
      <c r="DF109" s="73">
        <f t="shared" si="873"/>
        <v>112.4827075935325</v>
      </c>
      <c r="DG109" s="73">
        <f t="shared" si="874"/>
        <v>243.91778454714978</v>
      </c>
      <c r="DH109" s="72">
        <f t="shared" si="902"/>
        <v>0.93593844617208966</v>
      </c>
      <c r="DI109" s="72">
        <f t="shared" si="903"/>
        <v>0.94354941739913345</v>
      </c>
      <c r="DJ109" s="73">
        <f>SUM(AV92:AV109,BB92:BB109,BI92:BI109)</f>
        <v>5328.7831274720611</v>
      </c>
      <c r="DK109" s="73">
        <f>SUM(AV98:AV109,BB98:BB109,BI98:BI109)</f>
        <v>5161.1148357783677</v>
      </c>
      <c r="DL109" s="190"/>
    </row>
    <row r="110" spans="1:120" s="127" customFormat="1" x14ac:dyDescent="0.25">
      <c r="A110" s="190"/>
      <c r="B110" s="178"/>
      <c r="C110" s="182"/>
      <c r="D110" s="183"/>
      <c r="E110" s="183"/>
      <c r="F110" s="183"/>
      <c r="G110" s="183"/>
      <c r="H110" s="183"/>
      <c r="I110" s="183"/>
      <c r="J110" s="183"/>
      <c r="K110" s="183"/>
      <c r="L110" s="183"/>
      <c r="M110" s="183"/>
      <c r="N110" s="183"/>
      <c r="O110" s="183"/>
      <c r="P110" s="183"/>
      <c r="Q110" s="183"/>
      <c r="R110" s="183"/>
      <c r="S110" s="183"/>
      <c r="T110" s="183"/>
      <c r="U110" s="178"/>
      <c r="V110" s="178"/>
      <c r="W110" s="66">
        <v>18</v>
      </c>
      <c r="X110" s="66">
        <v>2022</v>
      </c>
      <c r="Y110" s="70">
        <f t="shared" si="1028"/>
        <v>1.6863525496535069E-3</v>
      </c>
      <c r="Z110" s="70">
        <f t="shared" si="976"/>
        <v>6.3452668223342118E-4</v>
      </c>
      <c r="AA110" s="70">
        <f t="shared" si="977"/>
        <v>3.8370591613772305E-3</v>
      </c>
      <c r="AB110" s="70">
        <f t="shared" si="978"/>
        <v>1.6412761990748051E-4</v>
      </c>
      <c r="AC110" s="70">
        <f t="shared" si="979"/>
        <v>2.0833596006309151E-3</v>
      </c>
      <c r="AD110" s="70">
        <f t="shared" si="980"/>
        <v>1.2604531024918823E-3</v>
      </c>
      <c r="AE110" s="70">
        <f t="shared" si="981"/>
        <v>0.13154301959361797</v>
      </c>
      <c r="AF110" s="70">
        <f t="shared" si="982"/>
        <v>5.1508008441088368E-2</v>
      </c>
      <c r="AG110" s="70">
        <f t="shared" si="983"/>
        <v>7.6632524800150223E-3</v>
      </c>
      <c r="AH110" s="70">
        <f t="shared" si="984"/>
        <v>1.3175624893484543E-3</v>
      </c>
      <c r="AI110" s="70">
        <f t="shared" si="985"/>
        <v>1.0990623551870755E-3</v>
      </c>
      <c r="AJ110" s="70">
        <f t="shared" si="986"/>
        <v>2.1311286785410102E-3</v>
      </c>
      <c r="AK110" s="70">
        <f t="shared" si="987"/>
        <v>3.221944547664988E-3</v>
      </c>
      <c r="AL110" s="70">
        <f t="shared" si="988"/>
        <v>0.15042079352495455</v>
      </c>
      <c r="AM110" s="70">
        <f t="shared" si="989"/>
        <v>4.3488089820039877E-2</v>
      </c>
      <c r="AN110" s="70">
        <f t="shared" si="990"/>
        <v>6.3945863064786045E-3</v>
      </c>
      <c r="AO110" s="70">
        <f t="shared" si="991"/>
        <v>1.3595070738767265E-2</v>
      </c>
      <c r="AP110" s="190"/>
      <c r="AQ110" s="66">
        <v>18</v>
      </c>
      <c r="AR110" s="66">
        <v>2022</v>
      </c>
      <c r="AS110" s="215">
        <f t="shared" si="852"/>
        <v>15.548372870111294</v>
      </c>
      <c r="AT110" s="215">
        <f t="shared" si="853"/>
        <v>5.8504121533940117</v>
      </c>
      <c r="AU110" s="215">
        <f t="shared" si="854"/>
        <v>35.378145914997432</v>
      </c>
      <c r="AV110" s="215">
        <f t="shared" si="855"/>
        <v>1.5132763508613594</v>
      </c>
      <c r="AW110" s="215">
        <f t="shared" si="856"/>
        <v>19.208825520969114</v>
      </c>
      <c r="AX110" s="215">
        <f t="shared" si="857"/>
        <v>11.621528859347455</v>
      </c>
      <c r="AY110" s="215">
        <f t="shared" si="858"/>
        <v>1212.8424258155089</v>
      </c>
      <c r="AZ110" s="215">
        <f t="shared" si="859"/>
        <v>474.91001878784772</v>
      </c>
      <c r="BA110" s="215">
        <f t="shared" si="860"/>
        <v>70.656107456036111</v>
      </c>
      <c r="BB110" s="215">
        <f t="shared" si="861"/>
        <v>12.148084259291471</v>
      </c>
      <c r="BC110" s="215">
        <f t="shared" si="862"/>
        <v>10.133486802307459</v>
      </c>
      <c r="BD110" s="215">
        <f t="shared" si="863"/>
        <v>19.649262151589539</v>
      </c>
      <c r="BE110" s="215">
        <f t="shared" si="864"/>
        <v>29.706715362816912</v>
      </c>
      <c r="BF110" s="215">
        <f t="shared" si="865"/>
        <v>1386.8977667953041</v>
      </c>
      <c r="BG110" s="215">
        <f t="shared" si="866"/>
        <v>400.96540671154611</v>
      </c>
      <c r="BH110" s="215">
        <f t="shared" si="867"/>
        <v>58.958853096089513</v>
      </c>
      <c r="BI110" s="215">
        <f t="shared" si="868"/>
        <v>125.34818361992285</v>
      </c>
      <c r="BJ110" s="194"/>
      <c r="BK110" s="66">
        <v>18</v>
      </c>
      <c r="BL110" s="66">
        <v>2022</v>
      </c>
      <c r="BM110" s="215">
        <f t="shared" si="992"/>
        <v>8.6668164802555161</v>
      </c>
      <c r="BN110" s="219">
        <f t="shared" si="993"/>
        <v>22.142575792953807</v>
      </c>
      <c r="BO110" s="219">
        <f t="shared" si="994"/>
        <v>29.229894013829121</v>
      </c>
      <c r="BP110" s="219">
        <f t="shared" si="995"/>
        <v>10.616821168997674</v>
      </c>
      <c r="BQ110" s="219">
        <f t="shared" si="996"/>
        <v>2.3279336061264289</v>
      </c>
      <c r="BR110" s="220">
        <f t="shared" si="997"/>
        <v>9.1005321099299739</v>
      </c>
      <c r="BS110" s="219">
        <f t="shared" si="998"/>
        <v>4.1437952256362669</v>
      </c>
      <c r="BT110" s="219">
        <f t="shared" si="999"/>
        <v>1.607242368251466</v>
      </c>
      <c r="BU110" s="219">
        <f t="shared" si="1000"/>
        <v>18.439608929682521</v>
      </c>
      <c r="BV110" s="219">
        <f t="shared" si="1001"/>
        <v>8.1743251088378699</v>
      </c>
      <c r="BW110" s="219">
        <f t="shared" si="1002"/>
        <v>12.365177968565099</v>
      </c>
      <c r="BX110" s="220">
        <f t="shared" si="1003"/>
        <v>2.8002377790598882</v>
      </c>
      <c r="BY110" s="195"/>
      <c r="BZ110" s="192">
        <v>18</v>
      </c>
      <c r="CA110" s="66">
        <v>2022</v>
      </c>
      <c r="CB110" s="218">
        <f t="shared" si="1004"/>
        <v>0.44614335542327155</v>
      </c>
      <c r="CC110" s="218">
        <f t="shared" si="1005"/>
        <v>0.15711111967496016</v>
      </c>
      <c r="CD110" s="73">
        <f t="shared" si="1006"/>
        <v>0.91002187576312776</v>
      </c>
      <c r="CE110" s="73">
        <f t="shared" si="1007"/>
        <v>0.84023807042992238</v>
      </c>
      <c r="CF110" s="73">
        <f t="shared" si="1008"/>
        <v>0.4767758115297297</v>
      </c>
      <c r="CG110" s="73">
        <f t="shared" si="1009"/>
        <v>6.1928639120199396</v>
      </c>
      <c r="CH110" s="73">
        <f t="shared" si="1010"/>
        <v>2.3210377681860468</v>
      </c>
      <c r="CI110" s="73">
        <f t="shared" si="1011"/>
        <v>0.37390539137351397</v>
      </c>
      <c r="CJ110" s="73">
        <f t="shared" si="1012"/>
        <v>0.84934362954588127</v>
      </c>
      <c r="CK110" s="73">
        <f t="shared" si="1013"/>
        <v>0.81292331916786209</v>
      </c>
      <c r="CL110" s="73">
        <f t="shared" si="1014"/>
        <v>0.28099635703857667</v>
      </c>
      <c r="CM110" s="73">
        <f t="shared" si="1015"/>
        <v>6.5090023224258635</v>
      </c>
      <c r="CN110" s="73">
        <f t="shared" si="1016"/>
        <v>11.814494948267425</v>
      </c>
      <c r="CO110" s="73">
        <f t="shared" si="1017"/>
        <v>5.9708054126735632</v>
      </c>
      <c r="CP110" s="73">
        <f t="shared" si="1018"/>
        <v>37.375836879882996</v>
      </c>
      <c r="CQ110" s="73">
        <f t="shared" si="1019"/>
        <v>36.602571414434706</v>
      </c>
      <c r="CR110" s="73">
        <f t="shared" si="1020"/>
        <v>1.4833459567271536</v>
      </c>
      <c r="CS110" s="73">
        <f t="shared" si="1021"/>
        <v>5.0355575830104637</v>
      </c>
      <c r="CT110" s="73">
        <f t="shared" si="1022"/>
        <v>2.6057935109089931</v>
      </c>
      <c r="CU110" s="73">
        <f t="shared" si="1023"/>
        <v>0.9237046737986867</v>
      </c>
      <c r="CV110" s="73">
        <f t="shared" si="1024"/>
        <v>7.8379123268154434</v>
      </c>
      <c r="CW110" s="73">
        <f t="shared" si="1025"/>
        <v>3.3031141831612731</v>
      </c>
      <c r="CX110" s="73">
        <f t="shared" si="1026"/>
        <v>4.8159052990654594</v>
      </c>
      <c r="CY110" s="73">
        <f t="shared" si="1027"/>
        <v>1.0701391087508008</v>
      </c>
      <c r="CZ110" s="190"/>
      <c r="DA110" s="66">
        <v>2022</v>
      </c>
      <c r="DB110" s="218">
        <f t="shared" si="869"/>
        <v>37.121203164331007</v>
      </c>
      <c r="DC110" s="218">
        <f t="shared" si="870"/>
        <v>3752.3273282978657</v>
      </c>
      <c r="DD110" s="73">
        <f t="shared" si="871"/>
        <v>3505.3223334730237</v>
      </c>
      <c r="DE110" s="73">
        <f t="shared" si="872"/>
        <v>1817.5698888696672</v>
      </c>
      <c r="DF110" s="73">
        <f t="shared" si="873"/>
        <v>88.741602049986511</v>
      </c>
      <c r="DG110" s="73">
        <f t="shared" si="874"/>
        <v>190.22806388633919</v>
      </c>
      <c r="DH110" s="72">
        <f t="shared" si="902"/>
        <v>0.94852510629478481</v>
      </c>
      <c r="DI110" s="72">
        <f t="shared" si="903"/>
        <v>0.95344853006830732</v>
      </c>
      <c r="DJ110" s="73">
        <f>SUM(AV92:AV110,BB92:BB110,BI92:BI110)</f>
        <v>5467.7926717021364</v>
      </c>
      <c r="DK110" s="73">
        <f>SUM(AV98:AV110,BB98:BB110,BI98:BI110)</f>
        <v>5300.124380008443</v>
      </c>
      <c r="DL110" s="190"/>
      <c r="DM110"/>
      <c r="DN110"/>
      <c r="DO110"/>
      <c r="DP110"/>
    </row>
    <row r="111" spans="1:120" s="127" customFormat="1" x14ac:dyDescent="0.25">
      <c r="A111" s="190"/>
      <c r="B111" s="178"/>
      <c r="C111" s="182"/>
      <c r="D111" s="183"/>
      <c r="E111" s="183"/>
      <c r="F111" s="183"/>
      <c r="G111" s="183"/>
      <c r="H111" s="183"/>
      <c r="I111" s="183"/>
      <c r="J111" s="183"/>
      <c r="K111" s="183"/>
      <c r="L111" s="183"/>
      <c r="M111" s="183"/>
      <c r="N111" s="183"/>
      <c r="O111" s="183"/>
      <c r="P111" s="183"/>
      <c r="Q111" s="183"/>
      <c r="R111" s="183"/>
      <c r="S111" s="183"/>
      <c r="T111" s="183"/>
      <c r="U111" s="178"/>
      <c r="V111" s="178"/>
      <c r="W111" s="66">
        <v>19</v>
      </c>
      <c r="X111" s="66">
        <v>2023</v>
      </c>
      <c r="Y111" s="70">
        <f t="shared" si="1028"/>
        <v>1.0687429364877362E-3</v>
      </c>
      <c r="Z111" s="70">
        <f t="shared" si="976"/>
        <v>4.0284889084111434E-4</v>
      </c>
      <c r="AA111" s="70">
        <f t="shared" si="977"/>
        <v>2.6907341764334544E-3</v>
      </c>
      <c r="AB111" s="70">
        <f t="shared" si="978"/>
        <v>1.1127047542354513E-4</v>
      </c>
      <c r="AC111" s="70">
        <f t="shared" si="979"/>
        <v>1.326251665677096E-3</v>
      </c>
      <c r="AD111" s="70">
        <f t="shared" si="980"/>
        <v>8.0258981991468284E-4</v>
      </c>
      <c r="AE111" s="70">
        <f t="shared" si="981"/>
        <v>0.12977422119013815</v>
      </c>
      <c r="AF111" s="70">
        <f t="shared" si="982"/>
        <v>5.2961794854301227E-2</v>
      </c>
      <c r="AG111" s="70">
        <f t="shared" si="983"/>
        <v>6.683980675480981E-3</v>
      </c>
      <c r="AH111" s="70">
        <f t="shared" si="984"/>
        <v>1.2305222154986013E-3</v>
      </c>
      <c r="AI111" s="70">
        <f t="shared" si="985"/>
        <v>7.0090636111450391E-4</v>
      </c>
      <c r="AJ111" s="70">
        <f t="shared" si="986"/>
        <v>1.3613971269330692E-3</v>
      </c>
      <c r="AK111" s="70">
        <f t="shared" si="987"/>
        <v>2.447750381014452E-3</v>
      </c>
      <c r="AL111" s="70">
        <f t="shared" si="988"/>
        <v>0.14296409534139978</v>
      </c>
      <c r="AM111" s="70">
        <f t="shared" si="989"/>
        <v>4.4284828290503994E-2</v>
      </c>
      <c r="AN111" s="70">
        <f t="shared" si="990"/>
        <v>5.8151200585820368E-3</v>
      </c>
      <c r="AO111" s="70">
        <f t="shared" si="991"/>
        <v>1.2344582384229981E-2</v>
      </c>
      <c r="AP111" s="190"/>
      <c r="AQ111" s="66">
        <v>19</v>
      </c>
      <c r="AR111" s="66">
        <v>2023</v>
      </c>
      <c r="AS111" s="215">
        <f t="shared" si="852"/>
        <v>9.8539381235693071</v>
      </c>
      <c r="AT111" s="215">
        <f t="shared" si="853"/>
        <v>3.7143151154219756</v>
      </c>
      <c r="AU111" s="215">
        <f t="shared" si="854"/>
        <v>24.808891994817625</v>
      </c>
      <c r="AV111" s="215">
        <f t="shared" si="855"/>
        <v>1.0259271358621371</v>
      </c>
      <c r="AW111" s="215">
        <f t="shared" si="856"/>
        <v>12.228199507742707</v>
      </c>
      <c r="AX111" s="215">
        <f t="shared" si="857"/>
        <v>7.3999744503917659</v>
      </c>
      <c r="AY111" s="215">
        <f t="shared" si="858"/>
        <v>1196.5338922796166</v>
      </c>
      <c r="AZ111" s="215">
        <f t="shared" si="859"/>
        <v>488.31410397203985</v>
      </c>
      <c r="BA111" s="215">
        <f t="shared" si="860"/>
        <v>61.627103905615705</v>
      </c>
      <c r="BB111" s="215">
        <f t="shared" si="861"/>
        <v>11.345562489562965</v>
      </c>
      <c r="BC111" s="215">
        <f t="shared" si="862"/>
        <v>6.4624407582390608</v>
      </c>
      <c r="BD111" s="215">
        <f t="shared" si="863"/>
        <v>12.552244877978131</v>
      </c>
      <c r="BE111" s="215">
        <f t="shared" si="864"/>
        <v>22.568552242998972</v>
      </c>
      <c r="BF111" s="215">
        <f t="shared" si="865"/>
        <v>1318.1461147391472</v>
      </c>
      <c r="BG111" s="215">
        <f t="shared" si="866"/>
        <v>408.3114310178417</v>
      </c>
      <c r="BH111" s="215">
        <f t="shared" si="867"/>
        <v>53.616104754533417</v>
      </c>
      <c r="BI111" s="215">
        <f t="shared" si="868"/>
        <v>113.81853093248654</v>
      </c>
      <c r="BJ111" s="194"/>
      <c r="BK111" s="66">
        <v>19</v>
      </c>
      <c r="BL111" s="66">
        <v>2023</v>
      </c>
      <c r="BM111" s="215">
        <f t="shared" si="992"/>
        <v>5.5739763691282533</v>
      </c>
      <c r="BN111" s="219">
        <f t="shared" si="993"/>
        <v>15.897859891108819</v>
      </c>
      <c r="BO111" s="219">
        <f t="shared" si="994"/>
        <v>29.093394705712139</v>
      </c>
      <c r="BP111" s="219">
        <f t="shared" si="995"/>
        <v>11.061872939666502</v>
      </c>
      <c r="BQ111" s="219">
        <f t="shared" si="996"/>
        <v>1.4932330881311744</v>
      </c>
      <c r="BR111" s="220">
        <f t="shared" si="997"/>
        <v>6.643053603526905</v>
      </c>
      <c r="BS111" s="219">
        <f t="shared" si="998"/>
        <v>2.6845596354694865</v>
      </c>
      <c r="BT111" s="219">
        <f t="shared" si="999"/>
        <v>1.1750475263352698</v>
      </c>
      <c r="BU111" s="219">
        <f t="shared" si="1000"/>
        <v>17.650558050001511</v>
      </c>
      <c r="BV111" s="219">
        <f t="shared" si="1001"/>
        <v>8.2123459860680565</v>
      </c>
      <c r="BW111" s="219">
        <f t="shared" si="1002"/>
        <v>12.79892948435935</v>
      </c>
      <c r="BX111" s="220">
        <f t="shared" si="1003"/>
        <v>2.9583773806416591</v>
      </c>
      <c r="BY111" s="195"/>
      <c r="BZ111" s="192">
        <v>19</v>
      </c>
      <c r="CA111" s="66">
        <v>2023</v>
      </c>
      <c r="CB111" s="218">
        <f t="shared" si="1004"/>
        <v>0.28274785119370754</v>
      </c>
      <c r="CC111" s="218">
        <f t="shared" si="1005"/>
        <v>9.9826129952673953E-2</v>
      </c>
      <c r="CD111" s="73">
        <f t="shared" si="1006"/>
        <v>0.64335315471575549</v>
      </c>
      <c r="CE111" s="73">
        <f t="shared" si="1007"/>
        <v>0.53570604820941492</v>
      </c>
      <c r="CF111" s="73">
        <f t="shared" si="1008"/>
        <v>0.30411119587934438</v>
      </c>
      <c r="CG111" s="73">
        <f t="shared" si="1009"/>
        <v>6.1335494126064454</v>
      </c>
      <c r="CH111" s="73">
        <f t="shared" si="1010"/>
        <v>2.4017003402717476</v>
      </c>
      <c r="CI111" s="73">
        <f t="shared" si="1011"/>
        <v>0.24170483521366659</v>
      </c>
      <c r="CJ111" s="73">
        <f t="shared" si="1012"/>
        <v>0.61752405227856344</v>
      </c>
      <c r="CK111" s="73">
        <f t="shared" si="1013"/>
        <v>0.8151789912733004</v>
      </c>
      <c r="CL111" s="73">
        <f t="shared" si="1014"/>
        <v>0.29608761383048171</v>
      </c>
      <c r="CM111" s="73">
        <f t="shared" si="1015"/>
        <v>4.1599456827446408</v>
      </c>
      <c r="CN111" s="73">
        <f t="shared" si="1016"/>
        <v>7.5686497258951979</v>
      </c>
      <c r="CO111" s="73">
        <f t="shared" si="1017"/>
        <v>4.3907984933227793</v>
      </c>
      <c r="CP111" s="73">
        <f t="shared" si="1018"/>
        <v>35.719824489371597</v>
      </c>
      <c r="CQ111" s="73">
        <f t="shared" si="1019"/>
        <v>37.775834391774914</v>
      </c>
      <c r="CR111" s="73">
        <f t="shared" si="1020"/>
        <v>0.95565105510540316</v>
      </c>
      <c r="CS111" s="73">
        <f t="shared" si="1021"/>
        <v>3.7359025575245957</v>
      </c>
      <c r="CT111" s="73">
        <f t="shared" si="1022"/>
        <v>1.7010890126326756</v>
      </c>
      <c r="CU111" s="73">
        <f t="shared" si="1023"/>
        <v>0.6597966801920051</v>
      </c>
      <c r="CV111" s="73">
        <f t="shared" si="1024"/>
        <v>7.569731234175535</v>
      </c>
      <c r="CW111" s="73">
        <f t="shared" si="1025"/>
        <v>3.3556809328570023</v>
      </c>
      <c r="CX111" s="73">
        <f t="shared" si="1026"/>
        <v>5.0760877978336802</v>
      </c>
      <c r="CY111" s="73">
        <f t="shared" si="1027"/>
        <v>1.1495388790565269</v>
      </c>
      <c r="CZ111" s="190"/>
      <c r="DA111" s="66">
        <v>2023</v>
      </c>
      <c r="DB111" s="218">
        <f t="shared" si="869"/>
        <v>23.666534443791875</v>
      </c>
      <c r="DC111" s="218">
        <f t="shared" si="870"/>
        <v>3626.1373077399539</v>
      </c>
      <c r="DD111" s="73">
        <f t="shared" si="871"/>
        <v>3433.8740942516442</v>
      </c>
      <c r="DE111" s="73">
        <f t="shared" si="872"/>
        <v>1749.0260979999878</v>
      </c>
      <c r="DF111" s="73">
        <f t="shared" si="873"/>
        <v>72.630790390750605</v>
      </c>
      <c r="DG111" s="73">
        <f t="shared" si="874"/>
        <v>153.88606825450077</v>
      </c>
      <c r="DH111" s="72">
        <f t="shared" si="902"/>
        <v>0.95710803919874965</v>
      </c>
      <c r="DI111" s="72">
        <f t="shared" si="903"/>
        <v>0.96012926975786694</v>
      </c>
      <c r="DJ111" s="73">
        <f>SUM(AV92:AV111,BB92:BB111,BI92:BI111)</f>
        <v>5593.9826922600478</v>
      </c>
      <c r="DK111" s="73">
        <f>SUM(AV98:AV111,BB98:BB111,BI98:BI111)</f>
        <v>5426.3144005663544</v>
      </c>
      <c r="DL111" s="190"/>
    </row>
    <row r="112" spans="1:120" s="127" customFormat="1" x14ac:dyDescent="0.25">
      <c r="A112" s="190"/>
      <c r="B112" s="190" t="s">
        <v>576</v>
      </c>
      <c r="C112" s="182"/>
      <c r="D112" s="183"/>
      <c r="E112" s="183"/>
      <c r="F112" s="183"/>
      <c r="G112" s="183"/>
      <c r="H112" s="183"/>
      <c r="I112" s="183"/>
      <c r="J112" s="183"/>
      <c r="K112" s="183"/>
      <c r="L112" s="183"/>
      <c r="M112" s="183"/>
      <c r="N112" s="183"/>
      <c r="O112" s="183"/>
      <c r="P112" s="183"/>
      <c r="Q112" s="183"/>
      <c r="R112" s="183"/>
      <c r="S112" s="183"/>
      <c r="T112" s="183"/>
      <c r="U112" s="178"/>
      <c r="V112" s="178"/>
      <c r="W112" s="197" t="s">
        <v>580</v>
      </c>
      <c r="X112" s="190"/>
      <c r="Y112" s="190"/>
      <c r="Z112" s="190"/>
      <c r="AA112" s="190"/>
      <c r="AB112" s="190"/>
      <c r="AC112" s="190"/>
      <c r="AD112" s="190"/>
      <c r="AE112" s="190"/>
      <c r="AF112" s="190"/>
      <c r="AG112" s="190"/>
      <c r="AH112" s="190"/>
      <c r="AI112" s="190"/>
      <c r="AJ112" s="190"/>
      <c r="AK112" s="190"/>
      <c r="AL112" s="190"/>
      <c r="AM112" s="190"/>
      <c r="AN112" s="190"/>
      <c r="AO112" s="190"/>
      <c r="AP112" s="190"/>
      <c r="AQ112" s="193" t="s">
        <v>90</v>
      </c>
      <c r="AR112" s="25"/>
      <c r="AS112" s="213"/>
      <c r="AT112" s="213"/>
      <c r="AU112" s="213"/>
      <c r="AV112" s="213"/>
      <c r="AW112" s="213"/>
      <c r="AX112" s="213"/>
      <c r="AY112" s="213"/>
      <c r="AZ112" s="213"/>
      <c r="BA112" s="213"/>
      <c r="BB112" s="213"/>
      <c r="BC112" s="213"/>
      <c r="BD112" s="213"/>
      <c r="BE112" s="213"/>
      <c r="BF112" s="213"/>
      <c r="BG112" s="213"/>
      <c r="BH112" s="213"/>
      <c r="BI112" s="213"/>
      <c r="BJ112" s="25"/>
      <c r="BK112" s="25"/>
      <c r="BL112" s="25"/>
      <c r="BM112" s="348" t="s">
        <v>570</v>
      </c>
      <c r="BN112" s="349"/>
      <c r="BO112" s="349"/>
      <c r="BP112" s="349"/>
      <c r="BQ112" s="350" t="s">
        <v>570</v>
      </c>
      <c r="BR112" s="350"/>
      <c r="BS112" s="350"/>
      <c r="BT112" s="350"/>
      <c r="BU112" s="350"/>
      <c r="BV112" s="350"/>
      <c r="BW112" s="350"/>
      <c r="BX112" s="351"/>
      <c r="BY112" s="199"/>
      <c r="BZ112" s="25"/>
      <c r="CA112" s="25"/>
      <c r="CB112" s="350" t="s">
        <v>302</v>
      </c>
      <c r="CC112" s="350"/>
      <c r="CD112" s="350"/>
      <c r="CE112" s="350" t="s">
        <v>302</v>
      </c>
      <c r="CF112" s="350"/>
      <c r="CG112" s="350"/>
      <c r="CH112" s="350"/>
      <c r="CI112" s="350"/>
      <c r="CJ112" s="350"/>
      <c r="CK112" s="350"/>
      <c r="CL112" s="350"/>
      <c r="CM112" s="350" t="s">
        <v>302</v>
      </c>
      <c r="CN112" s="350"/>
      <c r="CO112" s="350"/>
      <c r="CP112" s="350"/>
      <c r="CQ112" s="350"/>
      <c r="CR112" s="350"/>
      <c r="CS112" s="350"/>
      <c r="CT112" s="350"/>
      <c r="CU112" s="350"/>
      <c r="CV112" s="350"/>
      <c r="CW112" s="350"/>
      <c r="CX112" s="350"/>
      <c r="CY112" s="350"/>
      <c r="CZ112" s="190"/>
      <c r="DA112" s="190" t="s">
        <v>100</v>
      </c>
      <c r="DB112" s="217"/>
      <c r="DC112" s="217"/>
      <c r="DD112" s="217"/>
      <c r="DE112" s="217"/>
      <c r="DF112" s="217"/>
      <c r="DG112" s="217"/>
      <c r="DH112" s="222"/>
      <c r="DI112" s="222"/>
      <c r="DJ112" s="217"/>
      <c r="DK112" s="217"/>
      <c r="DL112" s="190"/>
    </row>
    <row r="113" spans="1:120" x14ac:dyDescent="0.25">
      <c r="A113" s="190"/>
      <c r="B113" s="188">
        <v>2009</v>
      </c>
      <c r="C113" s="187"/>
      <c r="D113" s="181" t="s">
        <v>320</v>
      </c>
      <c r="E113" s="181" t="s">
        <v>319</v>
      </c>
      <c r="F113" s="181" t="s">
        <v>318</v>
      </c>
      <c r="G113" s="181" t="s">
        <v>317</v>
      </c>
      <c r="H113" s="181" t="s">
        <v>321</v>
      </c>
      <c r="I113" s="181" t="s">
        <v>322</v>
      </c>
      <c r="J113" s="181" t="s">
        <v>323</v>
      </c>
      <c r="K113" s="181" t="s">
        <v>324</v>
      </c>
      <c r="L113" s="181" t="s">
        <v>325</v>
      </c>
      <c r="M113" s="181" t="s">
        <v>326</v>
      </c>
      <c r="N113" s="181" t="s">
        <v>327</v>
      </c>
      <c r="O113" s="181" t="s">
        <v>328</v>
      </c>
      <c r="P113" s="181" t="s">
        <v>329</v>
      </c>
      <c r="Q113" s="181" t="s">
        <v>330</v>
      </c>
      <c r="R113" s="181" t="s">
        <v>331</v>
      </c>
      <c r="S113" s="181" t="s">
        <v>332</v>
      </c>
      <c r="T113" s="181" t="s">
        <v>333</v>
      </c>
      <c r="U113" s="181" t="s">
        <v>87</v>
      </c>
      <c r="V113" s="190"/>
      <c r="W113" s="66" t="s">
        <v>88</v>
      </c>
      <c r="X113" s="66" t="s">
        <v>89</v>
      </c>
      <c r="Y113" s="61" t="s">
        <v>320</v>
      </c>
      <c r="Z113" s="61" t="s">
        <v>319</v>
      </c>
      <c r="AA113" s="61" t="s">
        <v>318</v>
      </c>
      <c r="AB113" s="61" t="s">
        <v>317</v>
      </c>
      <c r="AC113" s="61" t="s">
        <v>321</v>
      </c>
      <c r="AD113" s="61" t="s">
        <v>322</v>
      </c>
      <c r="AE113" s="61" t="s">
        <v>323</v>
      </c>
      <c r="AF113" s="61" t="s">
        <v>324</v>
      </c>
      <c r="AG113" s="61" t="s">
        <v>325</v>
      </c>
      <c r="AH113" s="61" t="s">
        <v>326</v>
      </c>
      <c r="AI113" s="61" t="s">
        <v>327</v>
      </c>
      <c r="AJ113" s="61" t="s">
        <v>328</v>
      </c>
      <c r="AK113" s="61" t="s">
        <v>329</v>
      </c>
      <c r="AL113" s="61" t="s">
        <v>330</v>
      </c>
      <c r="AM113" s="61" t="s">
        <v>331</v>
      </c>
      <c r="AN113" s="61" t="s">
        <v>332</v>
      </c>
      <c r="AO113" s="61" t="s">
        <v>333</v>
      </c>
      <c r="AP113" s="190"/>
      <c r="AQ113" s="66" t="s">
        <v>88</v>
      </c>
      <c r="AR113" s="66" t="s">
        <v>89</v>
      </c>
      <c r="AS113" s="214" t="s">
        <v>320</v>
      </c>
      <c r="AT113" s="214" t="s">
        <v>319</v>
      </c>
      <c r="AU113" s="214" t="s">
        <v>318</v>
      </c>
      <c r="AV113" s="214" t="s">
        <v>317</v>
      </c>
      <c r="AW113" s="214" t="s">
        <v>321</v>
      </c>
      <c r="AX113" s="214" t="s">
        <v>322</v>
      </c>
      <c r="AY113" s="214" t="s">
        <v>323</v>
      </c>
      <c r="AZ113" s="214" t="s">
        <v>324</v>
      </c>
      <c r="BA113" s="214" t="s">
        <v>325</v>
      </c>
      <c r="BB113" s="214" t="s">
        <v>326</v>
      </c>
      <c r="BC113" s="214" t="s">
        <v>327</v>
      </c>
      <c r="BD113" s="214" t="s">
        <v>328</v>
      </c>
      <c r="BE113" s="214" t="s">
        <v>329</v>
      </c>
      <c r="BF113" s="214" t="s">
        <v>330</v>
      </c>
      <c r="BG113" s="214" t="s">
        <v>331</v>
      </c>
      <c r="BH113" s="214" t="s">
        <v>332</v>
      </c>
      <c r="BI113" s="214" t="s">
        <v>333</v>
      </c>
      <c r="BJ113" s="189"/>
      <c r="BK113" s="66" t="s">
        <v>88</v>
      </c>
      <c r="BL113" s="66" t="s">
        <v>89</v>
      </c>
      <c r="BM113" s="122" t="s">
        <v>627</v>
      </c>
      <c r="BN113" s="122" t="s">
        <v>715</v>
      </c>
      <c r="BO113" s="122" t="s">
        <v>628</v>
      </c>
      <c r="BP113" s="122" t="s">
        <v>629</v>
      </c>
      <c r="BQ113" s="122" t="s">
        <v>627</v>
      </c>
      <c r="BR113" s="122" t="s">
        <v>716</v>
      </c>
      <c r="BS113" s="122" t="s">
        <v>717</v>
      </c>
      <c r="BT113" s="122" t="s">
        <v>721</v>
      </c>
      <c r="BU113" s="122" t="s">
        <v>720</v>
      </c>
      <c r="BV113" s="122" t="s">
        <v>719</v>
      </c>
      <c r="BW113" s="122" t="s">
        <v>629</v>
      </c>
      <c r="BX113" s="122" t="s">
        <v>722</v>
      </c>
      <c r="BY113" s="182"/>
      <c r="BZ113" s="192" t="s">
        <v>88</v>
      </c>
      <c r="CA113" s="66" t="s">
        <v>89</v>
      </c>
      <c r="CB113" s="218" t="s">
        <v>124</v>
      </c>
      <c r="CC113" s="218" t="s">
        <v>630</v>
      </c>
      <c r="CD113" s="218" t="s">
        <v>570</v>
      </c>
      <c r="CE113" s="218" t="s">
        <v>124</v>
      </c>
      <c r="CF113" s="218" t="s">
        <v>630</v>
      </c>
      <c r="CG113" s="218" t="s">
        <v>631</v>
      </c>
      <c r="CH113" s="218" t="s">
        <v>632</v>
      </c>
      <c r="CI113" s="227" t="s">
        <v>624</v>
      </c>
      <c r="CJ113" s="227" t="s">
        <v>725</v>
      </c>
      <c r="CK113" s="227" t="s">
        <v>625</v>
      </c>
      <c r="CL113" s="227" t="s">
        <v>626</v>
      </c>
      <c r="CM113" s="218" t="s">
        <v>124</v>
      </c>
      <c r="CN113" s="218" t="s">
        <v>633</v>
      </c>
      <c r="CO113" s="218" t="s">
        <v>634</v>
      </c>
      <c r="CP113" s="218" t="s">
        <v>635</v>
      </c>
      <c r="CQ113" s="218" t="s">
        <v>632</v>
      </c>
      <c r="CR113" s="122" t="s">
        <v>624</v>
      </c>
      <c r="CS113" s="122" t="s">
        <v>726</v>
      </c>
      <c r="CT113" s="122" t="s">
        <v>727</v>
      </c>
      <c r="CU113" s="122" t="s">
        <v>637</v>
      </c>
      <c r="CV113" s="122" t="s">
        <v>638</v>
      </c>
      <c r="CW113" s="122" t="s">
        <v>728</v>
      </c>
      <c r="CX113" s="122" t="s">
        <v>626</v>
      </c>
      <c r="CY113" s="122" t="s">
        <v>729</v>
      </c>
      <c r="CZ113" s="190"/>
      <c r="DA113" s="67" t="s">
        <v>89</v>
      </c>
      <c r="DB113" s="219" t="s">
        <v>91</v>
      </c>
      <c r="DC113" s="219" t="s">
        <v>99</v>
      </c>
      <c r="DD113" s="215" t="s">
        <v>92</v>
      </c>
      <c r="DE113" s="215" t="s">
        <v>97</v>
      </c>
      <c r="DF113" s="215" t="s">
        <v>93</v>
      </c>
      <c r="DG113" s="215" t="s">
        <v>94</v>
      </c>
      <c r="DH113" s="223" t="s">
        <v>96</v>
      </c>
      <c r="DI113" s="223" t="s">
        <v>98</v>
      </c>
      <c r="DJ113" s="219" t="s">
        <v>95</v>
      </c>
      <c r="DK113" s="219" t="s">
        <v>102</v>
      </c>
      <c r="DL113" s="190"/>
      <c r="DM113" s="127"/>
      <c r="DN113" s="127"/>
      <c r="DO113" s="127"/>
      <c r="DP113" s="127"/>
    </row>
    <row r="114" spans="1:120" x14ac:dyDescent="0.25">
      <c r="A114" s="190"/>
      <c r="B114" s="188">
        <v>2009</v>
      </c>
      <c r="C114" s="61" t="s">
        <v>320</v>
      </c>
      <c r="D114" s="172">
        <f>pAsympt_NoCare_2007_2009</f>
        <v>0.63376008575865694</v>
      </c>
      <c r="E114" s="172">
        <f>pAsympt_NoCare_Asympt_InCare_2007_2009</f>
        <v>7.4027434914144222E-2</v>
      </c>
      <c r="F114" s="169">
        <v>0</v>
      </c>
      <c r="G114" s="170">
        <f>pAsympt_NoCare_Asympt_Dead_2007_2009</f>
        <v>1.818504441305463E-2</v>
      </c>
      <c r="H114" s="170">
        <f>pAsympt_NoCare_Int_NoCare_2007_2009</f>
        <v>0.2</v>
      </c>
      <c r="I114" s="172">
        <f>pAsympt_NoCare_Int_InCare_2007_2009</f>
        <v>7.4027434914144222E-2</v>
      </c>
      <c r="J114" s="171">
        <f>pAsympt_NoCare_Int_ART1_2007_2009</f>
        <v>0</v>
      </c>
      <c r="K114" s="169">
        <v>0</v>
      </c>
      <c r="L114" s="169">
        <v>0</v>
      </c>
      <c r="M114" s="169">
        <v>0</v>
      </c>
      <c r="N114" s="169">
        <v>0</v>
      </c>
      <c r="O114" s="169">
        <v>0</v>
      </c>
      <c r="P114" s="169">
        <v>0</v>
      </c>
      <c r="Q114" s="169">
        <v>0</v>
      </c>
      <c r="R114" s="169">
        <v>0</v>
      </c>
      <c r="S114" s="169">
        <v>0</v>
      </c>
      <c r="T114" s="169">
        <v>0</v>
      </c>
      <c r="U114" s="61">
        <f>SUM(D114:T114)</f>
        <v>0.99999999999999989</v>
      </c>
      <c r="V114" s="190"/>
      <c r="W114" s="66">
        <v>0</v>
      </c>
      <c r="X114" s="66">
        <v>2004</v>
      </c>
      <c r="Y114" s="69">
        <v>0</v>
      </c>
      <c r="Z114" s="69">
        <v>0</v>
      </c>
      <c r="AA114" s="69">
        <v>0</v>
      </c>
      <c r="AB114" s="69">
        <v>0</v>
      </c>
      <c r="AC114" s="69">
        <v>0</v>
      </c>
      <c r="AD114" s="69">
        <v>0</v>
      </c>
      <c r="AE114" s="69">
        <v>0</v>
      </c>
      <c r="AF114" s="69">
        <v>0</v>
      </c>
      <c r="AG114" s="69">
        <v>0</v>
      </c>
      <c r="AH114" s="69">
        <v>0</v>
      </c>
      <c r="AI114" s="69">
        <v>0</v>
      </c>
      <c r="AJ114" s="69">
        <v>0</v>
      </c>
      <c r="AK114" s="69">
        <v>0</v>
      </c>
      <c r="AL114" s="69">
        <v>0</v>
      </c>
      <c r="AM114" s="69">
        <v>0</v>
      </c>
      <c r="AN114" s="69">
        <v>0</v>
      </c>
      <c r="AO114" s="69">
        <v>0</v>
      </c>
      <c r="AP114" s="190"/>
      <c r="AQ114" s="66">
        <v>0</v>
      </c>
      <c r="AR114" s="66">
        <v>2004</v>
      </c>
      <c r="AS114" s="215">
        <f t="shared" ref="AS114:AS133" si="1029">Inc_2009*Y114</f>
        <v>0</v>
      </c>
      <c r="AT114" s="215">
        <f t="shared" ref="AT114:AT133" si="1030">Inc_2009*Z114</f>
        <v>0</v>
      </c>
      <c r="AU114" s="215">
        <f t="shared" ref="AU114:AU133" si="1031">Inc_2009*AA114</f>
        <v>0</v>
      </c>
      <c r="AV114" s="215">
        <f t="shared" ref="AV114:AV133" si="1032">Inc_2009*AB114</f>
        <v>0</v>
      </c>
      <c r="AW114" s="215">
        <f t="shared" ref="AW114:AW133" si="1033">Inc_2009*AC114</f>
        <v>0</v>
      </c>
      <c r="AX114" s="215">
        <f t="shared" ref="AX114:AX133" si="1034">Inc_2009*AD114</f>
        <v>0</v>
      </c>
      <c r="AY114" s="215">
        <f t="shared" ref="AY114:AY133" si="1035">Inc_2009*AE114</f>
        <v>0</v>
      </c>
      <c r="AZ114" s="215">
        <f t="shared" ref="AZ114:AZ133" si="1036">Inc_2009*AF114</f>
        <v>0</v>
      </c>
      <c r="BA114" s="215">
        <f t="shared" ref="BA114:BA133" si="1037">Inc_2009*AG114</f>
        <v>0</v>
      </c>
      <c r="BB114" s="215">
        <f t="shared" ref="BB114:BB133" si="1038">Inc_2009*AH114</f>
        <v>0</v>
      </c>
      <c r="BC114" s="215">
        <f t="shared" ref="BC114:BC133" si="1039">Inc_2009*AI114</f>
        <v>0</v>
      </c>
      <c r="BD114" s="215">
        <f t="shared" ref="BD114:BD133" si="1040">Inc_2009*AJ114</f>
        <v>0</v>
      </c>
      <c r="BE114" s="215">
        <f t="shared" ref="BE114:BE133" si="1041">Inc_2009*AK114</f>
        <v>0</v>
      </c>
      <c r="BF114" s="215">
        <f t="shared" ref="BF114:BF133" si="1042">Inc_2009*AL114</f>
        <v>0</v>
      </c>
      <c r="BG114" s="215">
        <f t="shared" ref="BG114:BG133" si="1043">Inc_2009*AM114</f>
        <v>0</v>
      </c>
      <c r="BH114" s="215">
        <f t="shared" ref="BH114:BH133" si="1044">Inc_2009*AN114</f>
        <v>0</v>
      </c>
      <c r="BI114" s="215">
        <f t="shared" ref="BI114:BI133" si="1045">Inc_2009*AO114</f>
        <v>0</v>
      </c>
      <c r="BJ114" s="194"/>
      <c r="BK114" s="66">
        <v>0</v>
      </c>
      <c r="BL114" s="66">
        <v>2004</v>
      </c>
      <c r="BM114" s="215">
        <f>BA114</f>
        <v>0</v>
      </c>
      <c r="BN114" s="219">
        <v>0</v>
      </c>
      <c r="BO114" s="219">
        <v>0</v>
      </c>
      <c r="BP114" s="219">
        <v>0</v>
      </c>
      <c r="BQ114" s="219">
        <f>BH114</f>
        <v>0</v>
      </c>
      <c r="BR114" s="219">
        <v>0</v>
      </c>
      <c r="BS114" s="219">
        <v>0</v>
      </c>
      <c r="BT114" s="219">
        <v>0</v>
      </c>
      <c r="BU114" s="219">
        <v>0</v>
      </c>
      <c r="BV114" s="219">
        <v>0</v>
      </c>
      <c r="BW114" s="219">
        <v>0</v>
      </c>
      <c r="BX114" s="219">
        <v>0</v>
      </c>
      <c r="BY114" s="195"/>
      <c r="BZ114" s="192">
        <v>0</v>
      </c>
      <c r="CA114" s="66">
        <v>2004</v>
      </c>
      <c r="CB114" s="218">
        <v>0</v>
      </c>
      <c r="CC114" s="218">
        <v>0</v>
      </c>
      <c r="CD114" s="218">
        <v>0</v>
      </c>
      <c r="CE114" s="218">
        <v>0</v>
      </c>
      <c r="CF114" s="218">
        <v>0</v>
      </c>
      <c r="CG114" s="218">
        <v>0</v>
      </c>
      <c r="CH114" s="218">
        <v>0</v>
      </c>
      <c r="CI114" s="218">
        <v>0</v>
      </c>
      <c r="CJ114" s="218">
        <v>0</v>
      </c>
      <c r="CK114" s="218">
        <v>0</v>
      </c>
      <c r="CL114" s="218">
        <v>0</v>
      </c>
      <c r="CM114" s="218">
        <v>0</v>
      </c>
      <c r="CN114" s="218">
        <v>0</v>
      </c>
      <c r="CO114" s="218">
        <v>0</v>
      </c>
      <c r="CP114" s="218">
        <v>0</v>
      </c>
      <c r="CQ114" s="218">
        <v>0</v>
      </c>
      <c r="CR114" s="218">
        <v>0</v>
      </c>
      <c r="CS114" s="218">
        <v>0</v>
      </c>
      <c r="CT114" s="218">
        <v>0</v>
      </c>
      <c r="CU114" s="218">
        <v>0</v>
      </c>
      <c r="CV114" s="218">
        <v>0</v>
      </c>
      <c r="CW114" s="218">
        <v>0</v>
      </c>
      <c r="CX114" s="218">
        <v>0</v>
      </c>
      <c r="CY114" s="218">
        <v>0</v>
      </c>
      <c r="CZ114" s="190"/>
      <c r="DA114" s="67">
        <v>2004</v>
      </c>
      <c r="DB114" s="218">
        <f t="shared" ref="DB114:DB133" si="1046">SUM(AT114,AX114,BD114)</f>
        <v>0</v>
      </c>
      <c r="DC114" s="218">
        <f t="shared" ref="DC114:DC133" si="1047">SUM(AS114:AU114,AW114:BA114,BC114:BH114)</f>
        <v>0</v>
      </c>
      <c r="DD114" s="73">
        <f t="shared" ref="DD114:DD133" si="1048">SUM(AY114:AZ114,BE114:BG114)</f>
        <v>0</v>
      </c>
      <c r="DE114" s="73">
        <f t="shared" ref="DE114:DE133" si="1049">SUM(BE114:BG114)</f>
        <v>0</v>
      </c>
      <c r="DF114" s="73">
        <f t="shared" ref="DF114:DF133" si="1050">SUM(BC114,BD114,BH114)</f>
        <v>0</v>
      </c>
      <c r="DG114" s="73">
        <f t="shared" ref="DG114:DG133" si="1051">SUM(BC114,BD114,BH114,AW114,AX114,BA114)</f>
        <v>0</v>
      </c>
      <c r="DH114" s="72" t="e">
        <f>DD114/(DD114+DG114)</f>
        <v>#DIV/0!</v>
      </c>
      <c r="DI114" s="72" t="e">
        <f>DE114/(DE114+DF114)</f>
        <v>#DIV/0!</v>
      </c>
      <c r="DJ114" s="73">
        <f>SUM(AV114,BB114,BI114)</f>
        <v>0</v>
      </c>
      <c r="DK114" s="73">
        <v>0</v>
      </c>
      <c r="DL114" s="190"/>
    </row>
    <row r="115" spans="1:120" x14ac:dyDescent="0.25">
      <c r="A115" s="190"/>
      <c r="B115" s="188">
        <v>2009</v>
      </c>
      <c r="C115" s="61" t="s">
        <v>319</v>
      </c>
      <c r="D115" s="169">
        <v>0</v>
      </c>
      <c r="E115" s="172">
        <f>pAsympt_InCare_2004_2012</f>
        <v>0.43814160225821164</v>
      </c>
      <c r="F115" s="170">
        <f>pAsympt_InCare_Asympt_LTFU_2004_2012</f>
        <v>0.30679530417926698</v>
      </c>
      <c r="G115" s="170">
        <f>pAsympt_InCare_Asympt_Dead_2004_2012</f>
        <v>1.7063093562521336E-2</v>
      </c>
      <c r="H115" s="169">
        <v>0</v>
      </c>
      <c r="I115" s="170">
        <f>pAsympt_InCare_Int_InCare_2004_2012</f>
        <v>0.2</v>
      </c>
      <c r="J115" s="170">
        <f>pAsympt_InCare_Int_ART1_2004_2012</f>
        <v>3.7999999999999999E-2</v>
      </c>
      <c r="K115" s="169">
        <v>0</v>
      </c>
      <c r="L115" s="169">
        <v>0</v>
      </c>
      <c r="M115" s="169">
        <v>0</v>
      </c>
      <c r="N115" s="169">
        <v>0</v>
      </c>
      <c r="O115" s="169">
        <v>0</v>
      </c>
      <c r="P115" s="169">
        <v>0</v>
      </c>
      <c r="Q115" s="169">
        <v>0</v>
      </c>
      <c r="R115" s="169">
        <v>0</v>
      </c>
      <c r="S115" s="169">
        <v>0</v>
      </c>
      <c r="T115" s="169">
        <v>0</v>
      </c>
      <c r="U115" s="61">
        <f t="shared" ref="U115:U130" si="1052">SUM(D115:T115)</f>
        <v>1</v>
      </c>
      <c r="V115" s="190"/>
      <c r="W115" s="66">
        <v>1</v>
      </c>
      <c r="X115" s="66">
        <v>2005</v>
      </c>
      <c r="Y115" s="69">
        <v>0</v>
      </c>
      <c r="Z115" s="69">
        <v>0</v>
      </c>
      <c r="AA115" s="69">
        <v>0</v>
      </c>
      <c r="AB115" s="69">
        <v>0</v>
      </c>
      <c r="AC115" s="69">
        <v>0</v>
      </c>
      <c r="AD115" s="69">
        <v>0</v>
      </c>
      <c r="AE115" s="69">
        <v>0</v>
      </c>
      <c r="AF115" s="69">
        <v>0</v>
      </c>
      <c r="AG115" s="69">
        <v>0</v>
      </c>
      <c r="AH115" s="69">
        <v>0</v>
      </c>
      <c r="AI115" s="69">
        <v>0</v>
      </c>
      <c r="AJ115" s="69">
        <v>0</v>
      </c>
      <c r="AK115" s="69">
        <v>0</v>
      </c>
      <c r="AL115" s="69">
        <v>0</v>
      </c>
      <c r="AM115" s="69">
        <v>0</v>
      </c>
      <c r="AN115" s="69">
        <v>0</v>
      </c>
      <c r="AO115" s="69">
        <v>0</v>
      </c>
      <c r="AP115" s="190"/>
      <c r="AQ115" s="66">
        <v>1</v>
      </c>
      <c r="AR115" s="66">
        <v>2005</v>
      </c>
      <c r="AS115" s="215">
        <f t="shared" si="1029"/>
        <v>0</v>
      </c>
      <c r="AT115" s="215">
        <f t="shared" si="1030"/>
        <v>0</v>
      </c>
      <c r="AU115" s="215">
        <f t="shared" si="1031"/>
        <v>0</v>
      </c>
      <c r="AV115" s="215">
        <f t="shared" si="1032"/>
        <v>0</v>
      </c>
      <c r="AW115" s="215">
        <f t="shared" si="1033"/>
        <v>0</v>
      </c>
      <c r="AX115" s="215">
        <f t="shared" si="1034"/>
        <v>0</v>
      </c>
      <c r="AY115" s="215">
        <f t="shared" si="1035"/>
        <v>0</v>
      </c>
      <c r="AZ115" s="215">
        <f t="shared" si="1036"/>
        <v>0</v>
      </c>
      <c r="BA115" s="215">
        <f t="shared" si="1037"/>
        <v>0</v>
      </c>
      <c r="BB115" s="215">
        <f t="shared" si="1038"/>
        <v>0</v>
      </c>
      <c r="BC115" s="215">
        <f t="shared" si="1039"/>
        <v>0</v>
      </c>
      <c r="BD115" s="215">
        <f t="shared" si="1040"/>
        <v>0</v>
      </c>
      <c r="BE115" s="215">
        <f t="shared" si="1041"/>
        <v>0</v>
      </c>
      <c r="BF115" s="215">
        <f t="shared" si="1042"/>
        <v>0</v>
      </c>
      <c r="BG115" s="215">
        <f t="shared" si="1043"/>
        <v>0</v>
      </c>
      <c r="BH115" s="215">
        <f t="shared" si="1044"/>
        <v>0</v>
      </c>
      <c r="BI115" s="215">
        <f t="shared" si="1045"/>
        <v>0</v>
      </c>
      <c r="BJ115" s="194"/>
      <c r="BK115" s="66">
        <v>1</v>
      </c>
      <c r="BL115" s="66">
        <v>2005</v>
      </c>
      <c r="BM115" s="215">
        <f t="shared" ref="BM115:BM122" si="1053">(AX114*pInt_InCare_Int_LTFU_2004_2012)+(BM114*pInt_LTFU_2004_2012)</f>
        <v>0</v>
      </c>
      <c r="BN115" s="219">
        <f t="shared" ref="BN115:BN122" si="1054">(AU114*pAsympt_LTFU_Int_LTFU_2004_2012)+(BN114*pInt_LTFU_2004_2012)</f>
        <v>0</v>
      </c>
      <c r="BO115" s="219">
        <f t="shared" ref="BO115:BO122" si="1055">(AY114*pInt_ART1_Int_LTFU_2004_2012)+(BO114*pInt_LTFU_2004_2012)</f>
        <v>0</v>
      </c>
      <c r="BP115" s="219">
        <v>0</v>
      </c>
      <c r="BQ115" s="219">
        <f t="shared" ref="BQ115:BQ122" si="1056">(BD114*pAIDS_InCare_AIDS_LTFU_2004_2012)+(BQ114*pAIDS_LTFU_2004_2012)</f>
        <v>0</v>
      </c>
      <c r="BR115" s="220">
        <f>(BN114*pInt_LTFU_AIDS_LTFU_2004_2012)</f>
        <v>0</v>
      </c>
      <c r="BS115" s="219">
        <f>(BM114*pInt_LTFU_AIDS_LTFU_2004_2012)</f>
        <v>0</v>
      </c>
      <c r="BT115" s="219">
        <f>(BE114*pAIDS_ART1ear_AIDS_LTFU_2004_2012)</f>
        <v>0</v>
      </c>
      <c r="BU115" s="219">
        <f>(BF114*pAIDS_ART1late_AIDS_LTFU_2004_2012)</f>
        <v>0</v>
      </c>
      <c r="BV115" s="219">
        <f>(BO114*pInt_LTFU_AIDS_LTFU_2004_2012)</f>
        <v>0</v>
      </c>
      <c r="BW115" s="219">
        <f>(BG114*pAIDS_ART2_AIDS_LTFU_2004_2012)</f>
        <v>0</v>
      </c>
      <c r="BX115" s="220">
        <f>(BP114*pInt_LTFU_AIDS_LTFU_2004_2012)</f>
        <v>0</v>
      </c>
      <c r="BY115" s="195"/>
      <c r="BZ115" s="192">
        <v>1</v>
      </c>
      <c r="CA115" s="66">
        <v>2005</v>
      </c>
      <c r="CB115" s="218">
        <f>pAsympt_NoCare_Asympt_Dead_2004_2006*AS114</f>
        <v>0</v>
      </c>
      <c r="CC115" s="218">
        <f t="shared" ref="CC115:CC122" si="1057">pAsympt_InCare_Asympt_Dead_2004_2012*AT114</f>
        <v>0</v>
      </c>
      <c r="CD115" s="73">
        <f t="shared" ref="CD115:CD122" si="1058">pAsympt_LTFU_Asympt_Dead_2004_2012*AU114</f>
        <v>0</v>
      </c>
      <c r="CE115" s="73">
        <f>pInt_NoCare_Int_Dead_2004_2006*AW114</f>
        <v>0</v>
      </c>
      <c r="CF115" s="73">
        <f t="shared" ref="CF115:CF122" si="1059">pInt_InCare_Int_Dead_2004_2012*AX114</f>
        <v>0</v>
      </c>
      <c r="CG115" s="73">
        <f t="shared" ref="CG115:CG122" si="1060">pInt_ART1_Int_Dead_2004_2012*AY114</f>
        <v>0</v>
      </c>
      <c r="CH115" s="73">
        <f t="shared" ref="CH115:CH122" si="1061">pInt_ART2_Int_Dead_2004_2012*AZ114</f>
        <v>0</v>
      </c>
      <c r="CI115" s="73">
        <f t="shared" ref="CI115:CI122" si="1062">(BM114*pInt_LTFU_Int_Dead_2004_2012)</f>
        <v>0</v>
      </c>
      <c r="CJ115" s="73">
        <f t="shared" ref="CJ115:CJ122" si="1063">(BN114*pInt_LTFU_Int_Dead_2004_2012)</f>
        <v>0</v>
      </c>
      <c r="CK115" s="73">
        <f t="shared" ref="CK115:CK122" si="1064">(BO114*pInt_LTFU_Int_Dead_2004_2012)</f>
        <v>0</v>
      </c>
      <c r="CL115" s="73">
        <f t="shared" ref="CL115:CL122" si="1065">(BP114*pInt_LTFU_Int_Dead_2004_2012)</f>
        <v>0</v>
      </c>
      <c r="CM115" s="73">
        <f t="shared" ref="CM115:CM116" si="1066">pAIDS_NoCare_AIDS_Dead_2004_2006*BC114</f>
        <v>0</v>
      </c>
      <c r="CN115" s="73">
        <f t="shared" ref="CN115:CN122" si="1067">pAIDS_InCare_AIDS_Dead_2004_2012*BD114</f>
        <v>0</v>
      </c>
      <c r="CO115" s="73">
        <f t="shared" ref="CO115:CO122" si="1068">pAIDS_ART1ear_AIDS_Dead_2004_2012*BE114</f>
        <v>0</v>
      </c>
      <c r="CP115" s="73">
        <f t="shared" ref="CP115:CP122" si="1069">pAIDS_ART1late_AIDS_Dead_2004_2012*BF114</f>
        <v>0</v>
      </c>
      <c r="CQ115" s="73">
        <f t="shared" ref="CQ115:CQ122" si="1070">pAIDS_ART2_AIDS_Dead_2004_2012*BG114</f>
        <v>0</v>
      </c>
      <c r="CR115" s="73">
        <f t="shared" ref="CR115:CR122" si="1071">(BQ114*pAIDS_LTFU_AIDS_Dead_2004_2012)</f>
        <v>0</v>
      </c>
      <c r="CS115" s="73">
        <f t="shared" ref="CS115:CS122" si="1072">(BR114*pAIDS_LTFU_AIDS_Dead_2004_2012)</f>
        <v>0</v>
      </c>
      <c r="CT115" s="73">
        <f t="shared" ref="CT115:CT122" si="1073">(BS114*pAIDS_LTFU_AIDS_Dead_2004_2012)</f>
        <v>0</v>
      </c>
      <c r="CU115" s="73">
        <f t="shared" ref="CU115:CU122" si="1074">(BT114*pAIDS_LTFU_AIDS_Dead_2004_2012)</f>
        <v>0</v>
      </c>
      <c r="CV115" s="73">
        <f t="shared" ref="CV115:CV122" si="1075">(BU114*pAIDS_LTFU_AIDS_Dead_2004_2012)</f>
        <v>0</v>
      </c>
      <c r="CW115" s="73">
        <f t="shared" ref="CW115:CW122" si="1076">(BV114*pAIDS_LTFU_AIDS_Dead_2004_2012)</f>
        <v>0</v>
      </c>
      <c r="CX115" s="73">
        <f t="shared" ref="CX115:CX122" si="1077">(BW114*pAIDS_LTFU_AIDS_Dead_2004_2012)</f>
        <v>0</v>
      </c>
      <c r="CY115" s="73">
        <f t="shared" ref="CY115:CY122" si="1078">(BX114*pAIDS_LTFU_AIDS_Dead_2004_2012)</f>
        <v>0</v>
      </c>
      <c r="CZ115" s="190"/>
      <c r="DA115" s="67">
        <v>2005</v>
      </c>
      <c r="DB115" s="218">
        <f t="shared" si="1046"/>
        <v>0</v>
      </c>
      <c r="DC115" s="218">
        <f t="shared" si="1047"/>
        <v>0</v>
      </c>
      <c r="DD115" s="73">
        <f t="shared" si="1048"/>
        <v>0</v>
      </c>
      <c r="DE115" s="73">
        <f t="shared" si="1049"/>
        <v>0</v>
      </c>
      <c r="DF115" s="73">
        <f t="shared" si="1050"/>
        <v>0</v>
      </c>
      <c r="DG115" s="73">
        <f t="shared" si="1051"/>
        <v>0</v>
      </c>
      <c r="DH115" s="72" t="e">
        <f t="shared" ref="DH115:DH133" si="1079">DD115/(DD115+DG115)</f>
        <v>#DIV/0!</v>
      </c>
      <c r="DI115" s="72" t="e">
        <f t="shared" ref="DI115:DI133" si="1080">DE115/(DE115+DF115)</f>
        <v>#DIV/0!</v>
      </c>
      <c r="DJ115" s="73">
        <f>SUM(AV114:AV115,BB114:BB115,BI114:BI115)</f>
        <v>0</v>
      </c>
      <c r="DK115" s="73">
        <v>0</v>
      </c>
      <c r="DL115" s="190"/>
    </row>
    <row r="116" spans="1:120" x14ac:dyDescent="0.25">
      <c r="A116" s="190"/>
      <c r="B116" s="188">
        <v>2009</v>
      </c>
      <c r="C116" s="61" t="s">
        <v>318</v>
      </c>
      <c r="D116" s="169">
        <v>0</v>
      </c>
      <c r="E116" s="169">
        <v>0</v>
      </c>
      <c r="F116" s="172">
        <f>pAsympt_LTFU_2004_2012</f>
        <v>0.66061495558694538</v>
      </c>
      <c r="G116" s="170">
        <f>pAsympt_LTFU_Asympt_Dead_2004_2012</f>
        <v>1.818504441305463E-2</v>
      </c>
      <c r="H116" s="169">
        <v>0</v>
      </c>
      <c r="I116" s="169">
        <v>0</v>
      </c>
      <c r="J116" s="171">
        <f>pAsympt_LTFU_Int_ART1_2004_2012</f>
        <v>0.1212</v>
      </c>
      <c r="K116" s="169">
        <v>0</v>
      </c>
      <c r="L116" s="170">
        <f>pAsympt_LTFU_Int_LTFU_2004_2012</f>
        <v>0.2</v>
      </c>
      <c r="M116" s="169">
        <v>0</v>
      </c>
      <c r="N116" s="169">
        <v>0</v>
      </c>
      <c r="O116" s="169">
        <v>0</v>
      </c>
      <c r="P116" s="169">
        <v>0</v>
      </c>
      <c r="Q116" s="169">
        <v>0</v>
      </c>
      <c r="R116" s="169">
        <v>0</v>
      </c>
      <c r="S116" s="169">
        <v>0</v>
      </c>
      <c r="T116" s="169">
        <v>0</v>
      </c>
      <c r="U116" s="61">
        <f t="shared" si="1052"/>
        <v>1</v>
      </c>
      <c r="V116" s="190"/>
      <c r="W116" s="66">
        <v>2</v>
      </c>
      <c r="X116" s="66">
        <v>2006</v>
      </c>
      <c r="Y116" s="69">
        <v>0</v>
      </c>
      <c r="Z116" s="69">
        <v>0</v>
      </c>
      <c r="AA116" s="69">
        <v>0</v>
      </c>
      <c r="AB116" s="69">
        <v>0</v>
      </c>
      <c r="AC116" s="69">
        <v>0</v>
      </c>
      <c r="AD116" s="69">
        <v>0</v>
      </c>
      <c r="AE116" s="69">
        <v>0</v>
      </c>
      <c r="AF116" s="69">
        <v>0</v>
      </c>
      <c r="AG116" s="69">
        <v>0</v>
      </c>
      <c r="AH116" s="69">
        <v>0</v>
      </c>
      <c r="AI116" s="69">
        <v>0</v>
      </c>
      <c r="AJ116" s="69">
        <v>0</v>
      </c>
      <c r="AK116" s="69">
        <v>0</v>
      </c>
      <c r="AL116" s="69">
        <v>0</v>
      </c>
      <c r="AM116" s="69">
        <v>0</v>
      </c>
      <c r="AN116" s="69">
        <v>0</v>
      </c>
      <c r="AO116" s="69">
        <v>0</v>
      </c>
      <c r="AP116" s="190"/>
      <c r="AQ116" s="66">
        <v>2</v>
      </c>
      <c r="AR116" s="66">
        <v>2006</v>
      </c>
      <c r="AS116" s="215">
        <f t="shared" si="1029"/>
        <v>0</v>
      </c>
      <c r="AT116" s="215">
        <f t="shared" si="1030"/>
        <v>0</v>
      </c>
      <c r="AU116" s="215">
        <f t="shared" si="1031"/>
        <v>0</v>
      </c>
      <c r="AV116" s="215">
        <f t="shared" si="1032"/>
        <v>0</v>
      </c>
      <c r="AW116" s="215">
        <f t="shared" si="1033"/>
        <v>0</v>
      </c>
      <c r="AX116" s="215">
        <f t="shared" si="1034"/>
        <v>0</v>
      </c>
      <c r="AY116" s="215">
        <f t="shared" si="1035"/>
        <v>0</v>
      </c>
      <c r="AZ116" s="215">
        <f t="shared" si="1036"/>
        <v>0</v>
      </c>
      <c r="BA116" s="215">
        <f t="shared" si="1037"/>
        <v>0</v>
      </c>
      <c r="BB116" s="215">
        <f t="shared" si="1038"/>
        <v>0</v>
      </c>
      <c r="BC116" s="215">
        <f t="shared" si="1039"/>
        <v>0</v>
      </c>
      <c r="BD116" s="215">
        <f t="shared" si="1040"/>
        <v>0</v>
      </c>
      <c r="BE116" s="215">
        <f t="shared" si="1041"/>
        <v>0</v>
      </c>
      <c r="BF116" s="215">
        <f t="shared" si="1042"/>
        <v>0</v>
      </c>
      <c r="BG116" s="215">
        <f t="shared" si="1043"/>
        <v>0</v>
      </c>
      <c r="BH116" s="215">
        <f t="shared" si="1044"/>
        <v>0</v>
      </c>
      <c r="BI116" s="215">
        <f t="shared" si="1045"/>
        <v>0</v>
      </c>
      <c r="BJ116" s="194"/>
      <c r="BK116" s="66">
        <v>2</v>
      </c>
      <c r="BL116" s="66">
        <v>2006</v>
      </c>
      <c r="BM116" s="215">
        <f t="shared" si="1053"/>
        <v>0</v>
      </c>
      <c r="BN116" s="219">
        <f t="shared" si="1054"/>
        <v>0</v>
      </c>
      <c r="BO116" s="219">
        <f t="shared" si="1055"/>
        <v>0</v>
      </c>
      <c r="BP116" s="219">
        <f t="shared" ref="BP116:BP122" si="1081">(AZ115*pInt_ART2_Int_LTFU_2004_2012)+(BP115*pInt_LTFU_2004_2012)</f>
        <v>0</v>
      </c>
      <c r="BQ116" s="219">
        <f t="shared" si="1056"/>
        <v>0</v>
      </c>
      <c r="BR116" s="220">
        <f t="shared" ref="BR116:BR122" si="1082">(BN115*pInt_LTFU_AIDS_LTFU_2004_2012)+(BR115*pAIDS_LTFU_2004_2012)</f>
        <v>0</v>
      </c>
      <c r="BS116" s="219">
        <f t="shared" ref="BS116:BS122" si="1083">(BM115*pInt_LTFU_AIDS_LTFU_2004_2012)+(BS115*pAIDS_LTFU_2004_2012)</f>
        <v>0</v>
      </c>
      <c r="BT116" s="219">
        <f t="shared" ref="BT116:BT122" si="1084">(BE115*pAIDS_ART1ear_AIDS_LTFU_2004_2012)+(BT115*pAIDS_LTFU_2004_2012)</f>
        <v>0</v>
      </c>
      <c r="BU116" s="219">
        <f t="shared" ref="BU116:BU122" si="1085">(BF115*pAIDS_ART1late_AIDS_LTFU_2004_2012)+(BU115*pAIDS_LTFU_2004_2012)</f>
        <v>0</v>
      </c>
      <c r="BV116" s="219">
        <f t="shared" ref="BV116:BV122" si="1086">(BO115*pInt_LTFU_AIDS_LTFU_2004_2012)+(BV115*pAIDS_LTFU_2004_2012)</f>
        <v>0</v>
      </c>
      <c r="BW116" s="219">
        <f t="shared" ref="BW116:BW122" si="1087">(BG115*pAIDS_ART2_AIDS_LTFU_2004_2012)+(BW115*pAIDS_LTFU_2004_2012)</f>
        <v>0</v>
      </c>
      <c r="BX116" s="220">
        <f t="shared" ref="BX116:BX122" si="1088">(BP115*pInt_LTFU_AIDS_LTFU_2004_2012)+(BX115*pAIDS_LTFU_2004_2012)</f>
        <v>0</v>
      </c>
      <c r="BY116" s="195"/>
      <c r="BZ116" s="192">
        <v>2</v>
      </c>
      <c r="CA116" s="66">
        <v>2006</v>
      </c>
      <c r="CB116" s="218">
        <f>pAsympt_NoCare_Asympt_Dead_2004_2006*AS115</f>
        <v>0</v>
      </c>
      <c r="CC116" s="218">
        <f t="shared" si="1057"/>
        <v>0</v>
      </c>
      <c r="CD116" s="73">
        <f t="shared" si="1058"/>
        <v>0</v>
      </c>
      <c r="CE116" s="73">
        <f>pInt_NoCare_Int_Dead_2004_2006*AW115</f>
        <v>0</v>
      </c>
      <c r="CF116" s="73">
        <f t="shared" si="1059"/>
        <v>0</v>
      </c>
      <c r="CG116" s="73">
        <f t="shared" si="1060"/>
        <v>0</v>
      </c>
      <c r="CH116" s="73">
        <f t="shared" si="1061"/>
        <v>0</v>
      </c>
      <c r="CI116" s="73">
        <f t="shared" si="1062"/>
        <v>0</v>
      </c>
      <c r="CJ116" s="73">
        <f t="shared" si="1063"/>
        <v>0</v>
      </c>
      <c r="CK116" s="73">
        <f t="shared" si="1064"/>
        <v>0</v>
      </c>
      <c r="CL116" s="73">
        <f t="shared" si="1065"/>
        <v>0</v>
      </c>
      <c r="CM116" s="73">
        <f t="shared" si="1066"/>
        <v>0</v>
      </c>
      <c r="CN116" s="73">
        <f t="shared" si="1067"/>
        <v>0</v>
      </c>
      <c r="CO116" s="73">
        <f t="shared" si="1068"/>
        <v>0</v>
      </c>
      <c r="CP116" s="73">
        <f t="shared" si="1069"/>
        <v>0</v>
      </c>
      <c r="CQ116" s="73">
        <f t="shared" si="1070"/>
        <v>0</v>
      </c>
      <c r="CR116" s="73">
        <f t="shared" si="1071"/>
        <v>0</v>
      </c>
      <c r="CS116" s="73">
        <f t="shared" si="1072"/>
        <v>0</v>
      </c>
      <c r="CT116" s="73">
        <f t="shared" si="1073"/>
        <v>0</v>
      </c>
      <c r="CU116" s="73">
        <f t="shared" si="1074"/>
        <v>0</v>
      </c>
      <c r="CV116" s="73">
        <f t="shared" si="1075"/>
        <v>0</v>
      </c>
      <c r="CW116" s="73">
        <f t="shared" si="1076"/>
        <v>0</v>
      </c>
      <c r="CX116" s="73">
        <f t="shared" si="1077"/>
        <v>0</v>
      </c>
      <c r="CY116" s="73">
        <f t="shared" si="1078"/>
        <v>0</v>
      </c>
      <c r="CZ116" s="190"/>
      <c r="DA116" s="66">
        <v>2006</v>
      </c>
      <c r="DB116" s="218">
        <f t="shared" si="1046"/>
        <v>0</v>
      </c>
      <c r="DC116" s="218">
        <f t="shared" si="1047"/>
        <v>0</v>
      </c>
      <c r="DD116" s="73">
        <f t="shared" si="1048"/>
        <v>0</v>
      </c>
      <c r="DE116" s="73">
        <f t="shared" si="1049"/>
        <v>0</v>
      </c>
      <c r="DF116" s="73">
        <f t="shared" si="1050"/>
        <v>0</v>
      </c>
      <c r="DG116" s="73">
        <f t="shared" si="1051"/>
        <v>0</v>
      </c>
      <c r="DH116" s="72" t="e">
        <f t="shared" si="1079"/>
        <v>#DIV/0!</v>
      </c>
      <c r="DI116" s="72" t="e">
        <f t="shared" si="1080"/>
        <v>#DIV/0!</v>
      </c>
      <c r="DJ116" s="73">
        <f>SUM(AV114:AV116,BB114:BB116,BI114:BI116)</f>
        <v>0</v>
      </c>
      <c r="DK116" s="73">
        <v>0</v>
      </c>
      <c r="DL116" s="190"/>
    </row>
    <row r="117" spans="1:120" x14ac:dyDescent="0.25">
      <c r="A117" s="190"/>
      <c r="B117" s="188">
        <v>2009</v>
      </c>
      <c r="C117" s="61" t="s">
        <v>317</v>
      </c>
      <c r="D117" s="169">
        <v>0</v>
      </c>
      <c r="E117" s="169">
        <v>0</v>
      </c>
      <c r="F117" s="169">
        <v>0</v>
      </c>
      <c r="G117" s="169">
        <v>0</v>
      </c>
      <c r="H117" s="169">
        <v>0</v>
      </c>
      <c r="I117" s="169">
        <v>0</v>
      </c>
      <c r="J117" s="169">
        <v>0</v>
      </c>
      <c r="K117" s="169">
        <v>0</v>
      </c>
      <c r="L117" s="169">
        <v>0</v>
      </c>
      <c r="M117" s="169">
        <v>0</v>
      </c>
      <c r="N117" s="169">
        <v>0</v>
      </c>
      <c r="O117" s="169">
        <v>0</v>
      </c>
      <c r="P117" s="169">
        <v>0</v>
      </c>
      <c r="Q117" s="169">
        <v>0</v>
      </c>
      <c r="R117" s="169">
        <v>0</v>
      </c>
      <c r="S117" s="169">
        <v>0</v>
      </c>
      <c r="T117" s="169">
        <v>0</v>
      </c>
      <c r="U117" s="61">
        <f t="shared" si="1052"/>
        <v>0</v>
      </c>
      <c r="V117" s="190"/>
      <c r="W117" s="66">
        <v>3</v>
      </c>
      <c r="X117" s="66">
        <v>2007</v>
      </c>
      <c r="Y117" s="69">
        <v>0</v>
      </c>
      <c r="Z117" s="69">
        <v>0</v>
      </c>
      <c r="AA117" s="69">
        <v>0</v>
      </c>
      <c r="AB117" s="69">
        <v>0</v>
      </c>
      <c r="AC117" s="69">
        <v>0</v>
      </c>
      <c r="AD117" s="69">
        <v>0</v>
      </c>
      <c r="AE117" s="69">
        <v>0</v>
      </c>
      <c r="AF117" s="69">
        <v>0</v>
      </c>
      <c r="AG117" s="69">
        <v>0</v>
      </c>
      <c r="AH117" s="69">
        <v>0</v>
      </c>
      <c r="AI117" s="69">
        <v>0</v>
      </c>
      <c r="AJ117" s="69">
        <v>0</v>
      </c>
      <c r="AK117" s="69">
        <v>0</v>
      </c>
      <c r="AL117" s="69">
        <v>0</v>
      </c>
      <c r="AM117" s="69">
        <v>0</v>
      </c>
      <c r="AN117" s="69">
        <v>0</v>
      </c>
      <c r="AO117" s="69">
        <v>0</v>
      </c>
      <c r="AP117" s="190"/>
      <c r="AQ117" s="66">
        <v>3</v>
      </c>
      <c r="AR117" s="66">
        <v>2007</v>
      </c>
      <c r="AS117" s="215">
        <f t="shared" si="1029"/>
        <v>0</v>
      </c>
      <c r="AT117" s="215">
        <f t="shared" si="1030"/>
        <v>0</v>
      </c>
      <c r="AU117" s="215">
        <f t="shared" si="1031"/>
        <v>0</v>
      </c>
      <c r="AV117" s="215">
        <f t="shared" si="1032"/>
        <v>0</v>
      </c>
      <c r="AW117" s="215">
        <f t="shared" si="1033"/>
        <v>0</v>
      </c>
      <c r="AX117" s="215">
        <f t="shared" si="1034"/>
        <v>0</v>
      </c>
      <c r="AY117" s="215">
        <f t="shared" si="1035"/>
        <v>0</v>
      </c>
      <c r="AZ117" s="215">
        <f t="shared" si="1036"/>
        <v>0</v>
      </c>
      <c r="BA117" s="215">
        <f t="shared" si="1037"/>
        <v>0</v>
      </c>
      <c r="BB117" s="215">
        <f t="shared" si="1038"/>
        <v>0</v>
      </c>
      <c r="BC117" s="215">
        <f t="shared" si="1039"/>
        <v>0</v>
      </c>
      <c r="BD117" s="215">
        <f t="shared" si="1040"/>
        <v>0</v>
      </c>
      <c r="BE117" s="215">
        <f t="shared" si="1041"/>
        <v>0</v>
      </c>
      <c r="BF117" s="215">
        <f t="shared" si="1042"/>
        <v>0</v>
      </c>
      <c r="BG117" s="215">
        <f t="shared" si="1043"/>
        <v>0</v>
      </c>
      <c r="BH117" s="215">
        <f t="shared" si="1044"/>
        <v>0</v>
      </c>
      <c r="BI117" s="215">
        <f t="shared" si="1045"/>
        <v>0</v>
      </c>
      <c r="BJ117" s="194"/>
      <c r="BK117" s="66">
        <v>3</v>
      </c>
      <c r="BL117" s="66">
        <v>2007</v>
      </c>
      <c r="BM117" s="215">
        <f t="shared" si="1053"/>
        <v>0</v>
      </c>
      <c r="BN117" s="219">
        <f t="shared" si="1054"/>
        <v>0</v>
      </c>
      <c r="BO117" s="219">
        <f t="shared" si="1055"/>
        <v>0</v>
      </c>
      <c r="BP117" s="219">
        <f t="shared" si="1081"/>
        <v>0</v>
      </c>
      <c r="BQ117" s="219">
        <f t="shared" si="1056"/>
        <v>0</v>
      </c>
      <c r="BR117" s="220">
        <f t="shared" si="1082"/>
        <v>0</v>
      </c>
      <c r="BS117" s="219">
        <f t="shared" si="1083"/>
        <v>0</v>
      </c>
      <c r="BT117" s="219">
        <f t="shared" si="1084"/>
        <v>0</v>
      </c>
      <c r="BU117" s="219">
        <f t="shared" si="1085"/>
        <v>0</v>
      </c>
      <c r="BV117" s="219">
        <f t="shared" si="1086"/>
        <v>0</v>
      </c>
      <c r="BW117" s="219">
        <f t="shared" si="1087"/>
        <v>0</v>
      </c>
      <c r="BX117" s="220">
        <f t="shared" si="1088"/>
        <v>0</v>
      </c>
      <c r="BY117" s="195"/>
      <c r="BZ117" s="192">
        <v>3</v>
      </c>
      <c r="CA117" s="66">
        <v>2007</v>
      </c>
      <c r="CB117" s="218">
        <f>pAsympt_NoCare_Asympt_Dead_2007_2009*AS116</f>
        <v>0</v>
      </c>
      <c r="CC117" s="218">
        <f t="shared" si="1057"/>
        <v>0</v>
      </c>
      <c r="CD117" s="73">
        <f t="shared" si="1058"/>
        <v>0</v>
      </c>
      <c r="CE117" s="73">
        <f>pInt_NoCare_Int_Dead_2007_2009*AW116</f>
        <v>0</v>
      </c>
      <c r="CF117" s="73">
        <f t="shared" si="1059"/>
        <v>0</v>
      </c>
      <c r="CG117" s="73">
        <f t="shared" si="1060"/>
        <v>0</v>
      </c>
      <c r="CH117" s="73">
        <f t="shared" si="1061"/>
        <v>0</v>
      </c>
      <c r="CI117" s="73">
        <f t="shared" si="1062"/>
        <v>0</v>
      </c>
      <c r="CJ117" s="73">
        <f t="shared" si="1063"/>
        <v>0</v>
      </c>
      <c r="CK117" s="73">
        <f t="shared" si="1064"/>
        <v>0</v>
      </c>
      <c r="CL117" s="73">
        <f t="shared" si="1065"/>
        <v>0</v>
      </c>
      <c r="CM117" s="73">
        <f>pAIDS_NoCare_AIDS_Dead_2007_2009*BC116</f>
        <v>0</v>
      </c>
      <c r="CN117" s="73">
        <f t="shared" si="1067"/>
        <v>0</v>
      </c>
      <c r="CO117" s="73">
        <f t="shared" si="1068"/>
        <v>0</v>
      </c>
      <c r="CP117" s="73">
        <f t="shared" si="1069"/>
        <v>0</v>
      </c>
      <c r="CQ117" s="73">
        <f t="shared" si="1070"/>
        <v>0</v>
      </c>
      <c r="CR117" s="73">
        <f t="shared" si="1071"/>
        <v>0</v>
      </c>
      <c r="CS117" s="73">
        <f t="shared" si="1072"/>
        <v>0</v>
      </c>
      <c r="CT117" s="73">
        <f t="shared" si="1073"/>
        <v>0</v>
      </c>
      <c r="CU117" s="73">
        <f t="shared" si="1074"/>
        <v>0</v>
      </c>
      <c r="CV117" s="73">
        <f t="shared" si="1075"/>
        <v>0</v>
      </c>
      <c r="CW117" s="73">
        <f t="shared" si="1076"/>
        <v>0</v>
      </c>
      <c r="CX117" s="73">
        <f t="shared" si="1077"/>
        <v>0</v>
      </c>
      <c r="CY117" s="73">
        <f t="shared" si="1078"/>
        <v>0</v>
      </c>
      <c r="CZ117" s="190"/>
      <c r="DA117" s="66">
        <v>2007</v>
      </c>
      <c r="DB117" s="218">
        <f t="shared" si="1046"/>
        <v>0</v>
      </c>
      <c r="DC117" s="218">
        <f t="shared" si="1047"/>
        <v>0</v>
      </c>
      <c r="DD117" s="73">
        <f t="shared" si="1048"/>
        <v>0</v>
      </c>
      <c r="DE117" s="73">
        <f t="shared" si="1049"/>
        <v>0</v>
      </c>
      <c r="DF117" s="73">
        <f t="shared" si="1050"/>
        <v>0</v>
      </c>
      <c r="DG117" s="73">
        <f t="shared" si="1051"/>
        <v>0</v>
      </c>
      <c r="DH117" s="72" t="e">
        <f t="shared" si="1079"/>
        <v>#DIV/0!</v>
      </c>
      <c r="DI117" s="72" t="e">
        <f t="shared" si="1080"/>
        <v>#DIV/0!</v>
      </c>
      <c r="DJ117" s="73">
        <f>SUM(AV114:AV117,BB114:BB117,BI114:BI117)</f>
        <v>0</v>
      </c>
      <c r="DK117" s="218">
        <v>0</v>
      </c>
      <c r="DL117" s="190"/>
    </row>
    <row r="118" spans="1:120" x14ac:dyDescent="0.25">
      <c r="A118" s="190"/>
      <c r="B118" s="188">
        <v>2009</v>
      </c>
      <c r="C118" s="61" t="s">
        <v>321</v>
      </c>
      <c r="D118" s="169">
        <v>0</v>
      </c>
      <c r="E118" s="169">
        <v>0</v>
      </c>
      <c r="F118" s="169">
        <v>0</v>
      </c>
      <c r="G118" s="169">
        <v>0</v>
      </c>
      <c r="H118" s="172">
        <f>pInt_NoCare_2007_2009</f>
        <v>0.47470496953425423</v>
      </c>
      <c r="I118" s="172">
        <f>pInt_NoCare_Int_InCare_2007_2009</f>
        <v>9.8703246552192314E-2</v>
      </c>
      <c r="J118" s="170">
        <f>pInt_NoCare_Int_ART1_2007_2009</f>
        <v>0</v>
      </c>
      <c r="K118" s="169">
        <v>0</v>
      </c>
      <c r="L118" s="169">
        <v>0</v>
      </c>
      <c r="M118" s="170">
        <f>pInt_NoCare_Int_Dead_2007_2009</f>
        <v>2.7888537361361161E-2</v>
      </c>
      <c r="N118" s="170">
        <f>pInt_NoCare_AIDS_NoCare_2007_2009</f>
        <v>0.3</v>
      </c>
      <c r="O118" s="172">
        <f>pInt_NoCare_AIDS_InCare_2007_2009</f>
        <v>9.8703246552192314E-2</v>
      </c>
      <c r="P118" s="171">
        <f>pInt_NoCare_AIDS_ART1ear_2007_2009</f>
        <v>0</v>
      </c>
      <c r="Q118" s="169">
        <v>0</v>
      </c>
      <c r="R118" s="169">
        <v>0</v>
      </c>
      <c r="S118" s="169">
        <v>0</v>
      </c>
      <c r="T118" s="169">
        <v>0</v>
      </c>
      <c r="U118" s="61">
        <f t="shared" si="1052"/>
        <v>1</v>
      </c>
      <c r="V118" s="190"/>
      <c r="W118" s="66">
        <v>4</v>
      </c>
      <c r="X118" s="66">
        <v>2008</v>
      </c>
      <c r="Y118" s="69">
        <v>0</v>
      </c>
      <c r="Z118" s="69">
        <v>0</v>
      </c>
      <c r="AA118" s="69">
        <v>0</v>
      </c>
      <c r="AB118" s="69">
        <v>0</v>
      </c>
      <c r="AC118" s="69">
        <v>0</v>
      </c>
      <c r="AD118" s="69">
        <v>0</v>
      </c>
      <c r="AE118" s="69">
        <v>0</v>
      </c>
      <c r="AF118" s="69">
        <v>0</v>
      </c>
      <c r="AG118" s="69">
        <v>0</v>
      </c>
      <c r="AH118" s="69">
        <v>0</v>
      </c>
      <c r="AI118" s="69">
        <v>0</v>
      </c>
      <c r="AJ118" s="69">
        <v>0</v>
      </c>
      <c r="AK118" s="69">
        <v>0</v>
      </c>
      <c r="AL118" s="69">
        <v>0</v>
      </c>
      <c r="AM118" s="69">
        <v>0</v>
      </c>
      <c r="AN118" s="69">
        <v>0</v>
      </c>
      <c r="AO118" s="69">
        <v>0</v>
      </c>
      <c r="AP118" s="190"/>
      <c r="AQ118" s="66">
        <v>4</v>
      </c>
      <c r="AR118" s="66">
        <v>2008</v>
      </c>
      <c r="AS118" s="215">
        <f t="shared" si="1029"/>
        <v>0</v>
      </c>
      <c r="AT118" s="215">
        <f t="shared" si="1030"/>
        <v>0</v>
      </c>
      <c r="AU118" s="215">
        <f t="shared" si="1031"/>
        <v>0</v>
      </c>
      <c r="AV118" s="215">
        <f t="shared" si="1032"/>
        <v>0</v>
      </c>
      <c r="AW118" s="215">
        <f t="shared" si="1033"/>
        <v>0</v>
      </c>
      <c r="AX118" s="215">
        <f t="shared" si="1034"/>
        <v>0</v>
      </c>
      <c r="AY118" s="215">
        <f t="shared" si="1035"/>
        <v>0</v>
      </c>
      <c r="AZ118" s="215">
        <f t="shared" si="1036"/>
        <v>0</v>
      </c>
      <c r="BA118" s="215">
        <f t="shared" si="1037"/>
        <v>0</v>
      </c>
      <c r="BB118" s="215">
        <f t="shared" si="1038"/>
        <v>0</v>
      </c>
      <c r="BC118" s="215">
        <f t="shared" si="1039"/>
        <v>0</v>
      </c>
      <c r="BD118" s="215">
        <f t="shared" si="1040"/>
        <v>0</v>
      </c>
      <c r="BE118" s="215">
        <f t="shared" si="1041"/>
        <v>0</v>
      </c>
      <c r="BF118" s="215">
        <f t="shared" si="1042"/>
        <v>0</v>
      </c>
      <c r="BG118" s="215">
        <f t="shared" si="1043"/>
        <v>0</v>
      </c>
      <c r="BH118" s="215">
        <f t="shared" si="1044"/>
        <v>0</v>
      </c>
      <c r="BI118" s="215">
        <f t="shared" si="1045"/>
        <v>0</v>
      </c>
      <c r="BJ118" s="194"/>
      <c r="BK118" s="66">
        <v>4</v>
      </c>
      <c r="BL118" s="66">
        <v>2008</v>
      </c>
      <c r="BM118" s="215">
        <f t="shared" si="1053"/>
        <v>0</v>
      </c>
      <c r="BN118" s="219">
        <f t="shared" si="1054"/>
        <v>0</v>
      </c>
      <c r="BO118" s="219">
        <f t="shared" si="1055"/>
        <v>0</v>
      </c>
      <c r="BP118" s="219">
        <f t="shared" si="1081"/>
        <v>0</v>
      </c>
      <c r="BQ118" s="219">
        <f t="shared" si="1056"/>
        <v>0</v>
      </c>
      <c r="BR118" s="220">
        <f t="shared" si="1082"/>
        <v>0</v>
      </c>
      <c r="BS118" s="219">
        <f t="shared" si="1083"/>
        <v>0</v>
      </c>
      <c r="BT118" s="219">
        <f t="shared" si="1084"/>
        <v>0</v>
      </c>
      <c r="BU118" s="219">
        <f t="shared" si="1085"/>
        <v>0</v>
      </c>
      <c r="BV118" s="219">
        <f t="shared" si="1086"/>
        <v>0</v>
      </c>
      <c r="BW118" s="219">
        <f t="shared" si="1087"/>
        <v>0</v>
      </c>
      <c r="BX118" s="220">
        <f t="shared" si="1088"/>
        <v>0</v>
      </c>
      <c r="BY118" s="195"/>
      <c r="BZ118" s="192">
        <v>4</v>
      </c>
      <c r="CA118" s="66">
        <v>2008</v>
      </c>
      <c r="CB118" s="218">
        <f>pAsympt_NoCare_Asympt_Dead_2007_2009*AS117</f>
        <v>0</v>
      </c>
      <c r="CC118" s="218">
        <f t="shared" si="1057"/>
        <v>0</v>
      </c>
      <c r="CD118" s="73">
        <f t="shared" si="1058"/>
        <v>0</v>
      </c>
      <c r="CE118" s="73">
        <f>pInt_NoCare_Int_Dead_2007_2009*AW117</f>
        <v>0</v>
      </c>
      <c r="CF118" s="73">
        <f t="shared" si="1059"/>
        <v>0</v>
      </c>
      <c r="CG118" s="73">
        <f t="shared" si="1060"/>
        <v>0</v>
      </c>
      <c r="CH118" s="73">
        <f t="shared" si="1061"/>
        <v>0</v>
      </c>
      <c r="CI118" s="73">
        <f t="shared" si="1062"/>
        <v>0</v>
      </c>
      <c r="CJ118" s="73">
        <f t="shared" si="1063"/>
        <v>0</v>
      </c>
      <c r="CK118" s="73">
        <f t="shared" si="1064"/>
        <v>0</v>
      </c>
      <c r="CL118" s="73">
        <f t="shared" si="1065"/>
        <v>0</v>
      </c>
      <c r="CM118" s="73">
        <f>pAIDS_NoCare_AIDS_Dead_2007_2009*BC117</f>
        <v>0</v>
      </c>
      <c r="CN118" s="73">
        <f t="shared" si="1067"/>
        <v>0</v>
      </c>
      <c r="CO118" s="73">
        <f t="shared" si="1068"/>
        <v>0</v>
      </c>
      <c r="CP118" s="73">
        <f t="shared" si="1069"/>
        <v>0</v>
      </c>
      <c r="CQ118" s="73">
        <f t="shared" si="1070"/>
        <v>0</v>
      </c>
      <c r="CR118" s="73">
        <f t="shared" si="1071"/>
        <v>0</v>
      </c>
      <c r="CS118" s="73">
        <f t="shared" si="1072"/>
        <v>0</v>
      </c>
      <c r="CT118" s="73">
        <f t="shared" si="1073"/>
        <v>0</v>
      </c>
      <c r="CU118" s="73">
        <f t="shared" si="1074"/>
        <v>0</v>
      </c>
      <c r="CV118" s="73">
        <f t="shared" si="1075"/>
        <v>0</v>
      </c>
      <c r="CW118" s="73">
        <f t="shared" si="1076"/>
        <v>0</v>
      </c>
      <c r="CX118" s="73">
        <f t="shared" si="1077"/>
        <v>0</v>
      </c>
      <c r="CY118" s="73">
        <f t="shared" si="1078"/>
        <v>0</v>
      </c>
      <c r="CZ118" s="190"/>
      <c r="DA118" s="66">
        <v>2008</v>
      </c>
      <c r="DB118" s="218">
        <f t="shared" si="1046"/>
        <v>0</v>
      </c>
      <c r="DC118" s="218">
        <f t="shared" si="1047"/>
        <v>0</v>
      </c>
      <c r="DD118" s="73">
        <f t="shared" si="1048"/>
        <v>0</v>
      </c>
      <c r="DE118" s="73">
        <f t="shared" si="1049"/>
        <v>0</v>
      </c>
      <c r="DF118" s="73">
        <f t="shared" si="1050"/>
        <v>0</v>
      </c>
      <c r="DG118" s="73">
        <f t="shared" si="1051"/>
        <v>0</v>
      </c>
      <c r="DH118" s="72" t="e">
        <f t="shared" si="1079"/>
        <v>#DIV/0!</v>
      </c>
      <c r="DI118" s="72" t="e">
        <f t="shared" si="1080"/>
        <v>#DIV/0!</v>
      </c>
      <c r="DJ118" s="73">
        <f>SUM(AV114:AV118,BB114:BB118,BI114:BI118)</f>
        <v>0</v>
      </c>
      <c r="DK118" s="218">
        <v>0</v>
      </c>
      <c r="DL118" s="190"/>
    </row>
    <row r="119" spans="1:120" x14ac:dyDescent="0.25">
      <c r="A119" s="190"/>
      <c r="B119" s="188">
        <v>2009</v>
      </c>
      <c r="C119" s="61" t="s">
        <v>322</v>
      </c>
      <c r="D119" s="169">
        <v>0</v>
      </c>
      <c r="E119" s="169">
        <v>0</v>
      </c>
      <c r="F119" s="169">
        <v>0</v>
      </c>
      <c r="G119" s="169">
        <v>0</v>
      </c>
      <c r="H119" s="169">
        <v>0</v>
      </c>
      <c r="I119" s="172">
        <f>pInt_InCare_2004_2012</f>
        <v>0.27388069643828394</v>
      </c>
      <c r="J119" s="172">
        <f>pInt_InCare_Int_ART1_2004_2012</f>
        <v>0.12845640705966965</v>
      </c>
      <c r="K119" s="169">
        <v>0</v>
      </c>
      <c r="L119" s="170">
        <f>pInt_InCare_Int_LTFU_2004_2012</f>
        <v>0.18249498008072801</v>
      </c>
      <c r="M119" s="170">
        <f>pInt_InCare_Int_Dead_2004_2012</f>
        <v>2.6167916421318438E-2</v>
      </c>
      <c r="N119" s="169">
        <v>0</v>
      </c>
      <c r="O119" s="170">
        <f>pInt_InCare_AIDS_InCare_2004_2012</f>
        <v>0.3</v>
      </c>
      <c r="P119" s="170">
        <f>pInt_InCare_AIDS_ART1ear_2004_2012</f>
        <v>8.8999999999999996E-2</v>
      </c>
      <c r="Q119" s="169">
        <v>0</v>
      </c>
      <c r="R119" s="169">
        <v>0</v>
      </c>
      <c r="S119" s="169">
        <v>0</v>
      </c>
      <c r="T119" s="169">
        <v>0</v>
      </c>
      <c r="U119" s="61">
        <f t="shared" si="1052"/>
        <v>1</v>
      </c>
      <c r="V119" s="190"/>
      <c r="W119" s="66">
        <v>5</v>
      </c>
      <c r="X119" s="66">
        <v>2009</v>
      </c>
      <c r="Y119" s="69">
        <v>1</v>
      </c>
      <c r="Z119" s="69">
        <v>0</v>
      </c>
      <c r="AA119" s="69">
        <v>0</v>
      </c>
      <c r="AB119" s="69">
        <v>0</v>
      </c>
      <c r="AC119" s="69">
        <v>0</v>
      </c>
      <c r="AD119" s="69">
        <v>0</v>
      </c>
      <c r="AE119" s="69">
        <v>0</v>
      </c>
      <c r="AF119" s="69">
        <v>0</v>
      </c>
      <c r="AG119" s="69">
        <v>0</v>
      </c>
      <c r="AH119" s="69">
        <v>0</v>
      </c>
      <c r="AI119" s="69">
        <v>0</v>
      </c>
      <c r="AJ119" s="69">
        <v>0</v>
      </c>
      <c r="AK119" s="69">
        <v>0</v>
      </c>
      <c r="AL119" s="69">
        <v>0</v>
      </c>
      <c r="AM119" s="69">
        <v>0</v>
      </c>
      <c r="AN119" s="69">
        <v>0</v>
      </c>
      <c r="AO119" s="69">
        <v>0</v>
      </c>
      <c r="AP119" s="190"/>
      <c r="AQ119" s="66">
        <v>5</v>
      </c>
      <c r="AR119" s="66">
        <v>2009</v>
      </c>
      <c r="AS119" s="215">
        <f t="shared" si="1029"/>
        <v>8588.0400000000009</v>
      </c>
      <c r="AT119" s="215">
        <f t="shared" si="1030"/>
        <v>0</v>
      </c>
      <c r="AU119" s="215">
        <f t="shared" si="1031"/>
        <v>0</v>
      </c>
      <c r="AV119" s="215">
        <f t="shared" si="1032"/>
        <v>0</v>
      </c>
      <c r="AW119" s="215">
        <f t="shared" si="1033"/>
        <v>0</v>
      </c>
      <c r="AX119" s="215">
        <f t="shared" si="1034"/>
        <v>0</v>
      </c>
      <c r="AY119" s="215">
        <f t="shared" si="1035"/>
        <v>0</v>
      </c>
      <c r="AZ119" s="215">
        <f t="shared" si="1036"/>
        <v>0</v>
      </c>
      <c r="BA119" s="215">
        <f t="shared" si="1037"/>
        <v>0</v>
      </c>
      <c r="BB119" s="215">
        <f t="shared" si="1038"/>
        <v>0</v>
      </c>
      <c r="BC119" s="215">
        <f t="shared" si="1039"/>
        <v>0</v>
      </c>
      <c r="BD119" s="215">
        <f t="shared" si="1040"/>
        <v>0</v>
      </c>
      <c r="BE119" s="215">
        <f t="shared" si="1041"/>
        <v>0</v>
      </c>
      <c r="BF119" s="215">
        <f t="shared" si="1042"/>
        <v>0</v>
      </c>
      <c r="BG119" s="215">
        <f t="shared" si="1043"/>
        <v>0</v>
      </c>
      <c r="BH119" s="215">
        <f t="shared" si="1044"/>
        <v>0</v>
      </c>
      <c r="BI119" s="215">
        <f t="shared" si="1045"/>
        <v>0</v>
      </c>
      <c r="BJ119" s="194"/>
      <c r="BK119" s="66">
        <v>5</v>
      </c>
      <c r="BL119" s="66">
        <v>2009</v>
      </c>
      <c r="BM119" s="215">
        <f t="shared" si="1053"/>
        <v>0</v>
      </c>
      <c r="BN119" s="219">
        <f t="shared" si="1054"/>
        <v>0</v>
      </c>
      <c r="BO119" s="219">
        <f t="shared" si="1055"/>
        <v>0</v>
      </c>
      <c r="BP119" s="219">
        <f t="shared" si="1081"/>
        <v>0</v>
      </c>
      <c r="BQ119" s="219">
        <f t="shared" si="1056"/>
        <v>0</v>
      </c>
      <c r="BR119" s="220">
        <f t="shared" si="1082"/>
        <v>0</v>
      </c>
      <c r="BS119" s="219">
        <f t="shared" si="1083"/>
        <v>0</v>
      </c>
      <c r="BT119" s="219">
        <f t="shared" si="1084"/>
        <v>0</v>
      </c>
      <c r="BU119" s="219">
        <f t="shared" si="1085"/>
        <v>0</v>
      </c>
      <c r="BV119" s="219">
        <f t="shared" si="1086"/>
        <v>0</v>
      </c>
      <c r="BW119" s="219">
        <f t="shared" si="1087"/>
        <v>0</v>
      </c>
      <c r="BX119" s="220">
        <f t="shared" si="1088"/>
        <v>0</v>
      </c>
      <c r="BY119" s="195"/>
      <c r="BZ119" s="192">
        <v>5</v>
      </c>
      <c r="CA119" s="66">
        <v>2009</v>
      </c>
      <c r="CB119" s="218">
        <f>pAsympt_NoCare_Asympt_Dead_2007_2009*AS118</f>
        <v>0</v>
      </c>
      <c r="CC119" s="218">
        <f t="shared" si="1057"/>
        <v>0</v>
      </c>
      <c r="CD119" s="73">
        <f t="shared" si="1058"/>
        <v>0</v>
      </c>
      <c r="CE119" s="73">
        <f>pInt_NoCare_Int_Dead_2007_2009*AW118</f>
        <v>0</v>
      </c>
      <c r="CF119" s="73">
        <f t="shared" si="1059"/>
        <v>0</v>
      </c>
      <c r="CG119" s="73">
        <f t="shared" si="1060"/>
        <v>0</v>
      </c>
      <c r="CH119" s="73">
        <f t="shared" si="1061"/>
        <v>0</v>
      </c>
      <c r="CI119" s="73">
        <f t="shared" si="1062"/>
        <v>0</v>
      </c>
      <c r="CJ119" s="73">
        <f t="shared" si="1063"/>
        <v>0</v>
      </c>
      <c r="CK119" s="73">
        <f t="shared" si="1064"/>
        <v>0</v>
      </c>
      <c r="CL119" s="73">
        <f t="shared" si="1065"/>
        <v>0</v>
      </c>
      <c r="CM119" s="73">
        <f>pAIDS_NoCare_AIDS_Dead_2007_2009*BC118</f>
        <v>0</v>
      </c>
      <c r="CN119" s="73">
        <f t="shared" si="1067"/>
        <v>0</v>
      </c>
      <c r="CO119" s="73">
        <f t="shared" si="1068"/>
        <v>0</v>
      </c>
      <c r="CP119" s="73">
        <f t="shared" si="1069"/>
        <v>0</v>
      </c>
      <c r="CQ119" s="73">
        <f t="shared" si="1070"/>
        <v>0</v>
      </c>
      <c r="CR119" s="73">
        <f t="shared" si="1071"/>
        <v>0</v>
      </c>
      <c r="CS119" s="73">
        <f t="shared" si="1072"/>
        <v>0</v>
      </c>
      <c r="CT119" s="73">
        <f t="shared" si="1073"/>
        <v>0</v>
      </c>
      <c r="CU119" s="73">
        <f t="shared" si="1074"/>
        <v>0</v>
      </c>
      <c r="CV119" s="73">
        <f t="shared" si="1075"/>
        <v>0</v>
      </c>
      <c r="CW119" s="73">
        <f t="shared" si="1076"/>
        <v>0</v>
      </c>
      <c r="CX119" s="73">
        <f t="shared" si="1077"/>
        <v>0</v>
      </c>
      <c r="CY119" s="73">
        <f t="shared" si="1078"/>
        <v>0</v>
      </c>
      <c r="CZ119" s="190"/>
      <c r="DA119" s="66">
        <v>2009</v>
      </c>
      <c r="DB119" s="218">
        <f t="shared" si="1046"/>
        <v>0</v>
      </c>
      <c r="DC119" s="218">
        <f t="shared" si="1047"/>
        <v>8588.0400000000009</v>
      </c>
      <c r="DD119" s="73">
        <f t="shared" si="1048"/>
        <v>0</v>
      </c>
      <c r="DE119" s="73">
        <f t="shared" si="1049"/>
        <v>0</v>
      </c>
      <c r="DF119" s="73">
        <f t="shared" si="1050"/>
        <v>0</v>
      </c>
      <c r="DG119" s="73">
        <f t="shared" si="1051"/>
        <v>0</v>
      </c>
      <c r="DH119" s="72" t="e">
        <f t="shared" si="1079"/>
        <v>#DIV/0!</v>
      </c>
      <c r="DI119" s="72" t="e">
        <f t="shared" si="1080"/>
        <v>#DIV/0!</v>
      </c>
      <c r="DJ119" s="73">
        <f>SUM(AV114:AV119,BB114:BB119,BI114:BI119)</f>
        <v>0</v>
      </c>
      <c r="DK119" s="218">
        <v>0</v>
      </c>
      <c r="DL119" s="190"/>
    </row>
    <row r="120" spans="1:120" x14ac:dyDescent="0.25">
      <c r="A120" s="190"/>
      <c r="B120" s="188">
        <v>2009</v>
      </c>
      <c r="C120" s="61" t="s">
        <v>323</v>
      </c>
      <c r="D120" s="169">
        <v>0</v>
      </c>
      <c r="E120" s="169">
        <v>0</v>
      </c>
      <c r="F120" s="169">
        <v>0</v>
      </c>
      <c r="G120" s="169">
        <v>0</v>
      </c>
      <c r="H120" s="169">
        <v>0</v>
      </c>
      <c r="I120" s="169">
        <v>0</v>
      </c>
      <c r="J120" s="172">
        <f>pInt_ART1_2004_2012</f>
        <v>0.97189504107250524</v>
      </c>
      <c r="K120" s="170">
        <f>pInt_ART1_Int_ART2_2004_2012</f>
        <v>8.6622645122074182E-3</v>
      </c>
      <c r="L120" s="170">
        <f>pInt_ART1_Int_LTFU_2004_2012</f>
        <v>1.438552517214986E-2</v>
      </c>
      <c r="M120" s="170">
        <f>pInt_ART1_Int_Dead_2004_2012</f>
        <v>5.0571692431374826E-3</v>
      </c>
      <c r="N120" s="169">
        <v>0</v>
      </c>
      <c r="O120" s="169">
        <v>0</v>
      </c>
      <c r="P120" s="169">
        <v>0</v>
      </c>
      <c r="Q120" s="169">
        <v>0</v>
      </c>
      <c r="R120" s="169">
        <v>0</v>
      </c>
      <c r="S120" s="169">
        <v>0</v>
      </c>
      <c r="T120" s="169">
        <v>0</v>
      </c>
      <c r="U120" s="61">
        <f t="shared" si="1052"/>
        <v>1</v>
      </c>
      <c r="V120" s="190"/>
      <c r="W120" s="66">
        <v>6</v>
      </c>
      <c r="X120" s="66">
        <v>2010</v>
      </c>
      <c r="Y120" s="70">
        <f>MMULT($Y119:$AO119,D$136:D$152)</f>
        <v>0.63376008575865694</v>
      </c>
      <c r="Z120" s="70">
        <f t="shared" ref="Z120" si="1089">MMULT($Y119:$AO119,E$136:E$152)</f>
        <v>7.4027434914144222E-2</v>
      </c>
      <c r="AA120" s="70">
        <f t="shared" ref="AA120" si="1090">MMULT($Y119:$AO119,F$136:F$152)</f>
        <v>0</v>
      </c>
      <c r="AB120" s="70">
        <f t="shared" ref="AB120" si="1091">MMULT($Y119:$AO119,G$136:G$152)</f>
        <v>1.818504441305463E-2</v>
      </c>
      <c r="AC120" s="70">
        <f t="shared" ref="AC120" si="1092">MMULT($Y119:$AO119,H$136:H$152)</f>
        <v>0.2</v>
      </c>
      <c r="AD120" s="70">
        <f t="shared" ref="AD120" si="1093">MMULT($Y119:$AO119,I$136:I$152)</f>
        <v>7.4027434914144222E-2</v>
      </c>
      <c r="AE120" s="70">
        <f t="shared" ref="AE120" si="1094">MMULT($Y119:$AO119,J$136:J$152)</f>
        <v>0</v>
      </c>
      <c r="AF120" s="70">
        <f t="shared" ref="AF120" si="1095">MMULT($Y119:$AO119,K$136:K$152)</f>
        <v>0</v>
      </c>
      <c r="AG120" s="70">
        <f t="shared" ref="AG120" si="1096">MMULT($Y119:$AO119,L$136:L$152)</f>
        <v>0</v>
      </c>
      <c r="AH120" s="70">
        <f t="shared" ref="AH120" si="1097">MMULT($Y119:$AO119,M$136:M$152)</f>
        <v>0</v>
      </c>
      <c r="AI120" s="70">
        <f t="shared" ref="AI120" si="1098">MMULT($Y119:$AO119,N$136:N$152)</f>
        <v>0</v>
      </c>
      <c r="AJ120" s="70">
        <f t="shared" ref="AJ120" si="1099">MMULT($Y119:$AO119,O$136:O$152)</f>
        <v>0</v>
      </c>
      <c r="AK120" s="70">
        <f t="shared" ref="AK120" si="1100">MMULT($Y119:$AO119,P$136:P$152)</f>
        <v>0</v>
      </c>
      <c r="AL120" s="70">
        <f t="shared" ref="AL120" si="1101">MMULT($Y119:$AO119,Q$136:Q$152)</f>
        <v>0</v>
      </c>
      <c r="AM120" s="70">
        <f t="shared" ref="AM120" si="1102">MMULT($Y119:$AO119,R$136:R$152)</f>
        <v>0</v>
      </c>
      <c r="AN120" s="70">
        <f t="shared" ref="AN120" si="1103">MMULT($Y119:$AO119,S$136:S$152)</f>
        <v>0</v>
      </c>
      <c r="AO120" s="70">
        <f t="shared" ref="AO120" si="1104">MMULT($Y119:$AO119,T$136:T$152)</f>
        <v>0</v>
      </c>
      <c r="AP120" s="190"/>
      <c r="AQ120" s="66">
        <v>6</v>
      </c>
      <c r="AR120" s="66">
        <v>2010</v>
      </c>
      <c r="AS120" s="215">
        <f t="shared" si="1029"/>
        <v>5442.7569668987771</v>
      </c>
      <c r="AT120" s="215">
        <f t="shared" si="1030"/>
        <v>635.75057214006722</v>
      </c>
      <c r="AU120" s="215">
        <f t="shared" si="1031"/>
        <v>0</v>
      </c>
      <c r="AV120" s="215">
        <f t="shared" si="1032"/>
        <v>156.17388882108969</v>
      </c>
      <c r="AW120" s="215">
        <f t="shared" si="1033"/>
        <v>1717.6080000000002</v>
      </c>
      <c r="AX120" s="215">
        <f t="shared" si="1034"/>
        <v>635.75057214006722</v>
      </c>
      <c r="AY120" s="215">
        <f t="shared" si="1035"/>
        <v>0</v>
      </c>
      <c r="AZ120" s="215">
        <f t="shared" si="1036"/>
        <v>0</v>
      </c>
      <c r="BA120" s="215">
        <f t="shared" si="1037"/>
        <v>0</v>
      </c>
      <c r="BB120" s="215">
        <f t="shared" si="1038"/>
        <v>0</v>
      </c>
      <c r="BC120" s="215">
        <f t="shared" si="1039"/>
        <v>0</v>
      </c>
      <c r="BD120" s="215">
        <f t="shared" si="1040"/>
        <v>0</v>
      </c>
      <c r="BE120" s="215">
        <f t="shared" si="1041"/>
        <v>0</v>
      </c>
      <c r="BF120" s="215">
        <f t="shared" si="1042"/>
        <v>0</v>
      </c>
      <c r="BG120" s="215">
        <f t="shared" si="1043"/>
        <v>0</v>
      </c>
      <c r="BH120" s="215">
        <f t="shared" si="1044"/>
        <v>0</v>
      </c>
      <c r="BI120" s="215">
        <f t="shared" si="1045"/>
        <v>0</v>
      </c>
      <c r="BJ120" s="194"/>
      <c r="BK120" s="66">
        <v>6</v>
      </c>
      <c r="BL120" s="66">
        <v>2010</v>
      </c>
      <c r="BM120" s="215">
        <f t="shared" si="1053"/>
        <v>0</v>
      </c>
      <c r="BN120" s="219">
        <f t="shared" si="1054"/>
        <v>0</v>
      </c>
      <c r="BO120" s="219">
        <f t="shared" si="1055"/>
        <v>0</v>
      </c>
      <c r="BP120" s="219">
        <f t="shared" si="1081"/>
        <v>0</v>
      </c>
      <c r="BQ120" s="219">
        <f t="shared" si="1056"/>
        <v>0</v>
      </c>
      <c r="BR120" s="220">
        <f t="shared" si="1082"/>
        <v>0</v>
      </c>
      <c r="BS120" s="219">
        <f t="shared" si="1083"/>
        <v>0</v>
      </c>
      <c r="BT120" s="219">
        <f t="shared" si="1084"/>
        <v>0</v>
      </c>
      <c r="BU120" s="219">
        <f t="shared" si="1085"/>
        <v>0</v>
      </c>
      <c r="BV120" s="219">
        <f t="shared" si="1086"/>
        <v>0</v>
      </c>
      <c r="BW120" s="219">
        <f t="shared" si="1087"/>
        <v>0</v>
      </c>
      <c r="BX120" s="220">
        <f t="shared" si="1088"/>
        <v>0</v>
      </c>
      <c r="BY120" s="195"/>
      <c r="BZ120" s="192">
        <v>6</v>
      </c>
      <c r="CA120" s="66">
        <v>2010</v>
      </c>
      <c r="CB120" s="218">
        <f>pAsympt_NoCare_Asympt_Dead_2010_2012*AS119</f>
        <v>156.17388882108969</v>
      </c>
      <c r="CC120" s="218">
        <f t="shared" si="1057"/>
        <v>0</v>
      </c>
      <c r="CD120" s="73">
        <f t="shared" si="1058"/>
        <v>0</v>
      </c>
      <c r="CE120" s="73">
        <f>pInt_NoCare_Int_Dead_2010_2012*AW119</f>
        <v>0</v>
      </c>
      <c r="CF120" s="73">
        <f t="shared" si="1059"/>
        <v>0</v>
      </c>
      <c r="CG120" s="73">
        <f t="shared" si="1060"/>
        <v>0</v>
      </c>
      <c r="CH120" s="73">
        <f t="shared" si="1061"/>
        <v>0</v>
      </c>
      <c r="CI120" s="73">
        <f t="shared" si="1062"/>
        <v>0</v>
      </c>
      <c r="CJ120" s="73">
        <f t="shared" si="1063"/>
        <v>0</v>
      </c>
      <c r="CK120" s="73">
        <f t="shared" si="1064"/>
        <v>0</v>
      </c>
      <c r="CL120" s="73">
        <f t="shared" si="1065"/>
        <v>0</v>
      </c>
      <c r="CM120" s="73">
        <f>pAIDS_NoCare_AIDS_Dead_2010_2012*BC119</f>
        <v>0</v>
      </c>
      <c r="CN120" s="73">
        <f t="shared" si="1067"/>
        <v>0</v>
      </c>
      <c r="CO120" s="73">
        <f t="shared" si="1068"/>
        <v>0</v>
      </c>
      <c r="CP120" s="73">
        <f t="shared" si="1069"/>
        <v>0</v>
      </c>
      <c r="CQ120" s="73">
        <f t="shared" si="1070"/>
        <v>0</v>
      </c>
      <c r="CR120" s="73">
        <f t="shared" si="1071"/>
        <v>0</v>
      </c>
      <c r="CS120" s="73">
        <f t="shared" si="1072"/>
        <v>0</v>
      </c>
      <c r="CT120" s="73">
        <f t="shared" si="1073"/>
        <v>0</v>
      </c>
      <c r="CU120" s="73">
        <f t="shared" si="1074"/>
        <v>0</v>
      </c>
      <c r="CV120" s="73">
        <f t="shared" si="1075"/>
        <v>0</v>
      </c>
      <c r="CW120" s="73">
        <f t="shared" si="1076"/>
        <v>0</v>
      </c>
      <c r="CX120" s="73">
        <f t="shared" si="1077"/>
        <v>0</v>
      </c>
      <c r="CY120" s="73">
        <f t="shared" si="1078"/>
        <v>0</v>
      </c>
      <c r="CZ120" s="190"/>
      <c r="DA120" s="66">
        <v>2010</v>
      </c>
      <c r="DB120" s="218">
        <f t="shared" si="1046"/>
        <v>1271.5011442801344</v>
      </c>
      <c r="DC120" s="218">
        <f t="shared" si="1047"/>
        <v>8431.8661111789115</v>
      </c>
      <c r="DD120" s="73">
        <f t="shared" si="1048"/>
        <v>0</v>
      </c>
      <c r="DE120" s="73">
        <f t="shared" si="1049"/>
        <v>0</v>
      </c>
      <c r="DF120" s="73">
        <f t="shared" si="1050"/>
        <v>0</v>
      </c>
      <c r="DG120" s="73">
        <f t="shared" si="1051"/>
        <v>2353.3585721400673</v>
      </c>
      <c r="DH120" s="72">
        <f t="shared" si="1079"/>
        <v>0</v>
      </c>
      <c r="DI120" s="72" t="e">
        <f t="shared" si="1080"/>
        <v>#DIV/0!</v>
      </c>
      <c r="DJ120" s="73">
        <f>SUM(AV114:AV120,BB114:BB120,BI114:BI120)</f>
        <v>156.17388882108969</v>
      </c>
      <c r="DK120" s="218">
        <f>SUM(AV120,BB120,BI120)</f>
        <v>156.17388882108969</v>
      </c>
      <c r="DL120" s="190"/>
    </row>
    <row r="121" spans="1:120" x14ac:dyDescent="0.25">
      <c r="A121" s="190"/>
      <c r="B121" s="188">
        <v>2009</v>
      </c>
      <c r="C121" s="61" t="s">
        <v>324</v>
      </c>
      <c r="D121" s="169">
        <v>0</v>
      </c>
      <c r="E121" s="169">
        <v>0</v>
      </c>
      <c r="F121" s="169">
        <v>0</v>
      </c>
      <c r="G121" s="169">
        <v>0</v>
      </c>
      <c r="H121" s="169">
        <v>0</v>
      </c>
      <c r="I121" s="169">
        <v>0</v>
      </c>
      <c r="J121" s="169">
        <v>0</v>
      </c>
      <c r="K121" s="172">
        <f>pInt_ART2_2004_2012</f>
        <v>0.98055730558471266</v>
      </c>
      <c r="L121" s="170">
        <f>pInt_ART2_Int_LTFU_2004_2012</f>
        <v>1.438552517214986E-2</v>
      </c>
      <c r="M121" s="170">
        <f>pInt_ART2_Int_Dead_2004_2012</f>
        <v>5.0571692431374826E-3</v>
      </c>
      <c r="N121" s="169">
        <v>0</v>
      </c>
      <c r="O121" s="169">
        <v>0</v>
      </c>
      <c r="P121" s="169">
        <v>0</v>
      </c>
      <c r="Q121" s="169">
        <v>0</v>
      </c>
      <c r="R121" s="169">
        <v>0</v>
      </c>
      <c r="S121" s="169">
        <v>0</v>
      </c>
      <c r="T121" s="169">
        <v>0</v>
      </c>
      <c r="U121" s="61">
        <f t="shared" si="1052"/>
        <v>1</v>
      </c>
      <c r="V121" s="190"/>
      <c r="W121" s="66">
        <v>7</v>
      </c>
      <c r="X121" s="66">
        <v>2011</v>
      </c>
      <c r="Y121" s="70">
        <f>MMULT($Y120:$AO120,D$158:D$174)</f>
        <v>0.40165184630082018</v>
      </c>
      <c r="Z121" s="70">
        <f t="shared" ref="Z121" si="1105">MMULT($Y120:$AO120,E$158:E$174)</f>
        <v>7.9350132444030066E-2</v>
      </c>
      <c r="AA121" s="70">
        <f t="shared" ref="AA121" si="1106">MMULT($Y120:$AO120,F$158:F$174)</f>
        <v>2.2711269412095766E-2</v>
      </c>
      <c r="AB121" s="70">
        <f t="shared" ref="AB121" si="1107">MMULT($Y120:$AO120,G$158:G$174)</f>
        <v>1.2788092354875989E-2</v>
      </c>
      <c r="AC121" s="70">
        <f t="shared" ref="AC121" si="1108">MMULT($Y120:$AO120,H$158:H$174)</f>
        <v>0.22169301105858225</v>
      </c>
      <c r="AD121" s="70">
        <f t="shared" ref="AD121" si="1109">MMULT($Y120:$AO120,I$158:I$174)</f>
        <v>0.1017364552227743</v>
      </c>
      <c r="AE121" s="70">
        <f t="shared" ref="AE121" si="1110">MMULT($Y120:$AO120,J$158:J$174)</f>
        <v>1.2322340839651991E-2</v>
      </c>
      <c r="AF121" s="70">
        <f t="shared" ref="AF121" si="1111">MMULT($Y120:$AO120,K$158:K$174)</f>
        <v>0</v>
      </c>
      <c r="AG121" s="70">
        <f t="shared" ref="AG121" si="1112">MMULT($Y120:$AO120,L$158:L$174)</f>
        <v>1.3509635260084139E-2</v>
      </c>
      <c r="AH121" s="70">
        <f t="shared" ref="AH121" si="1113">MMULT($Y120:$AO120,M$158:M$174)</f>
        <v>7.5148512019901498E-3</v>
      </c>
      <c r="AI121" s="70">
        <f t="shared" ref="AI121" si="1114">MMULT($Y120:$AO120,N$158:N$174)</f>
        <v>0.06</v>
      </c>
      <c r="AJ121" s="70">
        <f t="shared" ref="AJ121" si="1115">MMULT($Y120:$AO120,O$158:O$174)</f>
        <v>4.1948879784681731E-2</v>
      </c>
      <c r="AK121" s="70">
        <f t="shared" ref="AK121" si="1116">MMULT($Y120:$AO120,P$158:P$174)</f>
        <v>6.5884417073588351E-3</v>
      </c>
      <c r="AL121" s="70">
        <f t="shared" ref="AL121" si="1117">MMULT($Y120:$AO120,Q$158:Q$174)</f>
        <v>0</v>
      </c>
      <c r="AM121" s="70">
        <f t="shared" ref="AM121" si="1118">MMULT($Y120:$AO120,R$158:R$174)</f>
        <v>0</v>
      </c>
      <c r="AN121" s="70">
        <f t="shared" ref="AN121" si="1119">MMULT($Y120:$AO120,S$158:S$174)</f>
        <v>0</v>
      </c>
      <c r="AO121" s="70">
        <f t="shared" ref="AO121" si="1120">MMULT($Y120:$AO120,T$158:T$174)</f>
        <v>0</v>
      </c>
      <c r="AP121" s="190"/>
      <c r="AQ121" s="66">
        <v>7</v>
      </c>
      <c r="AR121" s="66">
        <v>2011</v>
      </c>
      <c r="AS121" s="215">
        <f t="shared" si="1029"/>
        <v>3449.4021221052963</v>
      </c>
      <c r="AT121" s="215">
        <f t="shared" si="1030"/>
        <v>681.46211143462801</v>
      </c>
      <c r="AU121" s="215">
        <f t="shared" si="1031"/>
        <v>195.04529016185495</v>
      </c>
      <c r="AV121" s="215">
        <f t="shared" si="1032"/>
        <v>109.8246486673692</v>
      </c>
      <c r="AW121" s="215">
        <f t="shared" si="1033"/>
        <v>1903.9084466915469</v>
      </c>
      <c r="AX121" s="215">
        <f t="shared" si="1034"/>
        <v>873.71674691139469</v>
      </c>
      <c r="AY121" s="215">
        <f t="shared" si="1035"/>
        <v>105.82475602456491</v>
      </c>
      <c r="AZ121" s="215">
        <f t="shared" si="1036"/>
        <v>0</v>
      </c>
      <c r="BA121" s="215">
        <f t="shared" si="1037"/>
        <v>116.021287999013</v>
      </c>
      <c r="BB121" s="215">
        <f t="shared" si="1038"/>
        <v>64.53784271673949</v>
      </c>
      <c r="BC121" s="215">
        <f t="shared" si="1039"/>
        <v>515.28240000000005</v>
      </c>
      <c r="BD121" s="215">
        <f t="shared" si="1040"/>
        <v>360.25865754603814</v>
      </c>
      <c r="BE121" s="215">
        <f t="shared" si="1041"/>
        <v>56.581800920465973</v>
      </c>
      <c r="BF121" s="215">
        <f t="shared" si="1042"/>
        <v>0</v>
      </c>
      <c r="BG121" s="215">
        <f t="shared" si="1043"/>
        <v>0</v>
      </c>
      <c r="BH121" s="215">
        <f t="shared" si="1044"/>
        <v>0</v>
      </c>
      <c r="BI121" s="215">
        <f t="shared" si="1045"/>
        <v>0</v>
      </c>
      <c r="BJ121" s="194"/>
      <c r="BK121" s="66">
        <v>7</v>
      </c>
      <c r="BL121" s="66">
        <v>2011</v>
      </c>
      <c r="BM121" s="215">
        <f t="shared" si="1053"/>
        <v>116.021287999013</v>
      </c>
      <c r="BN121" s="219">
        <f t="shared" si="1054"/>
        <v>0</v>
      </c>
      <c r="BO121" s="219">
        <f t="shared" si="1055"/>
        <v>0</v>
      </c>
      <c r="BP121" s="219">
        <f t="shared" si="1081"/>
        <v>0</v>
      </c>
      <c r="BQ121" s="219">
        <f t="shared" si="1056"/>
        <v>0</v>
      </c>
      <c r="BR121" s="220">
        <f t="shared" si="1082"/>
        <v>0</v>
      </c>
      <c r="BS121" s="219">
        <f t="shared" si="1083"/>
        <v>0</v>
      </c>
      <c r="BT121" s="219">
        <f t="shared" si="1084"/>
        <v>0</v>
      </c>
      <c r="BU121" s="219">
        <f t="shared" si="1085"/>
        <v>0</v>
      </c>
      <c r="BV121" s="219">
        <f t="shared" si="1086"/>
        <v>0</v>
      </c>
      <c r="BW121" s="219">
        <f t="shared" si="1087"/>
        <v>0</v>
      </c>
      <c r="BX121" s="220">
        <f t="shared" si="1088"/>
        <v>0</v>
      </c>
      <c r="BY121" s="195"/>
      <c r="BZ121" s="192">
        <v>7</v>
      </c>
      <c r="CA121" s="66">
        <v>2011</v>
      </c>
      <c r="CB121" s="218">
        <f>pAsympt_NoCare_Asympt_Dead_2010_2012*AS120</f>
        <v>98.976777172516762</v>
      </c>
      <c r="CC121" s="218">
        <f t="shared" si="1057"/>
        <v>10.847871494852438</v>
      </c>
      <c r="CD121" s="73">
        <f t="shared" si="1058"/>
        <v>0</v>
      </c>
      <c r="CE121" s="73">
        <f>pInt_NoCare_Int_Dead_2010_2012*AW120</f>
        <v>47.901574880172824</v>
      </c>
      <c r="CF121" s="73">
        <f t="shared" si="1059"/>
        <v>16.636267836566656</v>
      </c>
      <c r="CG121" s="73">
        <f t="shared" si="1060"/>
        <v>0</v>
      </c>
      <c r="CH121" s="73">
        <f t="shared" si="1061"/>
        <v>0</v>
      </c>
      <c r="CI121" s="73">
        <f t="shared" si="1062"/>
        <v>0</v>
      </c>
      <c r="CJ121" s="73">
        <f t="shared" si="1063"/>
        <v>0</v>
      </c>
      <c r="CK121" s="73">
        <f t="shared" si="1064"/>
        <v>0</v>
      </c>
      <c r="CL121" s="73">
        <f t="shared" si="1065"/>
        <v>0</v>
      </c>
      <c r="CM121" s="73">
        <f>pAIDS_NoCare_AIDS_Dead_2010_2012*BC120</f>
        <v>0</v>
      </c>
      <c r="CN121" s="73">
        <f t="shared" si="1067"/>
        <v>0</v>
      </c>
      <c r="CO121" s="73">
        <f t="shared" si="1068"/>
        <v>0</v>
      </c>
      <c r="CP121" s="73">
        <f t="shared" si="1069"/>
        <v>0</v>
      </c>
      <c r="CQ121" s="73">
        <f t="shared" si="1070"/>
        <v>0</v>
      </c>
      <c r="CR121" s="73">
        <f t="shared" si="1071"/>
        <v>0</v>
      </c>
      <c r="CS121" s="73">
        <f t="shared" si="1072"/>
        <v>0</v>
      </c>
      <c r="CT121" s="73">
        <f t="shared" si="1073"/>
        <v>0</v>
      </c>
      <c r="CU121" s="73">
        <f t="shared" si="1074"/>
        <v>0</v>
      </c>
      <c r="CV121" s="73">
        <f t="shared" si="1075"/>
        <v>0</v>
      </c>
      <c r="CW121" s="73">
        <f t="shared" si="1076"/>
        <v>0</v>
      </c>
      <c r="CX121" s="73">
        <f t="shared" si="1077"/>
        <v>0</v>
      </c>
      <c r="CY121" s="73">
        <f t="shared" si="1078"/>
        <v>0</v>
      </c>
      <c r="CZ121" s="190"/>
      <c r="DA121" s="66">
        <v>2011</v>
      </c>
      <c r="DB121" s="218">
        <f t="shared" si="1046"/>
        <v>1915.4375158920609</v>
      </c>
      <c r="DC121" s="218">
        <f t="shared" si="1047"/>
        <v>8257.5036197948029</v>
      </c>
      <c r="DD121" s="73">
        <f t="shared" si="1048"/>
        <v>162.40655694503087</v>
      </c>
      <c r="DE121" s="73">
        <f t="shared" si="1049"/>
        <v>56.581800920465973</v>
      </c>
      <c r="DF121" s="73">
        <f t="shared" si="1050"/>
        <v>875.54105754603825</v>
      </c>
      <c r="DG121" s="73">
        <f t="shared" si="1051"/>
        <v>3769.187539147993</v>
      </c>
      <c r="DH121" s="72">
        <f t="shared" si="1079"/>
        <v>4.1308068171742478E-2</v>
      </c>
      <c r="DI121" s="72">
        <f t="shared" si="1080"/>
        <v>6.0702084930684311E-2</v>
      </c>
      <c r="DJ121" s="73">
        <f>SUM(AV114:AV121,BB114:BB121,BI114:BI121)</f>
        <v>330.53638020519838</v>
      </c>
      <c r="DK121" s="218">
        <f>SUM(AV120:AV121,BB120:BB121,BI120:BI121)</f>
        <v>330.53638020519838</v>
      </c>
      <c r="DL121" s="190"/>
    </row>
    <row r="122" spans="1:120" x14ac:dyDescent="0.25">
      <c r="A122" s="190"/>
      <c r="B122" s="188">
        <v>2009</v>
      </c>
      <c r="C122" s="61" t="s">
        <v>325</v>
      </c>
      <c r="D122" s="169">
        <v>0</v>
      </c>
      <c r="E122" s="169">
        <v>0</v>
      </c>
      <c r="F122" s="169">
        <v>0</v>
      </c>
      <c r="G122" s="169">
        <v>0</v>
      </c>
      <c r="H122" s="169">
        <v>0</v>
      </c>
      <c r="I122" s="169">
        <v>0</v>
      </c>
      <c r="J122" s="171">
        <f>pInt_LTFU_Int_ART1_2004_2012</f>
        <v>0.1414</v>
      </c>
      <c r="K122" s="171">
        <f>pInt_LTFU_Int_ART2_2004_2012</f>
        <v>0.1515</v>
      </c>
      <c r="L122" s="172">
        <f>pInt_LTFU_2004_2012</f>
        <v>0.43882838478243957</v>
      </c>
      <c r="M122" s="171">
        <f>pInt_LTFU_Int_Dead_2004_2012</f>
        <v>2.7888537361361161E-2</v>
      </c>
      <c r="N122" s="169">
        <v>0</v>
      </c>
      <c r="O122" s="169">
        <v>0</v>
      </c>
      <c r="P122" s="169">
        <v>0</v>
      </c>
      <c r="Q122" s="169">
        <v>0</v>
      </c>
      <c r="R122" s="169">
        <v>0</v>
      </c>
      <c r="S122" s="170">
        <f>pInt_LTFU_AIDS_LTFU_2004_2012</f>
        <v>0.24038307785619925</v>
      </c>
      <c r="T122" s="169">
        <v>0</v>
      </c>
      <c r="U122" s="61">
        <f t="shared" si="1052"/>
        <v>1</v>
      </c>
      <c r="V122" s="190"/>
      <c r="W122" s="66">
        <v>8</v>
      </c>
      <c r="X122" s="66">
        <v>2012</v>
      </c>
      <c r="Y122" s="70">
        <f>MMULT($Y121:$AO121,D$180:D$196)</f>
        <v>0.25455090855673068</v>
      </c>
      <c r="Z122" s="70">
        <f t="shared" ref="Z122" si="1121">MMULT($Y121:$AO121,E$180:E$196)</f>
        <v>6.4499850078608464E-2</v>
      </c>
      <c r="AA122" s="70">
        <f t="shared" ref="AA122" si="1122">MMULT($Y121:$AO121,F$180:F$196)</f>
        <v>3.9347652253826124E-2</v>
      </c>
      <c r="AB122" s="70">
        <f t="shared" ref="AB122" si="1123">MMULT($Y121:$AO121,G$180:G$196)</f>
        <v>9.0710208405925634E-3</v>
      </c>
      <c r="AC122" s="70">
        <f t="shared" ref="AC122" si="1124">MMULT($Y121:$AO121,H$180:H$196)</f>
        <v>0.18556914332068541</v>
      </c>
      <c r="AD122" s="70">
        <f t="shared" ref="AD122" si="1125">MMULT($Y121:$AO121,I$180:I$196)</f>
        <v>9.5348753537974701E-2</v>
      </c>
      <c r="AE122" s="70">
        <f t="shared" ref="AE122" si="1126">MMULT($Y121:$AO121,J$180:J$196)</f>
        <v>3.2722894772762579E-2</v>
      </c>
      <c r="AF122" s="70">
        <f t="shared" ref="AF122" si="1127">MMULT($Y121:$AO121,K$180:K$196)</f>
        <v>2.1534491176653887E-3</v>
      </c>
      <c r="AG122" s="70">
        <f t="shared" ref="AG122" si="1128">MMULT($Y121:$AO121,L$180:L$196)</f>
        <v>2.9214321016294467E-2</v>
      </c>
      <c r="AH122" s="70">
        <f t="shared" ref="AH122" si="1129">MMULT($Y121:$AO121,M$180:M$196)</f>
        <v>9.2840050097176517E-3</v>
      </c>
      <c r="AI122" s="70">
        <f t="shared" ref="AI122" si="1130">MMULT($Y121:$AO121,N$180:N$196)</f>
        <v>7.0651352353037836E-2</v>
      </c>
      <c r="AJ122" s="70">
        <f t="shared" ref="AJ122" si="1131">MMULT($Y121:$AO121,O$180:O$196)</f>
        <v>8.5697089693666254E-2</v>
      </c>
      <c r="AK122" s="70">
        <f t="shared" ref="AK122" si="1132">MMULT($Y121:$AO121,P$180:P$196)</f>
        <v>3.0309750692456512E-2</v>
      </c>
      <c r="AL122" s="70">
        <f t="shared" ref="AL122" si="1133">MMULT($Y121:$AO121,Q$180:Q$196)</f>
        <v>5.4057491247627015E-3</v>
      </c>
      <c r="AM122" s="70">
        <f t="shared" ref="AM122" si="1134">MMULT($Y121:$AO121,R$180:R$196)</f>
        <v>0</v>
      </c>
      <c r="AN122" s="70">
        <f t="shared" ref="AN122" si="1135">MMULT($Y121:$AO121,S$180:S$196)</f>
        <v>5.9232001121558263E-3</v>
      </c>
      <c r="AO122" s="70">
        <f t="shared" ref="AO122" si="1136">MMULT($Y121:$AO121,T$180:T$196)</f>
        <v>4.1762871549142107E-2</v>
      </c>
      <c r="AP122" s="190"/>
      <c r="AQ122" s="66">
        <v>8</v>
      </c>
      <c r="AR122" s="66">
        <v>2012</v>
      </c>
      <c r="AS122" s="215">
        <f t="shared" si="1029"/>
        <v>2186.0933847215456</v>
      </c>
      <c r="AT122" s="215">
        <f t="shared" si="1030"/>
        <v>553.92729246909266</v>
      </c>
      <c r="AU122" s="215">
        <f t="shared" si="1031"/>
        <v>337.91921146194892</v>
      </c>
      <c r="AV122" s="215">
        <f t="shared" si="1032"/>
        <v>77.902289819842565</v>
      </c>
      <c r="AW122" s="215">
        <f t="shared" si="1033"/>
        <v>1593.6752256037794</v>
      </c>
      <c r="AX122" s="215">
        <f t="shared" si="1034"/>
        <v>818.85890933426833</v>
      </c>
      <c r="AY122" s="215">
        <f t="shared" si="1035"/>
        <v>281.02552922427594</v>
      </c>
      <c r="AZ122" s="215">
        <f t="shared" si="1036"/>
        <v>18.493907160475068</v>
      </c>
      <c r="BA122" s="215">
        <f t="shared" si="1037"/>
        <v>250.89375746077755</v>
      </c>
      <c r="BB122" s="215">
        <f t="shared" si="1038"/>
        <v>79.731406383655596</v>
      </c>
      <c r="BC122" s="215">
        <f t="shared" si="1039"/>
        <v>606.75664006198315</v>
      </c>
      <c r="BD122" s="215">
        <f t="shared" si="1040"/>
        <v>735.97003417279359</v>
      </c>
      <c r="BE122" s="215">
        <f t="shared" si="1041"/>
        <v>260.30135133684428</v>
      </c>
      <c r="BF122" s="215">
        <f t="shared" si="1042"/>
        <v>46.424789713427074</v>
      </c>
      <c r="BG122" s="215">
        <f t="shared" si="1043"/>
        <v>0</v>
      </c>
      <c r="BH122" s="215">
        <f t="shared" si="1044"/>
        <v>50.868679491198726</v>
      </c>
      <c r="BI122" s="215">
        <f t="shared" si="1045"/>
        <v>358.66121137889439</v>
      </c>
      <c r="BJ122" s="194"/>
      <c r="BK122" s="66">
        <v>8</v>
      </c>
      <c r="BL122" s="66">
        <v>2012</v>
      </c>
      <c r="BM122" s="215">
        <f t="shared" si="1053"/>
        <v>210.36235473677857</v>
      </c>
      <c r="BN122" s="219">
        <f t="shared" si="1054"/>
        <v>39.009058032370994</v>
      </c>
      <c r="BO122" s="219">
        <f t="shared" si="1055"/>
        <v>1.5223446916279959</v>
      </c>
      <c r="BP122" s="219">
        <f t="shared" si="1081"/>
        <v>0</v>
      </c>
      <c r="BQ122" s="219">
        <f t="shared" si="1056"/>
        <v>21.185182166464188</v>
      </c>
      <c r="BR122" s="220">
        <f t="shared" si="1082"/>
        <v>0</v>
      </c>
      <c r="BS122" s="219">
        <f t="shared" si="1083"/>
        <v>27.889554306043259</v>
      </c>
      <c r="BT122" s="219">
        <f t="shared" si="1084"/>
        <v>1.7939430186912875</v>
      </c>
      <c r="BU122" s="219">
        <f t="shared" si="1085"/>
        <v>0</v>
      </c>
      <c r="BV122" s="219">
        <f t="shared" si="1086"/>
        <v>0</v>
      </c>
      <c r="BW122" s="219">
        <f t="shared" si="1087"/>
        <v>0</v>
      </c>
      <c r="BX122" s="220">
        <f t="shared" si="1088"/>
        <v>0</v>
      </c>
      <c r="BY122" s="195"/>
      <c r="BZ122" s="192">
        <v>8</v>
      </c>
      <c r="CA122" s="66">
        <v>2012</v>
      </c>
      <c r="CB122" s="218">
        <f>pAsympt_NoCare_Asympt_Dead_2010_2012*AS121</f>
        <v>62.727530788969702</v>
      </c>
      <c r="CC122" s="218">
        <f t="shared" si="1057"/>
        <v>11.627851766722399</v>
      </c>
      <c r="CD122" s="73">
        <f t="shared" si="1058"/>
        <v>3.5469072641504593</v>
      </c>
      <c r="CE122" s="73">
        <f>pInt_NoCare_Int_Dead_2010_2012*AW121</f>
        <v>53.097221848168303</v>
      </c>
      <c r="CF122" s="73">
        <f t="shared" si="1059"/>
        <v>22.863346809083612</v>
      </c>
      <c r="CG122" s="73">
        <f t="shared" si="1060"/>
        <v>0.53517370132995767</v>
      </c>
      <c r="CH122" s="73">
        <f t="shared" si="1061"/>
        <v>0</v>
      </c>
      <c r="CI122" s="73">
        <f t="shared" si="1062"/>
        <v>3.2356640250737172</v>
      </c>
      <c r="CJ122" s="73">
        <f t="shared" si="1063"/>
        <v>0</v>
      </c>
      <c r="CK122" s="73">
        <f t="shared" si="1064"/>
        <v>0</v>
      </c>
      <c r="CL122" s="73">
        <f t="shared" si="1065"/>
        <v>0</v>
      </c>
      <c r="CM122" s="73">
        <f>pAIDS_NoCare_AIDS_Dead_2010_2012*BC121</f>
        <v>211.53101958806502</v>
      </c>
      <c r="CN122" s="73">
        <f t="shared" si="1067"/>
        <v>138.76712360248183</v>
      </c>
      <c r="CO122" s="73">
        <f t="shared" si="1068"/>
        <v>8.3630681883476132</v>
      </c>
      <c r="CP122" s="73">
        <f t="shared" si="1069"/>
        <v>0</v>
      </c>
      <c r="CQ122" s="73">
        <f t="shared" si="1070"/>
        <v>0</v>
      </c>
      <c r="CR122" s="73">
        <f t="shared" si="1071"/>
        <v>0</v>
      </c>
      <c r="CS122" s="73">
        <f t="shared" si="1072"/>
        <v>0</v>
      </c>
      <c r="CT122" s="73">
        <f t="shared" si="1073"/>
        <v>0</v>
      </c>
      <c r="CU122" s="73">
        <f t="shared" si="1074"/>
        <v>0</v>
      </c>
      <c r="CV122" s="73">
        <f t="shared" si="1075"/>
        <v>0</v>
      </c>
      <c r="CW122" s="73">
        <f t="shared" si="1076"/>
        <v>0</v>
      </c>
      <c r="CX122" s="73">
        <f t="shared" si="1077"/>
        <v>0</v>
      </c>
      <c r="CY122" s="73">
        <f t="shared" si="1078"/>
        <v>0</v>
      </c>
      <c r="CZ122" s="190"/>
      <c r="DA122" s="66">
        <v>2012</v>
      </c>
      <c r="DB122" s="218">
        <f t="shared" si="1046"/>
        <v>2108.7562359761546</v>
      </c>
      <c r="DC122" s="218">
        <f t="shared" si="1047"/>
        <v>7741.2087122124103</v>
      </c>
      <c r="DD122" s="73">
        <f t="shared" si="1048"/>
        <v>606.24557743502237</v>
      </c>
      <c r="DE122" s="73">
        <f t="shared" si="1049"/>
        <v>306.72614105027134</v>
      </c>
      <c r="DF122" s="73">
        <f t="shared" si="1050"/>
        <v>1393.5953537259754</v>
      </c>
      <c r="DG122" s="73">
        <f t="shared" si="1051"/>
        <v>4057.0232461248006</v>
      </c>
      <c r="DH122" s="72">
        <f t="shared" si="1079"/>
        <v>0.13000442401521892</v>
      </c>
      <c r="DI122" s="72">
        <f t="shared" si="1080"/>
        <v>0.18039302684380573</v>
      </c>
      <c r="DJ122" s="73">
        <f>SUM(AV114:AV122,BB114:BB122,BI114:BI122)</f>
        <v>846.83128778759101</v>
      </c>
      <c r="DK122" s="73">
        <f>SUM(AV120:AV122,BB120:BB122,BI120:BI122)</f>
        <v>846.83128778759101</v>
      </c>
      <c r="DL122" s="190"/>
    </row>
    <row r="123" spans="1:120" x14ac:dyDescent="0.25">
      <c r="A123" s="190"/>
      <c r="B123" s="188">
        <v>2009</v>
      </c>
      <c r="C123" s="61" t="s">
        <v>326</v>
      </c>
      <c r="D123" s="169">
        <v>0</v>
      </c>
      <c r="E123" s="169">
        <v>0</v>
      </c>
      <c r="F123" s="169">
        <v>0</v>
      </c>
      <c r="G123" s="169">
        <v>0</v>
      </c>
      <c r="H123" s="169">
        <v>0</v>
      </c>
      <c r="I123" s="169">
        <v>0</v>
      </c>
      <c r="J123" s="169">
        <v>0</v>
      </c>
      <c r="K123" s="169">
        <v>0</v>
      </c>
      <c r="L123" s="169">
        <v>0</v>
      </c>
      <c r="M123" s="169">
        <v>0</v>
      </c>
      <c r="N123" s="169">
        <v>0</v>
      </c>
      <c r="O123" s="169">
        <v>0</v>
      </c>
      <c r="P123" s="169">
        <v>0</v>
      </c>
      <c r="Q123" s="169">
        <v>0</v>
      </c>
      <c r="R123" s="169">
        <v>0</v>
      </c>
      <c r="S123" s="169">
        <v>0</v>
      </c>
      <c r="T123" s="169">
        <v>0</v>
      </c>
      <c r="U123" s="61">
        <f t="shared" si="1052"/>
        <v>0</v>
      </c>
      <c r="V123" s="190"/>
      <c r="W123" s="66">
        <v>9</v>
      </c>
      <c r="X123" s="66">
        <v>2013</v>
      </c>
      <c r="Y123" s="70">
        <f>MMULT($Y122:$AO122,D$202:D$218)</f>
        <v>0.16132420563685768</v>
      </c>
      <c r="Z123" s="70">
        <f t="shared" ref="Z123:Z133" si="1137">MMULT($Y122:$AO122,E$202:E$218)</f>
        <v>4.71038184743756E-2</v>
      </c>
      <c r="AA123" s="70">
        <f t="shared" ref="AA123:AA133" si="1138">MMULT($Y122:$AO122,F$202:F$218)</f>
        <v>4.5384487382732069E-2</v>
      </c>
      <c r="AB123" s="70">
        <f t="shared" ref="AB123:AB133" si="1139">MMULT($Y122:$AO122,G$202:G$218)</f>
        <v>6.4451253579327072E-3</v>
      </c>
      <c r="AC123" s="70">
        <f t="shared" ref="AC123:AC133" si="1140">MMULT($Y122:$AO122,H$202:H$218)</f>
        <v>0.13900077623788976</v>
      </c>
      <c r="AD123" s="70">
        <f t="shared" ref="AD123:AD133" si="1141">MMULT($Y122:$AO122,I$202:I$218)</f>
        <v>7.6174180760404872E-2</v>
      </c>
      <c r="AE123" s="70">
        <f t="shared" ref="AE123:AE133" si="1142">MMULT($Y122:$AO122,J$202:J$218)</f>
        <v>5.6389752776439227E-2</v>
      </c>
      <c r="AF123" s="70">
        <f t="shared" ref="AF123:AF133" si="1143">MMULT($Y122:$AO122,K$202:K$218)</f>
        <v>7.4111335531563093E-3</v>
      </c>
      <c r="AG123" s="70">
        <f t="shared" ref="AG123:AG133" si="1144">MMULT($Y122:$AO122,L$202:L$218)</f>
        <v>3.7411728586386347E-2</v>
      </c>
      <c r="AH123" s="70">
        <f t="shared" ref="AH123:AH133" si="1145">MMULT($Y122:$AO122,M$202:M$218)</f>
        <v>8.6614504568588175E-3</v>
      </c>
      <c r="AI123" s="70">
        <f t="shared" ref="AI123:AI133" si="1146">MMULT($Y122:$AO122,N$202:N$218)</f>
        <v>6.0549747625561666E-2</v>
      </c>
      <c r="AJ123" s="70">
        <f t="shared" ref="AJ123:AJ133" si="1147">MMULT($Y122:$AO122,O$202:O$218)</f>
        <v>9.0594426191087832E-2</v>
      </c>
      <c r="AK123" s="70">
        <f t="shared" ref="AK123:AK133" si="1148">MMULT($Y122:$AO122,P$202:P$218)</f>
        <v>5.0485938529923002E-2</v>
      </c>
      <c r="AL123" s="70">
        <f t="shared" ref="AL123:AL133" si="1149">MMULT($Y122:$AO122,Q$202:Q$218)</f>
        <v>2.9911611370230826E-2</v>
      </c>
      <c r="AM123" s="70">
        <f t="shared" ref="AM123:AM133" si="1150">MMULT($Y122:$AO122,R$202:R$218)</f>
        <v>1.5413424508965083E-3</v>
      </c>
      <c r="AN123" s="70">
        <f t="shared" ref="AN123:AN133" si="1151">MMULT($Y122:$AO122,S$202:S$218)</f>
        <v>1.3940804843866811E-2</v>
      </c>
      <c r="AO123" s="70">
        <f t="shared" ref="AO123:AO133" si="1152">MMULT($Y122:$AO122,T$202:T$218)</f>
        <v>6.9063584396026889E-2</v>
      </c>
      <c r="AP123" s="190"/>
      <c r="AQ123" s="66">
        <v>9</v>
      </c>
      <c r="AR123" s="66">
        <v>2013</v>
      </c>
      <c r="AS123" s="215">
        <f t="shared" si="1029"/>
        <v>1385.4587309775593</v>
      </c>
      <c r="AT123" s="215">
        <f t="shared" si="1030"/>
        <v>404.52947721067665</v>
      </c>
      <c r="AU123" s="215">
        <f t="shared" si="1031"/>
        <v>389.76379302239837</v>
      </c>
      <c r="AV123" s="215">
        <f t="shared" si="1032"/>
        <v>55.350994378940413</v>
      </c>
      <c r="AW123" s="215">
        <f t="shared" si="1033"/>
        <v>1193.7442263620469</v>
      </c>
      <c r="AX123" s="215">
        <f t="shared" si="1034"/>
        <v>654.1869113375875</v>
      </c>
      <c r="AY123" s="215">
        <f t="shared" si="1035"/>
        <v>484.27745243417121</v>
      </c>
      <c r="AZ123" s="215">
        <f t="shared" si="1036"/>
        <v>63.647111399848519</v>
      </c>
      <c r="BA123" s="215">
        <f t="shared" si="1037"/>
        <v>321.29342156902942</v>
      </c>
      <c r="BB123" s="215">
        <f t="shared" si="1038"/>
        <v>74.384882981521812</v>
      </c>
      <c r="BC123" s="215">
        <f t="shared" si="1039"/>
        <v>520.00365459822865</v>
      </c>
      <c r="BD123" s="215">
        <f t="shared" si="1040"/>
        <v>778.02855590611</v>
      </c>
      <c r="BE123" s="215">
        <f t="shared" si="1041"/>
        <v>433.57525953251996</v>
      </c>
      <c r="BF123" s="215">
        <f t="shared" si="1042"/>
        <v>256.88211491199718</v>
      </c>
      <c r="BG123" s="215">
        <f t="shared" si="1043"/>
        <v>13.23711062199725</v>
      </c>
      <c r="BH123" s="215">
        <f t="shared" si="1044"/>
        <v>119.72418963132193</v>
      </c>
      <c r="BI123" s="215">
        <f t="shared" si="1045"/>
        <v>593.1208253364548</v>
      </c>
      <c r="BJ123" s="194"/>
      <c r="BK123" s="66">
        <v>9</v>
      </c>
      <c r="BL123" s="66">
        <v>2013</v>
      </c>
      <c r="BM123" s="215">
        <f t="shared" ref="BM123:BM133" si="1153">(AX122*pInt_InCare_Int_LTFU_2013plus_u)+(BM122*pInt_LTFU_2013plus_u)</f>
        <v>233.25197356468922</v>
      </c>
      <c r="BN123" s="219">
        <f t="shared" ref="BN123:BN133" si="1154">(AU122*pAsympt_LTFU_Int_LTFU_2013plus_u)+(BN122*pInt_LTFU_2013plus_u)</f>
        <v>83.126158276111823</v>
      </c>
      <c r="BO123" s="219">
        <f t="shared" ref="BO123:BO133" si="1155">(AY122*pInt_ART1_Int_LTFU_2013plus_u)+(BO122*pInt_LTFU_2013plus_u)</f>
        <v>4.649245161240021</v>
      </c>
      <c r="BP123" s="219">
        <f t="shared" ref="BP123:BP133" si="1156">(AZ122*pInt_ART2_Int_LTFU_2013plus_u)+(BP122*pInt_LTFU_2013plus_u)</f>
        <v>0.26604456698841661</v>
      </c>
      <c r="BQ123" s="219">
        <f t="shared" ref="BQ123:BQ133" si="1157">(BD122*pAIDS_InCare_AIDS_LTFU_2013plus_u)+(BQ122*pAIDS_LTFU_2013plus_u)</f>
        <v>46.352726546685666</v>
      </c>
      <c r="BR123" s="220">
        <f t="shared" ref="BR123:BR133" si="1158">(BN122*pInt_LTFU_AIDS_LTFU_2013plus_u)+(BR122*pAIDS_LTFU_2013plus_u)</f>
        <v>9.3771174340924315</v>
      </c>
      <c r="BS123" s="219">
        <f t="shared" ref="BS123:BS133" si="1159">(BM122*pInt_LTFU_AIDS_LTFU_2013plus_u)+(BS122*pAIDS_LTFU_2013plus_u)</f>
        <v>54.613913581813577</v>
      </c>
      <c r="BT123" s="219">
        <f t="shared" ref="BT123:BT133" si="1160">(BE122*pAIDS_ART1ear_AIDS_LTFU_2013plus_u)+(BT122*pAIDS_LTFU_2013plus_u)</f>
        <v>8.5132073383481472</v>
      </c>
      <c r="BU123" s="219">
        <f t="shared" ref="BU123:BU133" si="1161">(BF122*pAIDS_ART1late_AIDS_LTFU_2013plus_u)+(BU122*pAIDS_LTFU_2013plus_u)</f>
        <v>0.50127882785052602</v>
      </c>
      <c r="BV123" s="219">
        <f t="shared" ref="BV123:BV133" si="1162">(BO122*pInt_LTFU_AIDS_LTFU_2013plus_u)+(BV122*pAIDS_LTFU_2013plus_u)</f>
        <v>0.36594590253158416</v>
      </c>
      <c r="BW123" s="219">
        <f t="shared" ref="BW123:BW133" si="1163">(BG122*pAIDS_ART2_AIDS_LTFU_2013plus_u)+(BW122*pAIDS_LTFU_2013plus_u)</f>
        <v>0</v>
      </c>
      <c r="BX123" s="220">
        <f t="shared" ref="BX123:BX133" si="1164">(BP122*pInt_LTFU_AIDS_LTFU_2013plus_u)+(BX122*pAIDS_LTFU_2013plus_u)</f>
        <v>0</v>
      </c>
      <c r="BY123" s="195"/>
      <c r="BZ123" s="192">
        <v>9</v>
      </c>
      <c r="CA123" s="66">
        <v>2013</v>
      </c>
      <c r="CB123" s="218">
        <f t="shared" ref="CB123:CB133" si="1165">pAsympt_NoCare_Asympt_Dead_2013plus_u*AS122</f>
        <v>39.754205292246226</v>
      </c>
      <c r="CC123" s="218">
        <f t="shared" ref="CC123:CC133" si="1166">pAsympt_InCare_Asympt_Dead_2013plus_u*AT122</f>
        <v>9.4517132182342483</v>
      </c>
      <c r="CD123" s="73">
        <f t="shared" ref="CD123:CD133" si="1167">pAsympt_LTFU_Asympt_Dead_2013plus_u*AU122</f>
        <v>6.1450758684599398</v>
      </c>
      <c r="CE123" s="73">
        <f t="shared" ref="CE123:CE133" si="1168">pInt_NoCare_Int_Dead_2013plus_u*AW122</f>
        <v>44.445271071126676</v>
      </c>
      <c r="CF123" s="73">
        <f t="shared" ref="CF123:CF133" si="1169">pInt_InCare_Int_Dead_2013plus_u*AX122</f>
        <v>21.427831500311108</v>
      </c>
      <c r="CG123" s="73">
        <f t="shared" ref="CG123:CG133" si="1170">pInt_ART1_Int_Dead_2013plus_u*AY122</f>
        <v>1.4211936629294422</v>
      </c>
      <c r="CH123" s="73">
        <f t="shared" ref="CH123:CH133" si="1171">pInt_ART2_Int_Dead_2013plus_u*AZ122</f>
        <v>9.3526818477394566E-2</v>
      </c>
      <c r="CI123" s="73">
        <f t="shared" ref="CI123:CI133" si="1172">(BM122*pInt_LTFU_Int_Dead_2013plus_u)</f>
        <v>5.8666983895005593</v>
      </c>
      <c r="CJ123" s="73">
        <f t="shared" ref="CJ123:CJ133" si="1173">(BN122*pInt_LTFU_Int_Dead_2013plus_u)</f>
        <v>1.0879055723672841</v>
      </c>
      <c r="CK123" s="73">
        <f t="shared" ref="CK123:CK133" si="1174">(BO122*pInt_LTFU_Int_Dead_2013plus_u)</f>
        <v>4.2455966809337199E-2</v>
      </c>
      <c r="CL123" s="73">
        <f t="shared" ref="CL123:CL133" si="1175">(BP122*pInt_LTFU_Int_Dead_2013plus_u)</f>
        <v>0</v>
      </c>
      <c r="CM123" s="73">
        <f t="shared" ref="CM123:CM133" si="1176">pAIDS_NoCare_AIDS_Dead_2013plus_u*BC122</f>
        <v>249.08254330856218</v>
      </c>
      <c r="CN123" s="73">
        <f t="shared" ref="CN123:CN133" si="1177">pAIDS_InCare_AIDS_Dead_2013plus_u*BD122</f>
        <v>283.48644109053129</v>
      </c>
      <c r="CO123" s="73">
        <f t="shared" ref="CO123:CO133" si="1178">pAIDS_ART1ear_AIDS_Dead_2013plus_u*BE122</f>
        <v>38.473818707344357</v>
      </c>
      <c r="CP123" s="73">
        <f t="shared" ref="CP123:CP133" si="1179">pAIDS_ART1late_AIDS_Dead_2013plus_u*BF122</f>
        <v>1.1956795808759493</v>
      </c>
      <c r="CQ123" s="73">
        <f t="shared" ref="CQ123:CQ133" si="1180">pAIDS_ART2_AIDS_Dead_2013plus_u*BG122</f>
        <v>0</v>
      </c>
      <c r="CR123" s="73">
        <f t="shared" ref="CR123:CR133" si="1181">(BQ122*pAIDS_LTFU_AIDS_Dead_2013plus_u)</f>
        <v>8.696829512964273</v>
      </c>
      <c r="CS123" s="73">
        <f t="shared" ref="CS123:CS133" si="1182">(BR122*pAIDS_LTFU_AIDS_Dead_2013plus_u)</f>
        <v>0</v>
      </c>
      <c r="CT123" s="73">
        <f t="shared" ref="CT123:CT133" si="1183">(BS122*pAIDS_LTFU_AIDS_Dead_2013plus_u)</f>
        <v>11.4490730873285</v>
      </c>
      <c r="CU123" s="73">
        <f t="shared" ref="CU123:CU133" si="1184">(BT122*pAIDS_LTFU_AIDS_Dead_2013plus_u)</f>
        <v>0.7364400488482804</v>
      </c>
      <c r="CV123" s="73">
        <f t="shared" ref="CV123:CV133" si="1185">(BU122*pAIDS_LTFU_AIDS_Dead_2013plus_u)</f>
        <v>0</v>
      </c>
      <c r="CW123" s="73">
        <f t="shared" ref="CW123:CW133" si="1186">(BV122*pAIDS_LTFU_AIDS_Dead_2013plus_u)</f>
        <v>0</v>
      </c>
      <c r="CX123" s="73">
        <f t="shared" ref="CX123:CX133" si="1187">(BW122*pAIDS_LTFU_AIDS_Dead_2013plus_u)</f>
        <v>0</v>
      </c>
      <c r="CY123" s="73">
        <f t="shared" ref="CY123:CY133" si="1188">(BX122*pAIDS_LTFU_AIDS_Dead_2013plus_u)</f>
        <v>0</v>
      </c>
      <c r="CZ123" s="190"/>
      <c r="DA123" s="66">
        <v>2013</v>
      </c>
      <c r="DB123" s="218">
        <f t="shared" si="1046"/>
        <v>1836.744944454374</v>
      </c>
      <c r="DC123" s="218">
        <f t="shared" si="1047"/>
        <v>7018.3520095154927</v>
      </c>
      <c r="DD123" s="73">
        <f t="shared" si="1048"/>
        <v>1251.6190489005342</v>
      </c>
      <c r="DE123" s="73">
        <f t="shared" si="1049"/>
        <v>703.6944850665144</v>
      </c>
      <c r="DF123" s="73">
        <f t="shared" si="1050"/>
        <v>1417.7564001356607</v>
      </c>
      <c r="DG123" s="73">
        <f t="shared" si="1051"/>
        <v>3586.980959404324</v>
      </c>
      <c r="DH123" s="72">
        <f t="shared" si="1079"/>
        <v>0.25867379960159653</v>
      </c>
      <c r="DI123" s="72">
        <f t="shared" si="1080"/>
        <v>0.33170434912022584</v>
      </c>
      <c r="DJ123" s="73">
        <f>SUM(AV114:AV123,BB114:BB123,BI114:BI123)</f>
        <v>1569.687990484508</v>
      </c>
      <c r="DK123" s="73">
        <f>SUM(AV120:AV123,BB120:BB123,BI120:BI123)</f>
        <v>1569.687990484508</v>
      </c>
      <c r="DL123" s="190"/>
    </row>
    <row r="124" spans="1:120" x14ac:dyDescent="0.25">
      <c r="A124" s="190"/>
      <c r="B124" s="188">
        <v>2009</v>
      </c>
      <c r="C124" s="61" t="s">
        <v>327</v>
      </c>
      <c r="D124" s="169">
        <v>0</v>
      </c>
      <c r="E124" s="169">
        <v>0</v>
      </c>
      <c r="F124" s="169">
        <v>0</v>
      </c>
      <c r="G124" s="169">
        <v>0</v>
      </c>
      <c r="H124" s="169">
        <v>0</v>
      </c>
      <c r="I124" s="169">
        <v>0</v>
      </c>
      <c r="J124" s="169">
        <v>0</v>
      </c>
      <c r="K124" s="169">
        <v>0</v>
      </c>
      <c r="L124" s="169">
        <v>0</v>
      </c>
      <c r="M124" s="169">
        <v>0</v>
      </c>
      <c r="N124" s="172">
        <f>pAIDS_NoCare_2007_2009</f>
        <v>6.9057483924386043E-2</v>
      </c>
      <c r="O124" s="172">
        <f>pAIDS_NoCare_AIDS_InCare_2007_2009</f>
        <v>0.46884042112291341</v>
      </c>
      <c r="P124" s="170">
        <f>pAIDS_NoCare_AIDS_ART1ear_2007_2009</f>
        <v>5.1587356649849515E-2</v>
      </c>
      <c r="Q124" s="169">
        <v>0</v>
      </c>
      <c r="R124" s="169">
        <v>0</v>
      </c>
      <c r="S124" s="169">
        <v>0</v>
      </c>
      <c r="T124" s="170">
        <f>pAIDS_NoCare_AIDS_Dead_2007_2009</f>
        <v>0.41051473830285101</v>
      </c>
      <c r="U124" s="61">
        <f t="shared" si="1052"/>
        <v>0.99999999999999989</v>
      </c>
      <c r="V124" s="190"/>
      <c r="W124" s="66">
        <v>10</v>
      </c>
      <c r="X124" s="66">
        <v>2014</v>
      </c>
      <c r="Y124" s="70">
        <f t="shared" ref="Y124:Y133" si="1189">MMULT($Y123:$AO123,D$202:D$218)</f>
        <v>0.10224084239936213</v>
      </c>
      <c r="Z124" s="70">
        <f t="shared" si="1137"/>
        <v>3.2580559631701374E-2</v>
      </c>
      <c r="AA124" s="70">
        <f t="shared" si="1138"/>
        <v>4.3974518110965269E-2</v>
      </c>
      <c r="AB124" s="70">
        <f t="shared" si="1139"/>
        <v>4.5627436249060065E-3</v>
      </c>
      <c r="AC124" s="70">
        <f t="shared" si="1140"/>
        <v>9.8249200376616691E-2</v>
      </c>
      <c r="AD124" s="70">
        <f t="shared" si="1141"/>
        <v>5.594564639296358E-2</v>
      </c>
      <c r="AE124" s="70">
        <f t="shared" si="1142"/>
        <v>7.8384646296860261E-2</v>
      </c>
      <c r="AF124" s="70">
        <f t="shared" si="1143"/>
        <v>1.4179097900821443E-2</v>
      </c>
      <c r="AG124" s="70">
        <f t="shared" si="1144"/>
        <v>3.8802006925975081E-2</v>
      </c>
      <c r="AH124" s="70">
        <f t="shared" si="1145"/>
        <v>7.2358582074347486E-3</v>
      </c>
      <c r="AI124" s="70">
        <f t="shared" si="1146"/>
        <v>4.588164609464479E-2</v>
      </c>
      <c r="AJ124" s="70">
        <f t="shared" si="1147"/>
        <v>7.6112426945225728E-2</v>
      </c>
      <c r="AK124" s="70">
        <f t="shared" si="1148"/>
        <v>5.2078911807407813E-2</v>
      </c>
      <c r="AL124" s="70">
        <f t="shared" si="1149"/>
        <v>6.9326340098585723E-2</v>
      </c>
      <c r="AM124" s="70">
        <f t="shared" si="1150"/>
        <v>5.5073878487108341E-3</v>
      </c>
      <c r="AN124" s="70">
        <f t="shared" si="1151"/>
        <v>1.830915111916142E-2</v>
      </c>
      <c r="AO124" s="70">
        <f t="shared" si="1152"/>
        <v>7.3852970638465618E-2</v>
      </c>
      <c r="AP124" s="190"/>
      <c r="AQ124" s="66">
        <v>10</v>
      </c>
      <c r="AR124" s="66">
        <v>2014</v>
      </c>
      <c r="AS124" s="215">
        <f t="shared" si="1029"/>
        <v>878.04844415941795</v>
      </c>
      <c r="AT124" s="215">
        <f t="shared" si="1030"/>
        <v>279.80314933943669</v>
      </c>
      <c r="AU124" s="215">
        <f t="shared" si="1031"/>
        <v>377.65492051769422</v>
      </c>
      <c r="AV124" s="215">
        <f t="shared" si="1032"/>
        <v>39.185024760437784</v>
      </c>
      <c r="AW124" s="215">
        <f t="shared" si="1033"/>
        <v>843.7680628023993</v>
      </c>
      <c r="AX124" s="215">
        <f t="shared" si="1034"/>
        <v>480.46344904862701</v>
      </c>
      <c r="AY124" s="215">
        <f t="shared" si="1035"/>
        <v>673.17047778328788</v>
      </c>
      <c r="AZ124" s="215">
        <f t="shared" si="1036"/>
        <v>121.7706599361706</v>
      </c>
      <c r="BA124" s="215">
        <f t="shared" si="1037"/>
        <v>333.23318756055107</v>
      </c>
      <c r="BB124" s="215">
        <f t="shared" si="1038"/>
        <v>62.141839719777927</v>
      </c>
      <c r="BC124" s="215">
        <f t="shared" si="1039"/>
        <v>394.03341192665329</v>
      </c>
      <c r="BD124" s="215">
        <f t="shared" si="1040"/>
        <v>653.65656710267638</v>
      </c>
      <c r="BE124" s="215">
        <f t="shared" si="1041"/>
        <v>447.25577775849064</v>
      </c>
      <c r="BF124" s="215">
        <f t="shared" si="1042"/>
        <v>595.37738182025817</v>
      </c>
      <c r="BG124" s="215">
        <f t="shared" si="1043"/>
        <v>47.297667140242595</v>
      </c>
      <c r="BH124" s="215">
        <f t="shared" si="1044"/>
        <v>157.23972217740305</v>
      </c>
      <c r="BI124" s="215">
        <f t="shared" si="1045"/>
        <v>634.25226596196831</v>
      </c>
      <c r="BJ124" s="194"/>
      <c r="BK124" s="66">
        <v>10</v>
      </c>
      <c r="BL124" s="66">
        <v>2014</v>
      </c>
      <c r="BM124" s="215">
        <f t="shared" si="1153"/>
        <v>212.32003442832143</v>
      </c>
      <c r="BN124" s="219">
        <f t="shared" si="1154"/>
        <v>111.07257957960033</v>
      </c>
      <c r="BO124" s="219">
        <f t="shared" si="1155"/>
        <v>8.818976722346811</v>
      </c>
      <c r="BP124" s="219">
        <f t="shared" si="1156"/>
        <v>1.0215968302824856</v>
      </c>
      <c r="BQ124" s="219">
        <f t="shared" si="1157"/>
        <v>52.477437737848376</v>
      </c>
      <c r="BR124" s="220">
        <f t="shared" si="1158"/>
        <v>21.342603313663528</v>
      </c>
      <c r="BS124" s="219">
        <f t="shared" si="1159"/>
        <v>63.993501265835718</v>
      </c>
      <c r="BT124" s="219">
        <f t="shared" si="1160"/>
        <v>14.981774942863741</v>
      </c>
      <c r="BU124" s="219">
        <f t="shared" si="1161"/>
        <v>2.8464524291748958</v>
      </c>
      <c r="BV124" s="219">
        <f t="shared" si="1162"/>
        <v>1.1706932186027119</v>
      </c>
      <c r="BW124" s="219">
        <f t="shared" si="1163"/>
        <v>0.36330665755449837</v>
      </c>
      <c r="BX124" s="220">
        <f t="shared" si="1164"/>
        <v>6.3952611859595374E-2</v>
      </c>
      <c r="BY124" s="195"/>
      <c r="BZ124" s="192">
        <v>10</v>
      </c>
      <c r="CA124" s="66">
        <v>2014</v>
      </c>
      <c r="CB124" s="218">
        <f t="shared" si="1165"/>
        <v>25.194628555281223</v>
      </c>
      <c r="CC124" s="218">
        <f t="shared" si="1166"/>
        <v>6.9025243184436187</v>
      </c>
      <c r="CD124" s="73">
        <f t="shared" si="1167"/>
        <v>7.0878718867129464</v>
      </c>
      <c r="CE124" s="73">
        <f t="shared" si="1168"/>
        <v>33.291780456807118</v>
      </c>
      <c r="CF124" s="73">
        <f t="shared" si="1169"/>
        <v>17.118708419802445</v>
      </c>
      <c r="CG124" s="73">
        <f t="shared" si="1170"/>
        <v>2.449073037595066</v>
      </c>
      <c r="CH124" s="73">
        <f t="shared" si="1171"/>
        <v>0.32187421418585899</v>
      </c>
      <c r="CI124" s="73">
        <f t="shared" si="1172"/>
        <v>6.5050563793700613</v>
      </c>
      <c r="CJ124" s="73">
        <f t="shared" si="1173"/>
        <v>2.3182669707897658</v>
      </c>
      <c r="CK124" s="73">
        <f t="shared" si="1174"/>
        <v>0.12966064738136993</v>
      </c>
      <c r="CL124" s="73">
        <f t="shared" si="1175"/>
        <v>7.4195938462436085E-3</v>
      </c>
      <c r="CM124" s="73">
        <f t="shared" si="1176"/>
        <v>213.46916418391797</v>
      </c>
      <c r="CN124" s="73">
        <f t="shared" si="1177"/>
        <v>299.68685699076246</v>
      </c>
      <c r="CO124" s="73">
        <f t="shared" si="1178"/>
        <v>64.084553712736721</v>
      </c>
      <c r="CP124" s="73">
        <f t="shared" si="1179"/>
        <v>6.6160493432169503</v>
      </c>
      <c r="CQ124" s="73">
        <f t="shared" si="1180"/>
        <v>1.2470973563110965</v>
      </c>
      <c r="CR124" s="73">
        <f t="shared" si="1181"/>
        <v>19.028477407936283</v>
      </c>
      <c r="CS124" s="73">
        <f t="shared" si="1182"/>
        <v>3.8494449094915564</v>
      </c>
      <c r="CT124" s="73">
        <f t="shared" si="1183"/>
        <v>22.419816441732721</v>
      </c>
      <c r="CU124" s="73">
        <f t="shared" si="1184"/>
        <v>3.4947970826199004</v>
      </c>
      <c r="CV124" s="73">
        <f t="shared" si="1185"/>
        <v>0.20578234683181859</v>
      </c>
      <c r="CW124" s="73">
        <f t="shared" si="1186"/>
        <v>0.15022618641075389</v>
      </c>
      <c r="CX124" s="73">
        <f t="shared" si="1187"/>
        <v>0</v>
      </c>
      <c r="CY124" s="73">
        <f t="shared" si="1188"/>
        <v>0</v>
      </c>
      <c r="CZ124" s="190"/>
      <c r="DA124" s="66">
        <v>2014</v>
      </c>
      <c r="DB124" s="218">
        <f t="shared" si="1046"/>
        <v>1413.9231654907401</v>
      </c>
      <c r="DC124" s="218">
        <f t="shared" si="1047"/>
        <v>6282.7728790733081</v>
      </c>
      <c r="DD124" s="73">
        <f t="shared" si="1048"/>
        <v>1884.87196443845</v>
      </c>
      <c r="DE124" s="73">
        <f t="shared" si="1049"/>
        <v>1089.9308267189913</v>
      </c>
      <c r="DF124" s="73">
        <f t="shared" si="1050"/>
        <v>1204.9297012067327</v>
      </c>
      <c r="DG124" s="73">
        <f t="shared" si="1051"/>
        <v>2862.3944006183096</v>
      </c>
      <c r="DH124" s="72">
        <f t="shared" si="1079"/>
        <v>0.39704364985972601</v>
      </c>
      <c r="DI124" s="72">
        <f t="shared" si="1080"/>
        <v>0.47494425628739922</v>
      </c>
      <c r="DJ124" s="73">
        <f>SUM(AV114:AV124,BB114:BB124,BI114:BI124)</f>
        <v>2305.2671209266919</v>
      </c>
      <c r="DK124" s="73">
        <f>SUM(AV120:AV124,BB120:BB124,BI120:BI124)</f>
        <v>2305.2671209266919</v>
      </c>
      <c r="DL124" s="190"/>
    </row>
    <row r="125" spans="1:120" x14ac:dyDescent="0.25">
      <c r="A125" s="190"/>
      <c r="B125" s="188">
        <v>2009</v>
      </c>
      <c r="C125" s="61" t="s">
        <v>328</v>
      </c>
      <c r="D125" s="169">
        <v>0</v>
      </c>
      <c r="E125" s="169">
        <v>0</v>
      </c>
      <c r="F125" s="169">
        <v>0</v>
      </c>
      <c r="G125" s="169">
        <v>0</v>
      </c>
      <c r="H125" s="169">
        <v>0</v>
      </c>
      <c r="I125" s="169">
        <v>0</v>
      </c>
      <c r="J125" s="169">
        <v>0</v>
      </c>
      <c r="K125" s="169">
        <v>0</v>
      </c>
      <c r="L125" s="169">
        <v>0</v>
      </c>
      <c r="M125" s="169">
        <v>0</v>
      </c>
      <c r="N125" s="169">
        <v>0</v>
      </c>
      <c r="O125" s="172">
        <f>pAIDS_InCare_2009</f>
        <v>0.12310001975146179</v>
      </c>
      <c r="P125" s="172">
        <f>pAIDS_InCare_AIDS_ART1ear_2009</f>
        <v>0.43290702569058864</v>
      </c>
      <c r="Q125" s="169">
        <v>0</v>
      </c>
      <c r="R125" s="169">
        <v>0</v>
      </c>
      <c r="S125" s="170">
        <f>pAIDS_InCare_AIDS_LTFU_2004_2012</f>
        <v>5.8805476905872532E-2</v>
      </c>
      <c r="T125" s="170">
        <f>pAIDS_InCare_AIDS_Dead_2004_2012</f>
        <v>0.385187477652077</v>
      </c>
      <c r="U125" s="61">
        <f t="shared" si="1052"/>
        <v>1</v>
      </c>
      <c r="V125" s="190"/>
      <c r="W125" s="66">
        <v>11</v>
      </c>
      <c r="X125" s="66">
        <v>2015</v>
      </c>
      <c r="Y125" s="70">
        <f t="shared" si="1189"/>
        <v>6.4796165047057069E-2</v>
      </c>
      <c r="Z125" s="70">
        <f t="shared" si="1137"/>
        <v>2.1843525905788905E-2</v>
      </c>
      <c r="AA125" s="70">
        <f t="shared" si="1138"/>
        <v>3.8601644398450465E-2</v>
      </c>
      <c r="AB125" s="70">
        <f t="shared" si="1139"/>
        <v>3.2148579620661236E-3</v>
      </c>
      <c r="AC125" s="70">
        <f t="shared" si="1140"/>
        <v>6.708755215141908E-2</v>
      </c>
      <c r="AD125" s="70">
        <f t="shared" si="1141"/>
        <v>3.9104686877750108E-2</v>
      </c>
      <c r="AE125" s="70">
        <f t="shared" si="1142"/>
        <v>9.6650545571623628E-2</v>
      </c>
      <c r="AF125" s="70">
        <f t="shared" si="1143"/>
        <v>2.1244711162360472E-2</v>
      </c>
      <c r="AG125" s="70">
        <f t="shared" si="1144"/>
        <v>3.5796102264297872E-2</v>
      </c>
      <c r="AH125" s="70">
        <f t="shared" si="1145"/>
        <v>5.7542492344118523E-3</v>
      </c>
      <c r="AI125" s="70">
        <f t="shared" si="1146"/>
        <v>3.2643231150590313E-2</v>
      </c>
      <c r="AJ125" s="70">
        <f t="shared" si="1147"/>
        <v>5.7361820503332731E-2</v>
      </c>
      <c r="AK125" s="70">
        <f t="shared" si="1148"/>
        <v>4.41790506890644E-2</v>
      </c>
      <c r="AL125" s="70">
        <f t="shared" si="1149"/>
        <v>0.10740151531405685</v>
      </c>
      <c r="AM125" s="70">
        <f t="shared" si="1150"/>
        <v>1.1211548973805325E-2</v>
      </c>
      <c r="AN125" s="70">
        <f t="shared" si="1151"/>
        <v>1.9010456963328808E-2</v>
      </c>
      <c r="AO125" s="70">
        <f t="shared" si="1152"/>
        <v>6.5670717779598112E-2</v>
      </c>
      <c r="AP125" s="190"/>
      <c r="AQ125" s="66">
        <v>11</v>
      </c>
      <c r="AR125" s="66">
        <v>2015</v>
      </c>
      <c r="AS125" s="215">
        <f t="shared" si="1029"/>
        <v>556.4720572707281</v>
      </c>
      <c r="AT125" s="215">
        <f t="shared" si="1030"/>
        <v>187.59307421995138</v>
      </c>
      <c r="AU125" s="215">
        <f t="shared" si="1031"/>
        <v>331.51246615966858</v>
      </c>
      <c r="AV125" s="215">
        <f t="shared" si="1032"/>
        <v>27.609328772542355</v>
      </c>
      <c r="AW125" s="215">
        <f t="shared" si="1033"/>
        <v>576.15058137847313</v>
      </c>
      <c r="AX125" s="215">
        <f t="shared" si="1034"/>
        <v>335.83261509359306</v>
      </c>
      <c r="AY125" s="215">
        <f t="shared" si="1035"/>
        <v>830.03875139092668</v>
      </c>
      <c r="AZ125" s="215">
        <f t="shared" si="1036"/>
        <v>182.45042925079824</v>
      </c>
      <c r="BA125" s="215">
        <f t="shared" si="1037"/>
        <v>307.41835808988071</v>
      </c>
      <c r="BB125" s="215">
        <f t="shared" si="1038"/>
        <v>49.417722595098368</v>
      </c>
      <c r="BC125" s="215">
        <f t="shared" si="1039"/>
        <v>280.34137485051565</v>
      </c>
      <c r="BD125" s="215">
        <f t="shared" si="1040"/>
        <v>492.62560895544169</v>
      </c>
      <c r="BE125" s="215">
        <f t="shared" si="1041"/>
        <v>379.41145447971269</v>
      </c>
      <c r="BF125" s="215">
        <f t="shared" si="1042"/>
        <v>922.36850957773288</v>
      </c>
      <c r="BG125" s="215">
        <f t="shared" si="1043"/>
        <v>96.285231048999094</v>
      </c>
      <c r="BH125" s="215">
        <f t="shared" si="1044"/>
        <v>163.26256481934635</v>
      </c>
      <c r="BI125" s="215">
        <f t="shared" si="1045"/>
        <v>563.98275111989983</v>
      </c>
      <c r="BJ125" s="194"/>
      <c r="BK125" s="66">
        <v>11</v>
      </c>
      <c r="BL125" s="66">
        <v>2015</v>
      </c>
      <c r="BM125" s="215">
        <f t="shared" si="1153"/>
        <v>172.27649593787515</v>
      </c>
      <c r="BN125" s="219">
        <f t="shared" si="1154"/>
        <v>119.78545257905799</v>
      </c>
      <c r="BO125" s="219">
        <f t="shared" si="1155"/>
        <v>13.197641504218209</v>
      </c>
      <c r="BP125" s="219">
        <f t="shared" si="1156"/>
        <v>2.1587680687293935</v>
      </c>
      <c r="BQ125" s="219">
        <f t="shared" si="1157"/>
        <v>46.05228894851993</v>
      </c>
      <c r="BR125" s="220">
        <f t="shared" si="1158"/>
        <v>29.796465731833266</v>
      </c>
      <c r="BS125" s="219">
        <f t="shared" si="1159"/>
        <v>60.322657244484702</v>
      </c>
      <c r="BT125" s="219">
        <f t="shared" si="1160"/>
        <v>16.354013712194647</v>
      </c>
      <c r="BU125" s="219">
        <f t="shared" si="1161"/>
        <v>6.8416574114267474</v>
      </c>
      <c r="BV125" s="219">
        <f t="shared" si="1162"/>
        <v>2.2897831000479543</v>
      </c>
      <c r="BW125" s="219">
        <f t="shared" si="1163"/>
        <v>1.3508454990198313</v>
      </c>
      <c r="BX125" s="220">
        <f t="shared" si="1164"/>
        <v>0.25485317181930672</v>
      </c>
      <c r="BY125" s="195"/>
      <c r="BZ125" s="192">
        <v>11</v>
      </c>
      <c r="CA125" s="66">
        <v>2015</v>
      </c>
      <c r="CB125" s="218">
        <f t="shared" si="1165"/>
        <v>15.967349953852533</v>
      </c>
      <c r="CC125" s="218">
        <f t="shared" si="1166"/>
        <v>4.7743073162669383</v>
      </c>
      <c r="CD125" s="73">
        <f t="shared" si="1167"/>
        <v>6.8676715024228852</v>
      </c>
      <c r="CE125" s="73">
        <f t="shared" si="1168"/>
        <v>23.531457143788042</v>
      </c>
      <c r="CF125" s="73">
        <f t="shared" si="1169"/>
        <v>12.572727378202861</v>
      </c>
      <c r="CG125" s="73">
        <f t="shared" si="1170"/>
        <v>3.4043370356338074</v>
      </c>
      <c r="CH125" s="73">
        <f t="shared" si="1171"/>
        <v>0.61581483614575572</v>
      </c>
      <c r="CI125" s="73">
        <f t="shared" si="1172"/>
        <v>5.9212952127197305</v>
      </c>
      <c r="CJ125" s="73">
        <f t="shared" si="1173"/>
        <v>3.0976517854284444</v>
      </c>
      <c r="CK125" s="73">
        <f t="shared" si="1174"/>
        <v>0.24594836181014343</v>
      </c>
      <c r="CL125" s="73">
        <f t="shared" si="1175"/>
        <v>2.8490841369581237E-2</v>
      </c>
      <c r="CM125" s="73">
        <f t="shared" si="1176"/>
        <v>161.75652297964956</v>
      </c>
      <c r="CN125" s="73">
        <f t="shared" si="1177"/>
        <v>251.78032433299552</v>
      </c>
      <c r="CO125" s="73">
        <f t="shared" si="1178"/>
        <v>66.106601525187003</v>
      </c>
      <c r="CP125" s="73">
        <f t="shared" si="1179"/>
        <v>15.334061451913797</v>
      </c>
      <c r="CQ125" s="73">
        <f t="shared" si="1180"/>
        <v>4.4560174296842874</v>
      </c>
      <c r="CR125" s="73">
        <f t="shared" si="1181"/>
        <v>21.542761619756984</v>
      </c>
      <c r="CS125" s="73">
        <f t="shared" si="1182"/>
        <v>8.7614532140101442</v>
      </c>
      <c r="CT125" s="73">
        <f t="shared" si="1183"/>
        <v>26.270275425227716</v>
      </c>
      <c r="CU125" s="73">
        <f t="shared" si="1184"/>
        <v>6.1502394199819195</v>
      </c>
      <c r="CV125" s="73">
        <f t="shared" si="1185"/>
        <v>1.168510674054247</v>
      </c>
      <c r="CW125" s="73">
        <f t="shared" si="1186"/>
        <v>0.48058682026761462</v>
      </c>
      <c r="CX125" s="73">
        <f t="shared" si="1187"/>
        <v>0.14914273744966841</v>
      </c>
      <c r="CY125" s="73">
        <f t="shared" si="1188"/>
        <v>2.6253489721325601E-2</v>
      </c>
      <c r="CZ125" s="190"/>
      <c r="DA125" s="66">
        <v>2015</v>
      </c>
      <c r="DB125" s="218">
        <f t="shared" si="1046"/>
        <v>1016.0512982689861</v>
      </c>
      <c r="DC125" s="218">
        <f t="shared" si="1047"/>
        <v>5641.7630765857684</v>
      </c>
      <c r="DD125" s="73">
        <f t="shared" si="1048"/>
        <v>2410.5543757481692</v>
      </c>
      <c r="DE125" s="73">
        <f t="shared" si="1049"/>
        <v>1398.0651951064447</v>
      </c>
      <c r="DF125" s="73">
        <f t="shared" si="1050"/>
        <v>936.22954862530378</v>
      </c>
      <c r="DG125" s="73">
        <f t="shared" si="1051"/>
        <v>2155.6311031872506</v>
      </c>
      <c r="DH125" s="72">
        <f t="shared" si="1079"/>
        <v>0.5279142485272359</v>
      </c>
      <c r="DI125" s="72">
        <f t="shared" si="1080"/>
        <v>0.598924021424737</v>
      </c>
      <c r="DJ125" s="73">
        <f>SUM(AV114:AV125,BB114:BB125,BI114:BI125)</f>
        <v>2946.2769234142324</v>
      </c>
      <c r="DK125" s="73">
        <f>SUM(AV120:AV125,BB120:BB125,BI120:BI125)</f>
        <v>2946.2769234142324</v>
      </c>
      <c r="DL125" s="190"/>
    </row>
    <row r="126" spans="1:120" x14ac:dyDescent="0.25">
      <c r="A126" s="190"/>
      <c r="B126" s="188">
        <v>2009</v>
      </c>
      <c r="C126" s="61" t="s">
        <v>329</v>
      </c>
      <c r="D126" s="169">
        <v>0</v>
      </c>
      <c r="E126" s="169">
        <v>0</v>
      </c>
      <c r="F126" s="169">
        <v>0</v>
      </c>
      <c r="G126" s="169">
        <v>0</v>
      </c>
      <c r="H126" s="169">
        <v>0</v>
      </c>
      <c r="I126" s="169">
        <v>0</v>
      </c>
      <c r="J126" s="169">
        <v>0</v>
      </c>
      <c r="K126" s="169">
        <v>0</v>
      </c>
      <c r="L126" s="169">
        <v>0</v>
      </c>
      <c r="M126" s="169">
        <v>0</v>
      </c>
      <c r="N126" s="169">
        <v>0</v>
      </c>
      <c r="O126" s="169">
        <v>0</v>
      </c>
      <c r="P126" s="169">
        <v>0</v>
      </c>
      <c r="Q126" s="172">
        <f>pAIDS_ART1ear_AIDS_ART1late_2004_2012</f>
        <v>0.82048978572958342</v>
      </c>
      <c r="R126" s="169">
        <v>0</v>
      </c>
      <c r="S126" s="170">
        <f>pAIDS_ART1ear_AIDS_LTFU_2004_2012</f>
        <v>3.1705300812410298E-2</v>
      </c>
      <c r="T126" s="170">
        <f>pAIDS_ART1ear_AIDS_Dead_2004_2012</f>
        <v>0.14780491345800628</v>
      </c>
      <c r="U126" s="61">
        <f t="shared" si="1052"/>
        <v>1</v>
      </c>
      <c r="V126" s="190"/>
      <c r="W126" s="66">
        <v>12</v>
      </c>
      <c r="X126" s="66">
        <v>2016</v>
      </c>
      <c r="Y126" s="70">
        <f t="shared" si="1189"/>
        <v>4.1065223117054975E-2</v>
      </c>
      <c r="Z126" s="70">
        <f t="shared" si="1137"/>
        <v>1.4367251330038267E-2</v>
      </c>
      <c r="AA126" s="70">
        <f t="shared" si="1138"/>
        <v>3.1812438166055265E-2</v>
      </c>
      <c r="AB126" s="70">
        <f t="shared" si="1139"/>
        <v>2.2530118832449486E-3</v>
      </c>
      <c r="AC126" s="70">
        <f t="shared" si="1140"/>
        <v>4.4806027409578501E-2</v>
      </c>
      <c r="AD126" s="70">
        <f t="shared" si="1141"/>
        <v>2.6497177148528745E-2</v>
      </c>
      <c r="AE126" s="70">
        <f t="shared" si="1142"/>
        <v>0.11064053355336943</v>
      </c>
      <c r="AF126" s="70">
        <f t="shared" si="1143"/>
        <v>2.7815060085060159E-2</v>
      </c>
      <c r="AG126" s="70">
        <f t="shared" si="1144"/>
        <v>3.0814906322603235E-2</v>
      </c>
      <c r="AH126" s="70">
        <f t="shared" si="1145"/>
        <v>4.4887790842117869E-3</v>
      </c>
      <c r="AI126" s="70">
        <f t="shared" si="1146"/>
        <v>2.2380525055847634E-2</v>
      </c>
      <c r="AJ126" s="70">
        <f t="shared" si="1147"/>
        <v>4.0718872740305043E-2</v>
      </c>
      <c r="AK126" s="70">
        <f t="shared" si="1148"/>
        <v>3.4028748163905977E-2</v>
      </c>
      <c r="AL126" s="70">
        <f t="shared" si="1149"/>
        <v>0.13643831005198551</v>
      </c>
      <c r="AM126" s="70">
        <f t="shared" si="1150"/>
        <v>1.7549533981753414E-2</v>
      </c>
      <c r="AN126" s="70">
        <f t="shared" si="1151"/>
        <v>1.7604211043558582E-2</v>
      </c>
      <c r="AO126" s="70">
        <f t="shared" si="1152"/>
        <v>5.3651947835824533E-2</v>
      </c>
      <c r="AP126" s="190"/>
      <c r="AQ126" s="66">
        <v>12</v>
      </c>
      <c r="AR126" s="66">
        <v>2016</v>
      </c>
      <c r="AS126" s="215">
        <f t="shared" si="1029"/>
        <v>352.66977873819286</v>
      </c>
      <c r="AT126" s="215">
        <f t="shared" si="1030"/>
        <v>123.38652911242185</v>
      </c>
      <c r="AU126" s="215">
        <f t="shared" si="1031"/>
        <v>273.20649146760928</v>
      </c>
      <c r="AV126" s="215">
        <f t="shared" si="1032"/>
        <v>19.348956173782952</v>
      </c>
      <c r="AW126" s="215">
        <f t="shared" si="1033"/>
        <v>384.79595563455661</v>
      </c>
      <c r="AX126" s="215">
        <f t="shared" si="1034"/>
        <v>227.55881723865082</v>
      </c>
      <c r="AY126" s="215">
        <f t="shared" si="1035"/>
        <v>950.18532777767894</v>
      </c>
      <c r="AZ126" s="215">
        <f t="shared" si="1036"/>
        <v>238.87684861290006</v>
      </c>
      <c r="BA126" s="215">
        <f t="shared" si="1037"/>
        <v>264.63964809476954</v>
      </c>
      <c r="BB126" s="215">
        <f t="shared" si="1038"/>
        <v>38.549814326374197</v>
      </c>
      <c r="BC126" s="215">
        <f t="shared" si="1039"/>
        <v>192.20484440062174</v>
      </c>
      <c r="BD126" s="215">
        <f t="shared" si="1040"/>
        <v>349.69530784864935</v>
      </c>
      <c r="BE126" s="215">
        <f t="shared" si="1041"/>
        <v>292.24025038155111</v>
      </c>
      <c r="BF126" s="215">
        <f t="shared" si="1042"/>
        <v>1171.7376642588538</v>
      </c>
      <c r="BG126" s="215">
        <f t="shared" si="1043"/>
        <v>150.71609981665759</v>
      </c>
      <c r="BH126" s="215">
        <f t="shared" si="1044"/>
        <v>151.18566861052287</v>
      </c>
      <c r="BI126" s="215">
        <f t="shared" si="1045"/>
        <v>460.76507409197455</v>
      </c>
      <c r="BJ126" s="194"/>
      <c r="BK126" s="66">
        <v>12</v>
      </c>
      <c r="BL126" s="66">
        <v>2016</v>
      </c>
      <c r="BM126" s="215">
        <f t="shared" si="1153"/>
        <v>129.92761241447016</v>
      </c>
      <c r="BN126" s="219">
        <f t="shared" si="1154"/>
        <v>114.0284176234413</v>
      </c>
      <c r="BO126" s="219">
        <f t="shared" si="1155"/>
        <v>17.198858339457363</v>
      </c>
      <c r="BP126" s="219">
        <f t="shared" si="1156"/>
        <v>3.4847597174006641</v>
      </c>
      <c r="BQ126" s="219">
        <f t="shared" si="1157"/>
        <v>35.650592264519354</v>
      </c>
      <c r="BR126" s="220">
        <f t="shared" si="1158"/>
        <v>33.117423801704916</v>
      </c>
      <c r="BS126" s="219">
        <f t="shared" si="1159"/>
        <v>50.16428284841092</v>
      </c>
      <c r="BT126" s="219">
        <f t="shared" si="1160"/>
        <v>14.40208065518593</v>
      </c>
      <c r="BU126" s="219">
        <f t="shared" si="1161"/>
        <v>10.952039911420666</v>
      </c>
      <c r="BV126" s="219">
        <f t="shared" si="1162"/>
        <v>3.504703465526859</v>
      </c>
      <c r="BW126" s="219">
        <f t="shared" si="1163"/>
        <v>2.8386389118876227</v>
      </c>
      <c r="BX126" s="220">
        <f t="shared" si="1164"/>
        <v>0.55590675186660732</v>
      </c>
      <c r="BY126" s="195"/>
      <c r="BZ126" s="192">
        <v>12</v>
      </c>
      <c r="CA126" s="66">
        <v>2016</v>
      </c>
      <c r="CB126" s="218">
        <f t="shared" si="1165"/>
        <v>10.11946907609207</v>
      </c>
      <c r="CC126" s="218">
        <f t="shared" si="1166"/>
        <v>3.2009181770960398</v>
      </c>
      <c r="CD126" s="73">
        <f t="shared" si="1167"/>
        <v>6.028568920594843</v>
      </c>
      <c r="CE126" s="73">
        <f t="shared" si="1168"/>
        <v>16.067997014543501</v>
      </c>
      <c r="CF126" s="73">
        <f t="shared" si="1169"/>
        <v>8.7880398033219489</v>
      </c>
      <c r="CG126" s="73">
        <f t="shared" si="1170"/>
        <v>4.1976464441464341</v>
      </c>
      <c r="CH126" s="73">
        <f t="shared" si="1171"/>
        <v>0.92268269920436818</v>
      </c>
      <c r="CI126" s="73">
        <f t="shared" si="1172"/>
        <v>4.8045394934478152</v>
      </c>
      <c r="CJ126" s="73">
        <f t="shared" si="1173"/>
        <v>3.3406410695986142</v>
      </c>
      <c r="CK126" s="73">
        <f t="shared" si="1174"/>
        <v>0.36806291817224024</v>
      </c>
      <c r="CL126" s="73">
        <f t="shared" si="1175"/>
        <v>6.0204883939273174E-2</v>
      </c>
      <c r="CM126" s="73">
        <f t="shared" si="1176"/>
        <v>115.08426613222089</v>
      </c>
      <c r="CN126" s="73">
        <f t="shared" si="1177"/>
        <v>189.75321574036502</v>
      </c>
      <c r="CO126" s="73">
        <f t="shared" si="1178"/>
        <v>56.078877194350227</v>
      </c>
      <c r="CP126" s="73">
        <f t="shared" si="1179"/>
        <v>23.755782196383475</v>
      </c>
      <c r="CQ126" s="73">
        <f t="shared" si="1180"/>
        <v>9.0712437571887818</v>
      </c>
      <c r="CR126" s="73">
        <f t="shared" si="1181"/>
        <v>18.905143345948936</v>
      </c>
      <c r="CS126" s="73">
        <f t="shared" si="1182"/>
        <v>12.231888332253401</v>
      </c>
      <c r="CT126" s="73">
        <f t="shared" si="1183"/>
        <v>24.763339852452216</v>
      </c>
      <c r="CU126" s="73">
        <f t="shared" si="1184"/>
        <v>6.7135636592628227</v>
      </c>
      <c r="CV126" s="73">
        <f t="shared" si="1185"/>
        <v>2.8086012018096125</v>
      </c>
      <c r="CW126" s="73">
        <f t="shared" si="1186"/>
        <v>0.93998971008647692</v>
      </c>
      <c r="CX126" s="73">
        <f t="shared" si="1187"/>
        <v>0.55454198651771025</v>
      </c>
      <c r="CY126" s="73">
        <f t="shared" si="1188"/>
        <v>0.10462098313505422</v>
      </c>
      <c r="CZ126" s="190"/>
      <c r="DA126" s="66">
        <v>2016</v>
      </c>
      <c r="DB126" s="218">
        <f t="shared" si="1046"/>
        <v>700.64065419972201</v>
      </c>
      <c r="DC126" s="218">
        <f t="shared" si="1047"/>
        <v>5123.0992319936367</v>
      </c>
      <c r="DD126" s="73">
        <f t="shared" si="1048"/>
        <v>2803.7561908476414</v>
      </c>
      <c r="DE126" s="73">
        <f t="shared" si="1049"/>
        <v>1614.6940144570624</v>
      </c>
      <c r="DF126" s="73">
        <f t="shared" si="1050"/>
        <v>693.0858208597939</v>
      </c>
      <c r="DG126" s="73">
        <f t="shared" si="1051"/>
        <v>1570.0802418277708</v>
      </c>
      <c r="DH126" s="72">
        <f t="shared" si="1079"/>
        <v>0.6410290448681969</v>
      </c>
      <c r="DI126" s="72">
        <f t="shared" si="1080"/>
        <v>0.69967420190902485</v>
      </c>
      <c r="DJ126" s="73">
        <f>SUM(AV114:AV126,BB114:BB126,BI114:BI126)</f>
        <v>3464.9407680063641</v>
      </c>
      <c r="DK126" s="73">
        <f>SUM(AV120:AV126,BB120:BB126,BI120:BI126)</f>
        <v>3464.9407680063641</v>
      </c>
      <c r="DL126" s="190"/>
    </row>
    <row r="127" spans="1:120" x14ac:dyDescent="0.25">
      <c r="A127" s="190"/>
      <c r="B127" s="188">
        <v>2009</v>
      </c>
      <c r="C127" s="61" t="s">
        <v>330</v>
      </c>
      <c r="D127" s="169">
        <v>0</v>
      </c>
      <c r="E127" s="169">
        <v>0</v>
      </c>
      <c r="F127" s="169">
        <v>0</v>
      </c>
      <c r="G127" s="169">
        <v>0</v>
      </c>
      <c r="H127" s="169">
        <v>0</v>
      </c>
      <c r="I127" s="169">
        <v>0</v>
      </c>
      <c r="J127" s="169">
        <v>0</v>
      </c>
      <c r="K127" s="169">
        <v>0</v>
      </c>
      <c r="L127" s="169">
        <v>0</v>
      </c>
      <c r="M127" s="169">
        <v>0</v>
      </c>
      <c r="N127" s="169">
        <v>0</v>
      </c>
      <c r="O127" s="169">
        <v>0</v>
      </c>
      <c r="P127" s="169">
        <v>0</v>
      </c>
      <c r="Q127" s="172">
        <f>pAIDS_ART1late_2004_2012</f>
        <v>0.93285322767942069</v>
      </c>
      <c r="R127" s="170">
        <f>pAIDS_ART1late_AIDS_ART2_2004_2012</f>
        <v>3.0593921587134254E-2</v>
      </c>
      <c r="S127" s="170">
        <f>pAIDS_ART1late_AIDS_LTFU_2004_2012</f>
        <v>1.0797654247759469E-2</v>
      </c>
      <c r="T127" s="170">
        <f>pAIDS_ART1late_AIDS_Dead_2004_2012</f>
        <v>2.5755196485685583E-2</v>
      </c>
      <c r="U127" s="61">
        <f t="shared" si="1052"/>
        <v>1</v>
      </c>
      <c r="V127" s="190"/>
      <c r="W127" s="66">
        <v>13</v>
      </c>
      <c r="X127" s="66">
        <v>2017</v>
      </c>
      <c r="Y127" s="70">
        <f t="shared" si="1189"/>
        <v>2.6025499324363141E-2</v>
      </c>
      <c r="Z127" s="70">
        <f t="shared" si="1137"/>
        <v>9.3348436493219857E-3</v>
      </c>
      <c r="AA127" s="70">
        <f t="shared" si="1138"/>
        <v>2.5102272042722956E-2</v>
      </c>
      <c r="AB127" s="70">
        <f t="shared" si="1139"/>
        <v>1.5704332608336138E-3</v>
      </c>
      <c r="AC127" s="70">
        <f t="shared" si="1140"/>
        <v>2.9482688499825917E-2</v>
      </c>
      <c r="AD127" s="70">
        <f t="shared" si="1141"/>
        <v>1.7592969099059799E-2</v>
      </c>
      <c r="AE127" s="70">
        <f t="shared" si="1142"/>
        <v>0.12063733561933665</v>
      </c>
      <c r="AF127" s="70">
        <f t="shared" si="1143"/>
        <v>3.3523577354685495E-2</v>
      </c>
      <c r="AG127" s="70">
        <f t="shared" si="1144"/>
        <v>2.5467379229974899E-2</v>
      </c>
      <c r="AH127" s="70">
        <f t="shared" si="1145"/>
        <v>3.5025265224031439E-3</v>
      </c>
      <c r="AI127" s="70">
        <f t="shared" si="1146"/>
        <v>1.4987350972137069E-2</v>
      </c>
      <c r="AJ127" s="70">
        <f t="shared" si="1147"/>
        <v>2.7877042345714864E-2</v>
      </c>
      <c r="AK127" s="70">
        <f t="shared" si="1148"/>
        <v>2.4874140144103787E-2</v>
      </c>
      <c r="AL127" s="70">
        <f t="shared" si="1149"/>
        <v>0.1551971582007694</v>
      </c>
      <c r="AM127" s="70">
        <f t="shared" si="1150"/>
        <v>2.3678129175401186E-2</v>
      </c>
      <c r="AN127" s="70">
        <f t="shared" si="1151"/>
        <v>1.5389757445982512E-2</v>
      </c>
      <c r="AO127" s="70">
        <f t="shared" si="1152"/>
        <v>4.2295715283008309E-2</v>
      </c>
      <c r="AP127" s="190"/>
      <c r="AQ127" s="66">
        <v>13</v>
      </c>
      <c r="AR127" s="66">
        <v>2017</v>
      </c>
      <c r="AS127" s="215">
        <f t="shared" si="1029"/>
        <v>223.50802921760365</v>
      </c>
      <c r="AT127" s="215">
        <f t="shared" si="1030"/>
        <v>80.168010654123194</v>
      </c>
      <c r="AU127" s="215">
        <f t="shared" si="1031"/>
        <v>215.57931639378648</v>
      </c>
      <c r="AV127" s="215">
        <f t="shared" si="1032"/>
        <v>13.48694366136951</v>
      </c>
      <c r="AW127" s="215">
        <f t="shared" si="1033"/>
        <v>253.19850814404498</v>
      </c>
      <c r="AX127" s="215">
        <f t="shared" si="1034"/>
        <v>151.08912234148951</v>
      </c>
      <c r="AY127" s="215">
        <f t="shared" si="1035"/>
        <v>1036.038263792288</v>
      </c>
      <c r="AZ127" s="215">
        <f t="shared" si="1036"/>
        <v>287.90182326513326</v>
      </c>
      <c r="BA127" s="215">
        <f t="shared" si="1037"/>
        <v>218.71487152219365</v>
      </c>
      <c r="BB127" s="215">
        <f t="shared" si="1038"/>
        <v>30.079837875459098</v>
      </c>
      <c r="BC127" s="215">
        <f t="shared" si="1039"/>
        <v>128.71196964275205</v>
      </c>
      <c r="BD127" s="215">
        <f t="shared" si="1040"/>
        <v>239.4091547466931</v>
      </c>
      <c r="BE127" s="215">
        <f t="shared" si="1041"/>
        <v>213.6201105231691</v>
      </c>
      <c r="BF127" s="215">
        <f t="shared" si="1042"/>
        <v>1332.8394025145358</v>
      </c>
      <c r="BG127" s="215">
        <f t="shared" si="1043"/>
        <v>203.34872048351241</v>
      </c>
      <c r="BH127" s="215">
        <f t="shared" si="1044"/>
        <v>132.16785253639566</v>
      </c>
      <c r="BI127" s="215">
        <f t="shared" si="1045"/>
        <v>363.23729467908669</v>
      </c>
      <c r="BJ127" s="194"/>
      <c r="BK127" s="66">
        <v>13</v>
      </c>
      <c r="BL127" s="66">
        <v>2017</v>
      </c>
      <c r="BM127" s="215">
        <f t="shared" si="1153"/>
        <v>93.295190572097795</v>
      </c>
      <c r="BN127" s="219">
        <f t="shared" si="1154"/>
        <v>100.07345654652704</v>
      </c>
      <c r="BO127" s="219">
        <f t="shared" si="1155"/>
        <v>20.521428299245255</v>
      </c>
      <c r="BP127" s="219">
        <f t="shared" si="1156"/>
        <v>4.8247961043235623</v>
      </c>
      <c r="BQ127" s="219">
        <f t="shared" si="1157"/>
        <v>25.736374858141879</v>
      </c>
      <c r="BR127" s="220">
        <f t="shared" si="1158"/>
        <v>32.215352090400643</v>
      </c>
      <c r="BS127" s="219">
        <f t="shared" si="1159"/>
        <v>38.510497475609156</v>
      </c>
      <c r="BT127" s="219">
        <f t="shared" si="1160"/>
        <v>11.355094688682279</v>
      </c>
      <c r="BU127" s="219">
        <f t="shared" si="1161"/>
        <v>14.240997744410459</v>
      </c>
      <c r="BV127" s="219">
        <f t="shared" si="1162"/>
        <v>4.6427953227183902</v>
      </c>
      <c r="BW127" s="219">
        <f t="shared" si="1163"/>
        <v>4.5484092134009995</v>
      </c>
      <c r="BX127" s="220">
        <f t="shared" si="1164"/>
        <v>0.91833114303184948</v>
      </c>
      <c r="BY127" s="195"/>
      <c r="BZ127" s="192">
        <v>13</v>
      </c>
      <c r="CA127" s="66">
        <v>2017</v>
      </c>
      <c r="CB127" s="218">
        <f t="shared" si="1165"/>
        <v>6.4133155894961869</v>
      </c>
      <c r="CC127" s="218">
        <f t="shared" si="1166"/>
        <v>2.1053558906000167</v>
      </c>
      <c r="CD127" s="73">
        <f t="shared" si="1167"/>
        <v>4.9682721812733055</v>
      </c>
      <c r="CE127" s="73">
        <f t="shared" si="1168"/>
        <v>10.731396385215003</v>
      </c>
      <c r="CF127" s="73">
        <f t="shared" si="1169"/>
        <v>5.9547401104350923</v>
      </c>
      <c r="CG127" s="73">
        <f t="shared" si="1170"/>
        <v>4.8052480149177859</v>
      </c>
      <c r="CH127" s="73">
        <f t="shared" si="1171"/>
        <v>1.2080406517027669</v>
      </c>
      <c r="CI127" s="73">
        <f t="shared" si="1172"/>
        <v>3.6234910730934033</v>
      </c>
      <c r="CJ127" s="73">
        <f t="shared" si="1173"/>
        <v>3.1800857851482363</v>
      </c>
      <c r="CK127" s="73">
        <f t="shared" si="1174"/>
        <v>0.47965100337271466</v>
      </c>
      <c r="CL127" s="73">
        <f t="shared" si="1175"/>
        <v>9.7184851574094788E-2</v>
      </c>
      <c r="CM127" s="73">
        <f t="shared" si="1176"/>
        <v>78.902921399661437</v>
      </c>
      <c r="CN127" s="73">
        <f t="shared" si="1177"/>
        <v>134.69825357698781</v>
      </c>
      <c r="CO127" s="73">
        <f t="shared" si="1178"/>
        <v>43.194544916591248</v>
      </c>
      <c r="CP127" s="73">
        <f t="shared" si="1179"/>
        <v>30.178333772665063</v>
      </c>
      <c r="CQ127" s="73">
        <f t="shared" si="1180"/>
        <v>14.199295828390794</v>
      </c>
      <c r="CR127" s="73">
        <f t="shared" si="1181"/>
        <v>14.635093553810806</v>
      </c>
      <c r="CS127" s="73">
        <f t="shared" si="1182"/>
        <v>13.595190565221502</v>
      </c>
      <c r="CT127" s="73">
        <f t="shared" si="1183"/>
        <v>20.593177445665606</v>
      </c>
      <c r="CU127" s="73">
        <f t="shared" si="1184"/>
        <v>5.9122663711802055</v>
      </c>
      <c r="CV127" s="73">
        <f t="shared" si="1185"/>
        <v>4.495973798119234</v>
      </c>
      <c r="CW127" s="73">
        <f t="shared" si="1186"/>
        <v>1.4387324259798535</v>
      </c>
      <c r="CX127" s="73">
        <f t="shared" si="1187"/>
        <v>1.1653031100498372</v>
      </c>
      <c r="CY127" s="73">
        <f t="shared" si="1188"/>
        <v>0.22820791476330823</v>
      </c>
      <c r="CZ127" s="190"/>
      <c r="DA127" s="66">
        <v>2017</v>
      </c>
      <c r="DB127" s="218">
        <f t="shared" si="1046"/>
        <v>470.66628774230583</v>
      </c>
      <c r="DC127" s="218">
        <f t="shared" si="1047"/>
        <v>4716.2951557777224</v>
      </c>
      <c r="DD127" s="73">
        <f t="shared" si="1048"/>
        <v>3073.7483205786389</v>
      </c>
      <c r="DE127" s="73">
        <f t="shared" si="1049"/>
        <v>1749.8082335212173</v>
      </c>
      <c r="DF127" s="73">
        <f t="shared" si="1050"/>
        <v>500.28897692584087</v>
      </c>
      <c r="DG127" s="73">
        <f t="shared" si="1051"/>
        <v>1123.2914789335691</v>
      </c>
      <c r="DH127" s="72">
        <f t="shared" si="1079"/>
        <v>0.73236101333513182</v>
      </c>
      <c r="DI127" s="72">
        <f t="shared" si="1080"/>
        <v>0.77765894975424565</v>
      </c>
      <c r="DJ127" s="73">
        <f>SUM(AV114:AV127,BB114:BB127,BI114:BI127)</f>
        <v>3871.7448442222794</v>
      </c>
      <c r="DK127" s="73">
        <f>SUM(AV120:AV127,BB120:BB127,BI120:BI127)</f>
        <v>3871.7448442222794</v>
      </c>
      <c r="DL127" s="190"/>
    </row>
    <row r="128" spans="1:120" x14ac:dyDescent="0.25">
      <c r="A128" s="190"/>
      <c r="B128" s="188">
        <v>2009</v>
      </c>
      <c r="C128" s="61" t="s">
        <v>331</v>
      </c>
      <c r="D128" s="169">
        <v>0</v>
      </c>
      <c r="E128" s="169">
        <v>0</v>
      </c>
      <c r="F128" s="169">
        <v>0</v>
      </c>
      <c r="G128" s="169">
        <v>0</v>
      </c>
      <c r="H128" s="169">
        <v>0</v>
      </c>
      <c r="I128" s="169">
        <v>0</v>
      </c>
      <c r="J128" s="169">
        <v>0</v>
      </c>
      <c r="K128" s="169">
        <v>0</v>
      </c>
      <c r="L128" s="169">
        <v>0</v>
      </c>
      <c r="M128" s="169">
        <v>0</v>
      </c>
      <c r="N128" s="169">
        <v>0</v>
      </c>
      <c r="O128" s="169">
        <v>0</v>
      </c>
      <c r="P128" s="169">
        <v>0</v>
      </c>
      <c r="Q128" s="169">
        <v>0</v>
      </c>
      <c r="R128" s="172">
        <f>pAIDS_ART2_2004_2012</f>
        <v>0.87834172729587623</v>
      </c>
      <c r="S128" s="170">
        <f>pAIDS_ART2_AIDS_LTFU_2004_2012</f>
        <v>2.7446069457994882E-2</v>
      </c>
      <c r="T128" s="171">
        <f>pAIDS_ART2_AIDS_Dead_2004_2012</f>
        <v>9.4212203246128889E-2</v>
      </c>
      <c r="U128" s="61">
        <f t="shared" si="1052"/>
        <v>1</v>
      </c>
      <c r="V128" s="190"/>
      <c r="W128" s="66">
        <v>14</v>
      </c>
      <c r="X128" s="66">
        <v>2018</v>
      </c>
      <c r="Y128" s="70">
        <f t="shared" si="1189"/>
        <v>1.6493922683720252E-2</v>
      </c>
      <c r="Z128" s="70">
        <f t="shared" si="1137"/>
        <v>6.0165843106862226E-3</v>
      </c>
      <c r="AA128" s="70">
        <f t="shared" si="1138"/>
        <v>1.9193289579862979E-2</v>
      </c>
      <c r="AB128" s="70">
        <f t="shared" si="1139"/>
        <v>1.0890421036308527E-3</v>
      </c>
      <c r="AC128" s="70">
        <f t="shared" si="1140"/>
        <v>1.9200678610970398E-2</v>
      </c>
      <c r="AD128" s="70">
        <f t="shared" si="1141"/>
        <v>1.1521981388494302E-2</v>
      </c>
      <c r="AE128" s="70">
        <f t="shared" si="1142"/>
        <v>0.1272729387180575</v>
      </c>
      <c r="AF128" s="70">
        <f t="shared" si="1143"/>
        <v>3.8289530209440419E-2</v>
      </c>
      <c r="AG128" s="70">
        <f t="shared" si="1144"/>
        <v>2.0595695419228521E-2</v>
      </c>
      <c r="AH128" s="70">
        <f t="shared" si="1145"/>
        <v>2.7724661894651301E-3</v>
      </c>
      <c r="AI128" s="70">
        <f t="shared" si="1146"/>
        <v>9.8797952987752635E-3</v>
      </c>
      <c r="AJ128" s="70">
        <f t="shared" si="1147"/>
        <v>1.8646268206401223E-2</v>
      </c>
      <c r="AK128" s="70">
        <f t="shared" si="1148"/>
        <v>1.7671267110879327E-2</v>
      </c>
      <c r="AL128" s="70">
        <f t="shared" si="1149"/>
        <v>0.16518514787130475</v>
      </c>
      <c r="AM128" s="70">
        <f t="shared" si="1150"/>
        <v>2.9120619222298905E-2</v>
      </c>
      <c r="AN128" s="70">
        <f t="shared" si="1151"/>
        <v>1.3108355688792428E-2</v>
      </c>
      <c r="AO128" s="70">
        <f t="shared" si="1152"/>
        <v>3.3112560491391156E-2</v>
      </c>
      <c r="AP128" s="190"/>
      <c r="AQ128" s="66">
        <v>14</v>
      </c>
      <c r="AR128" s="66">
        <v>2018</v>
      </c>
      <c r="AS128" s="215">
        <f t="shared" si="1029"/>
        <v>141.65046776469688</v>
      </c>
      <c r="AT128" s="215">
        <f t="shared" si="1030"/>
        <v>51.670666723545715</v>
      </c>
      <c r="AU128" s="215">
        <f t="shared" si="1031"/>
        <v>164.83273864344648</v>
      </c>
      <c r="AV128" s="215">
        <f t="shared" si="1032"/>
        <v>9.3527371476659091</v>
      </c>
      <c r="AW128" s="215">
        <f t="shared" si="1033"/>
        <v>164.89619593815823</v>
      </c>
      <c r="AX128" s="215">
        <f t="shared" si="1034"/>
        <v>98.95123704364461</v>
      </c>
      <c r="AY128" s="215">
        <f t="shared" si="1035"/>
        <v>1093.0250886282267</v>
      </c>
      <c r="AZ128" s="215">
        <f t="shared" si="1036"/>
        <v>328.8320170198827</v>
      </c>
      <c r="BA128" s="215">
        <f t="shared" si="1037"/>
        <v>176.87665608815132</v>
      </c>
      <c r="BB128" s="215">
        <f t="shared" si="1038"/>
        <v>23.810050533774117</v>
      </c>
      <c r="BC128" s="215">
        <f t="shared" si="1039"/>
        <v>84.848077217693927</v>
      </c>
      <c r="BD128" s="215">
        <f t="shared" si="1040"/>
        <v>160.13489720730198</v>
      </c>
      <c r="BE128" s="215">
        <f t="shared" si="1041"/>
        <v>151.76154879891612</v>
      </c>
      <c r="BF128" s="215">
        <f t="shared" si="1042"/>
        <v>1418.6166573246803</v>
      </c>
      <c r="BG128" s="215">
        <f t="shared" si="1043"/>
        <v>250.08904270587192</v>
      </c>
      <c r="BH128" s="215">
        <f t="shared" si="1044"/>
        <v>112.57508298957694</v>
      </c>
      <c r="BI128" s="215">
        <f t="shared" si="1045"/>
        <v>284.37199400248693</v>
      </c>
      <c r="BJ128" s="194"/>
      <c r="BK128" s="66">
        <v>14</v>
      </c>
      <c r="BL128" s="66">
        <v>2018</v>
      </c>
      <c r="BM128" s="215">
        <f t="shared" si="1153"/>
        <v>64.744458459735611</v>
      </c>
      <c r="BN128" s="219">
        <f t="shared" si="1154"/>
        <v>82.98796893018573</v>
      </c>
      <c r="BO128" s="219">
        <f t="shared" si="1155"/>
        <v>23.080274053791328</v>
      </c>
      <c r="BP128" s="219">
        <f t="shared" si="1156"/>
        <v>6.0639546444386587</v>
      </c>
      <c r="BQ128" s="219">
        <f t="shared" si="1157"/>
        <v>17.812538201940562</v>
      </c>
      <c r="BR128" s="220">
        <f t="shared" si="1158"/>
        <v>28.729938285064353</v>
      </c>
      <c r="BS128" s="219">
        <f t="shared" si="1159"/>
        <v>28.013890663237678</v>
      </c>
      <c r="BT128" s="219">
        <f t="shared" si="1160"/>
        <v>8.4203467482207852</v>
      </c>
      <c r="BU128" s="219">
        <f t="shared" si="1161"/>
        <v>16.457697920718569</v>
      </c>
      <c r="BV128" s="219">
        <f t="shared" si="1162"/>
        <v>5.6066052709807801</v>
      </c>
      <c r="BW128" s="219">
        <f t="shared" si="1163"/>
        <v>6.2410302476168757</v>
      </c>
      <c r="BX128" s="220">
        <f t="shared" si="1164"/>
        <v>1.2930356517973156</v>
      </c>
      <c r="BY128" s="195"/>
      <c r="BZ128" s="192">
        <v>14</v>
      </c>
      <c r="CA128" s="66">
        <v>2018</v>
      </c>
      <c r="CB128" s="218">
        <f t="shared" si="1165"/>
        <v>4.064503437996434</v>
      </c>
      <c r="CC128" s="218">
        <f t="shared" si="1166"/>
        <v>1.3679142665125115</v>
      </c>
      <c r="CD128" s="73">
        <f t="shared" si="1167"/>
        <v>3.9203194431569632</v>
      </c>
      <c r="CE128" s="73">
        <f t="shared" si="1168"/>
        <v>7.061336054216107</v>
      </c>
      <c r="CF128" s="73">
        <f t="shared" si="1169"/>
        <v>3.953687525602454</v>
      </c>
      <c r="CG128" s="73">
        <f t="shared" si="1170"/>
        <v>5.2394208423639173</v>
      </c>
      <c r="CH128" s="73">
        <f t="shared" si="1171"/>
        <v>1.4559682456596352</v>
      </c>
      <c r="CI128" s="73">
        <f t="shared" si="1172"/>
        <v>2.6018664079052587</v>
      </c>
      <c r="CJ128" s="73">
        <f t="shared" si="1173"/>
        <v>2.7909023317783719</v>
      </c>
      <c r="CK128" s="73">
        <f t="shared" si="1174"/>
        <v>0.57231261983199555</v>
      </c>
      <c r="CL128" s="73">
        <f t="shared" si="1175"/>
        <v>0.13455650641637745</v>
      </c>
      <c r="CM128" s="73">
        <f t="shared" si="1176"/>
        <v>52.838160534338861</v>
      </c>
      <c r="CN128" s="73">
        <f t="shared" si="1177"/>
        <v>92.217408443694495</v>
      </c>
      <c r="CO128" s="73">
        <f t="shared" si="1178"/>
        <v>31.574101948766746</v>
      </c>
      <c r="CP128" s="73">
        <f t="shared" si="1179"/>
        <v>34.327540695625643</v>
      </c>
      <c r="CQ128" s="73">
        <f t="shared" si="1180"/>
        <v>19.157930984032923</v>
      </c>
      <c r="CR128" s="73">
        <f t="shared" si="1181"/>
        <v>10.565161189754187</v>
      </c>
      <c r="CS128" s="73">
        <f t="shared" si="1182"/>
        <v>13.224876832725025</v>
      </c>
      <c r="CT128" s="73">
        <f t="shared" si="1183"/>
        <v>15.809126793112297</v>
      </c>
      <c r="CU128" s="73">
        <f t="shared" si="1184"/>
        <v>4.6614337245284991</v>
      </c>
      <c r="CV128" s="73">
        <f t="shared" si="1185"/>
        <v>5.8461394622181508</v>
      </c>
      <c r="CW128" s="73">
        <f t="shared" si="1186"/>
        <v>1.9059359068994406</v>
      </c>
      <c r="CX128" s="73">
        <f t="shared" si="1187"/>
        <v>1.8671890179335877</v>
      </c>
      <c r="CY128" s="73">
        <f t="shared" si="1188"/>
        <v>0.37698846885707771</v>
      </c>
      <c r="CZ128" s="190"/>
      <c r="DA128" s="66">
        <v>2018</v>
      </c>
      <c r="DB128" s="218">
        <f t="shared" si="1046"/>
        <v>310.75680097449231</v>
      </c>
      <c r="DC128" s="218">
        <f t="shared" si="1047"/>
        <v>4398.7603740937939</v>
      </c>
      <c r="DD128" s="73">
        <f t="shared" si="1048"/>
        <v>3242.3243544775778</v>
      </c>
      <c r="DE128" s="73">
        <f t="shared" si="1049"/>
        <v>1820.4672488294684</v>
      </c>
      <c r="DF128" s="73">
        <f t="shared" si="1050"/>
        <v>357.55805741457289</v>
      </c>
      <c r="DG128" s="73">
        <f t="shared" si="1051"/>
        <v>798.28214648452706</v>
      </c>
      <c r="DH128" s="72">
        <f t="shared" si="1079"/>
        <v>0.80243506852388402</v>
      </c>
      <c r="DI128" s="72">
        <f t="shared" si="1080"/>
        <v>0.83583383701304448</v>
      </c>
      <c r="DJ128" s="73">
        <f>SUM(AV114:AV128,BB114:BB128,BI114:BI128)</f>
        <v>4189.2796259062061</v>
      </c>
      <c r="DK128" s="73">
        <f>SUM(AV120:AV128,BB120:BB128,BI120:BI128)</f>
        <v>4189.2796259062061</v>
      </c>
      <c r="DL128" s="190"/>
    </row>
    <row r="129" spans="1:120" x14ac:dyDescent="0.25">
      <c r="A129" s="190"/>
      <c r="B129" s="188">
        <v>2009</v>
      </c>
      <c r="C129" s="61" t="s">
        <v>332</v>
      </c>
      <c r="D129" s="169">
        <v>0</v>
      </c>
      <c r="E129" s="169">
        <v>0</v>
      </c>
      <c r="F129" s="169">
        <v>0</v>
      </c>
      <c r="G129" s="169">
        <v>0</v>
      </c>
      <c r="H129" s="169">
        <v>0</v>
      </c>
      <c r="I129" s="169">
        <v>0</v>
      </c>
      <c r="J129" s="169">
        <v>0</v>
      </c>
      <c r="K129" s="169">
        <v>0</v>
      </c>
      <c r="L129" s="169">
        <v>0</v>
      </c>
      <c r="M129" s="169">
        <v>0</v>
      </c>
      <c r="N129" s="169">
        <v>0</v>
      </c>
      <c r="O129" s="169">
        <v>0</v>
      </c>
      <c r="P129" s="171">
        <f>pAIDS_LTFU_AIDS_ART1ear_2004_2012</f>
        <v>0.18179999999999999</v>
      </c>
      <c r="Q129" s="169">
        <v>0</v>
      </c>
      <c r="R129" s="171">
        <f>pAIDS_LTFU_AIDS_ART2_2004_2012</f>
        <v>0.19189999999999999</v>
      </c>
      <c r="S129" s="172">
        <f>pAIDS_LTFU_2004_2012</f>
        <v>0.21578526169714907</v>
      </c>
      <c r="T129" s="170">
        <f>pAIDS_LTFU_AIDS_Dead_2004_2012</f>
        <v>0.41051473830285101</v>
      </c>
      <c r="U129" s="61">
        <f t="shared" si="1052"/>
        <v>1</v>
      </c>
      <c r="V129" s="190"/>
      <c r="W129" s="66">
        <v>15</v>
      </c>
      <c r="X129" s="66">
        <v>2019</v>
      </c>
      <c r="Y129" s="70">
        <f t="shared" si="1189"/>
        <v>1.0453189854531204E-2</v>
      </c>
      <c r="Z129" s="70">
        <f t="shared" si="1137"/>
        <v>3.8571186779537067E-3</v>
      </c>
      <c r="AA129" s="70">
        <f t="shared" si="1138"/>
        <v>1.4331381732329134E-2</v>
      </c>
      <c r="AB129" s="70">
        <f t="shared" si="1139"/>
        <v>7.5163508101140576E-4</v>
      </c>
      <c r="AC129" s="70">
        <f t="shared" si="1140"/>
        <v>1.2413442091801759E-2</v>
      </c>
      <c r="AD129" s="70">
        <f t="shared" si="1141"/>
        <v>7.4751372520230532E-3</v>
      </c>
      <c r="AE129" s="70">
        <f t="shared" si="1142"/>
        <v>0.13125298383956874</v>
      </c>
      <c r="AF129" s="70">
        <f t="shared" si="1143"/>
        <v>4.2183831338176665E-2</v>
      </c>
      <c r="AG129" s="70">
        <f t="shared" si="1144"/>
        <v>1.6528974403630492E-2</v>
      </c>
      <c r="AH129" s="70">
        <f t="shared" si="1145"/>
        <v>2.2486463356480588E-3</v>
      </c>
      <c r="AI129" s="70">
        <f t="shared" si="1146"/>
        <v>6.4424773883125178E-3</v>
      </c>
      <c r="AJ129" s="70">
        <f t="shared" si="1147"/>
        <v>1.2279167104441326E-2</v>
      </c>
      <c r="AK129" s="70">
        <f t="shared" si="1148"/>
        <v>1.2387511618336434E-2</v>
      </c>
      <c r="AL129" s="70">
        <f t="shared" si="1149"/>
        <v>0.16859259252182465</v>
      </c>
      <c r="AM129" s="70">
        <f t="shared" si="1150"/>
        <v>3.3676587475479872E-2</v>
      </c>
      <c r="AN129" s="70">
        <f t="shared" si="1151"/>
        <v>1.1092320056284258E-2</v>
      </c>
      <c r="AO129" s="70">
        <f t="shared" si="1152"/>
        <v>2.6229077547559248E-2</v>
      </c>
      <c r="AP129" s="190"/>
      <c r="AQ129" s="66">
        <v>15</v>
      </c>
      <c r="AR129" s="66">
        <v>2019</v>
      </c>
      <c r="AS129" s="215">
        <f t="shared" si="1029"/>
        <v>89.772412598308179</v>
      </c>
      <c r="AT129" s="215">
        <f t="shared" si="1030"/>
        <v>33.125089491013554</v>
      </c>
      <c r="AU129" s="215">
        <f t="shared" si="1031"/>
        <v>123.07847957251191</v>
      </c>
      <c r="AV129" s="215">
        <f t="shared" si="1032"/>
        <v>6.455072141129194</v>
      </c>
      <c r="AW129" s="215">
        <f t="shared" si="1033"/>
        <v>106.60713722207718</v>
      </c>
      <c r="AX129" s="215">
        <f t="shared" si="1034"/>
        <v>64.196777725864067</v>
      </c>
      <c r="AY129" s="215">
        <f t="shared" si="1035"/>
        <v>1127.20587533357</v>
      </c>
      <c r="AZ129" s="215">
        <f t="shared" si="1036"/>
        <v>362.27643088551474</v>
      </c>
      <c r="BA129" s="215">
        <f t="shared" si="1037"/>
        <v>141.95149333735483</v>
      </c>
      <c r="BB129" s="215">
        <f t="shared" si="1038"/>
        <v>19.311464676398955</v>
      </c>
      <c r="BC129" s="215">
        <f t="shared" si="1039"/>
        <v>55.328253509923442</v>
      </c>
      <c r="BD129" s="215">
        <f t="shared" si="1040"/>
        <v>105.4539782596263</v>
      </c>
      <c r="BE129" s="215">
        <f t="shared" si="1041"/>
        <v>106.38444527873804</v>
      </c>
      <c r="BF129" s="215">
        <f t="shared" si="1042"/>
        <v>1447.8799282811312</v>
      </c>
      <c r="BG129" s="215">
        <f t="shared" si="1043"/>
        <v>289.2158803029202</v>
      </c>
      <c r="BH129" s="215">
        <f t="shared" si="1044"/>
        <v>95.261288336171461</v>
      </c>
      <c r="BI129" s="215">
        <f t="shared" si="1045"/>
        <v>225.25636714154075</v>
      </c>
      <c r="BJ129" s="194"/>
      <c r="BK129" s="66">
        <v>15</v>
      </c>
      <c r="BL129" s="66">
        <v>2019</v>
      </c>
      <c r="BM129" s="215">
        <f t="shared" si="1153"/>
        <v>43.854134040969534</v>
      </c>
      <c r="BN129" s="219">
        <f t="shared" si="1154"/>
        <v>66.031310145918482</v>
      </c>
      <c r="BO129" s="219">
        <f t="shared" si="1155"/>
        <v>24.919576237840815</v>
      </c>
      <c r="BP129" s="219">
        <f t="shared" si="1156"/>
        <v>7.1464729126260007</v>
      </c>
      <c r="BQ129" s="219">
        <f t="shared" si="1157"/>
        <v>12.001145766067278</v>
      </c>
      <c r="BR129" s="220">
        <f t="shared" si="1158"/>
        <v>24.117194011104182</v>
      </c>
      <c r="BS129" s="219">
        <f t="shared" si="1159"/>
        <v>19.627874856715241</v>
      </c>
      <c r="BT129" s="219">
        <f t="shared" si="1160"/>
        <v>6.0333137679732705</v>
      </c>
      <c r="BU129" s="219">
        <f t="shared" si="1161"/>
        <v>17.705501585664251</v>
      </c>
      <c r="BV129" s="219">
        <f t="shared" si="1162"/>
        <v>6.3615431077877975</v>
      </c>
      <c r="BW129" s="219">
        <f t="shared" si="1163"/>
        <v>7.7694427435241256</v>
      </c>
      <c r="BX129" s="220">
        <f t="shared" si="1164"/>
        <v>1.6452724973353161</v>
      </c>
      <c r="BY129" s="195"/>
      <c r="BZ129" s="192">
        <v>15</v>
      </c>
      <c r="CA129" s="66">
        <v>2019</v>
      </c>
      <c r="CB129" s="218">
        <f t="shared" si="1165"/>
        <v>2.575920047430976</v>
      </c>
      <c r="CC129" s="218">
        <f t="shared" si="1166"/>
        <v>0.88166142074171827</v>
      </c>
      <c r="CD129" s="73">
        <f t="shared" si="1167"/>
        <v>2.9974906729565003</v>
      </c>
      <c r="CE129" s="73">
        <f t="shared" si="1168"/>
        <v>4.5987137211676563</v>
      </c>
      <c r="CF129" s="73">
        <f t="shared" si="1169"/>
        <v>2.589347700744161</v>
      </c>
      <c r="CG129" s="73">
        <f t="shared" si="1170"/>
        <v>5.527612860188289</v>
      </c>
      <c r="CH129" s="73">
        <f t="shared" si="1171"/>
        <v>1.6629591626318121</v>
      </c>
      <c r="CI129" s="73">
        <f t="shared" si="1172"/>
        <v>1.8056282486954323</v>
      </c>
      <c r="CJ129" s="73">
        <f t="shared" si="1173"/>
        <v>2.3144130720529641</v>
      </c>
      <c r="CK129" s="73">
        <f t="shared" si="1174"/>
        <v>0.64367508525961403</v>
      </c>
      <c r="CL129" s="73">
        <f t="shared" si="1175"/>
        <v>0.16911482565902708</v>
      </c>
      <c r="CM129" s="73">
        <f t="shared" si="1176"/>
        <v>34.831386214521714</v>
      </c>
      <c r="CN129" s="73">
        <f t="shared" si="1177"/>
        <v>61.681957139355276</v>
      </c>
      <c r="CO129" s="73">
        <f t="shared" si="1178"/>
        <v>22.431102586476793</v>
      </c>
      <c r="CP129" s="73">
        <f t="shared" si="1179"/>
        <v>36.536750747263639</v>
      </c>
      <c r="CQ129" s="73">
        <f t="shared" si="1180"/>
        <v>23.561439721035413</v>
      </c>
      <c r="CR129" s="73">
        <f t="shared" si="1181"/>
        <v>7.3123094584791666</v>
      </c>
      <c r="CS129" s="73">
        <f t="shared" si="1182"/>
        <v>11.794063096550254</v>
      </c>
      <c r="CT129" s="73">
        <f t="shared" si="1183"/>
        <v>11.500114994463697</v>
      </c>
      <c r="CU129" s="73">
        <f t="shared" si="1184"/>
        <v>3.4566764417651181</v>
      </c>
      <c r="CV129" s="73">
        <f t="shared" si="1185"/>
        <v>6.756127554991159</v>
      </c>
      <c r="CW129" s="73">
        <f t="shared" si="1186"/>
        <v>2.3015940955840599</v>
      </c>
      <c r="CX129" s="73">
        <f t="shared" si="1187"/>
        <v>2.5620348988406194</v>
      </c>
      <c r="CY129" s="73">
        <f t="shared" si="1188"/>
        <v>0.53081019221383141</v>
      </c>
      <c r="CZ129" s="190"/>
      <c r="DA129" s="66">
        <v>2019</v>
      </c>
      <c r="DB129" s="218">
        <f t="shared" si="1046"/>
        <v>202.77584547650392</v>
      </c>
      <c r="DC129" s="218">
        <f t="shared" si="1047"/>
        <v>4147.7374701347244</v>
      </c>
      <c r="DD129" s="73">
        <f t="shared" si="1048"/>
        <v>3332.962560081874</v>
      </c>
      <c r="DE129" s="73">
        <f t="shared" si="1049"/>
        <v>1843.4802538627894</v>
      </c>
      <c r="DF129" s="73">
        <f t="shared" si="1050"/>
        <v>256.0435201057212</v>
      </c>
      <c r="DG129" s="73">
        <f t="shared" si="1051"/>
        <v>568.79892839101728</v>
      </c>
      <c r="DH129" s="72">
        <f t="shared" si="1079"/>
        <v>0.85421996447721382</v>
      </c>
      <c r="DI129" s="72">
        <f t="shared" si="1080"/>
        <v>0.87804685839696439</v>
      </c>
      <c r="DJ129" s="73">
        <f>SUM(AV114:AV129,BB114:BB129,BI114:BI129)</f>
        <v>4440.3025298652756</v>
      </c>
      <c r="DK129" s="73">
        <f>SUM(AV120:AV129,BB120:BB129,BI120:BI129)</f>
        <v>4440.3025298652756</v>
      </c>
      <c r="DL129" s="190"/>
    </row>
    <row r="130" spans="1:120" x14ac:dyDescent="0.25">
      <c r="A130" s="190"/>
      <c r="B130" s="191">
        <v>2009</v>
      </c>
      <c r="C130" s="179" t="s">
        <v>333</v>
      </c>
      <c r="D130" s="180">
        <v>0</v>
      </c>
      <c r="E130" s="180">
        <v>0</v>
      </c>
      <c r="F130" s="180">
        <v>0</v>
      </c>
      <c r="G130" s="180">
        <v>0</v>
      </c>
      <c r="H130" s="180">
        <v>0</v>
      </c>
      <c r="I130" s="180">
        <v>0</v>
      </c>
      <c r="J130" s="180">
        <v>0</v>
      </c>
      <c r="K130" s="180">
        <v>0</v>
      </c>
      <c r="L130" s="180">
        <v>0</v>
      </c>
      <c r="M130" s="180">
        <v>0</v>
      </c>
      <c r="N130" s="180">
        <v>0</v>
      </c>
      <c r="O130" s="180">
        <v>0</v>
      </c>
      <c r="P130" s="180">
        <v>0</v>
      </c>
      <c r="Q130" s="180">
        <v>0</v>
      </c>
      <c r="R130" s="180">
        <v>0</v>
      </c>
      <c r="S130" s="180">
        <v>0</v>
      </c>
      <c r="T130" s="180">
        <v>0</v>
      </c>
      <c r="U130" s="179">
        <f t="shared" si="1052"/>
        <v>0</v>
      </c>
      <c r="V130" s="190"/>
      <c r="W130" s="66">
        <v>16</v>
      </c>
      <c r="X130" s="66">
        <v>2020</v>
      </c>
      <c r="Y130" s="70">
        <f t="shared" si="1189"/>
        <v>6.6248144986592187E-3</v>
      </c>
      <c r="Z130" s="70">
        <f t="shared" si="1137"/>
        <v>2.4637869892602132E-3</v>
      </c>
      <c r="AA130" s="70">
        <f t="shared" si="1138"/>
        <v>1.0506124049163987E-2</v>
      </c>
      <c r="AB130" s="70">
        <f t="shared" si="1139"/>
        <v>5.1652291194925976E-4</v>
      </c>
      <c r="AC130" s="70">
        <f t="shared" si="1140"/>
        <v>7.9833606209102244E-3</v>
      </c>
      <c r="AD130" s="70">
        <f t="shared" si="1141"/>
        <v>4.8177893990965469E-3</v>
      </c>
      <c r="AE130" s="70">
        <f t="shared" si="1142"/>
        <v>0.13322371658816304</v>
      </c>
      <c r="AF130" s="70">
        <f t="shared" si="1143"/>
        <v>4.5338636965340663E-2</v>
      </c>
      <c r="AG130" s="70">
        <f t="shared" si="1144"/>
        <v>1.3311043614640226E-2</v>
      </c>
      <c r="AH130" s="70">
        <f t="shared" si="1145"/>
        <v>1.8798697579543754E-3</v>
      </c>
      <c r="AI130" s="70">
        <f t="shared" si="1146"/>
        <v>4.1689339062171401E-3</v>
      </c>
      <c r="AJ130" s="70">
        <f t="shared" si="1147"/>
        <v>7.9998477358549022E-3</v>
      </c>
      <c r="AK130" s="70">
        <f t="shared" si="1148"/>
        <v>8.6660563872488251E-3</v>
      </c>
      <c r="AL130" s="70">
        <f t="shared" si="1149"/>
        <v>0.16743597085027709</v>
      </c>
      <c r="AM130" s="70">
        <f t="shared" si="1150"/>
        <v>3.7314206517502876E-2</v>
      </c>
      <c r="AN130" s="70">
        <f t="shared" si="1151"/>
        <v>9.442144440650049E-3</v>
      </c>
      <c r="AO130" s="70">
        <f t="shared" si="1152"/>
        <v>2.1273890121805191E-2</v>
      </c>
      <c r="AP130" s="190"/>
      <c r="AQ130" s="66">
        <v>16</v>
      </c>
      <c r="AR130" s="66">
        <v>2020</v>
      </c>
      <c r="AS130" s="215">
        <f t="shared" si="1029"/>
        <v>56.894171907065321</v>
      </c>
      <c r="AT130" s="215">
        <f t="shared" si="1030"/>
        <v>21.159101215246285</v>
      </c>
      <c r="AU130" s="215">
        <f t="shared" si="1031"/>
        <v>90.227013579182298</v>
      </c>
      <c r="AV130" s="215">
        <f t="shared" si="1032"/>
        <v>4.435919428736721</v>
      </c>
      <c r="AW130" s="215">
        <f t="shared" si="1033"/>
        <v>68.561420346801853</v>
      </c>
      <c r="AX130" s="215">
        <f t="shared" si="1034"/>
        <v>41.375368071017114</v>
      </c>
      <c r="AY130" s="215">
        <f t="shared" si="1035"/>
        <v>1144.1306070078078</v>
      </c>
      <c r="AZ130" s="215">
        <f t="shared" si="1036"/>
        <v>389.37002780382426</v>
      </c>
      <c r="BA130" s="215">
        <f t="shared" si="1037"/>
        <v>114.31577500427485</v>
      </c>
      <c r="BB130" s="215">
        <f t="shared" si="1038"/>
        <v>16.144396676102495</v>
      </c>
      <c r="BC130" s="215">
        <f t="shared" si="1039"/>
        <v>35.802971143949051</v>
      </c>
      <c r="BD130" s="215">
        <f t="shared" si="1040"/>
        <v>68.703012349431347</v>
      </c>
      <c r="BE130" s="215">
        <f t="shared" si="1041"/>
        <v>74.424438895948413</v>
      </c>
      <c r="BF130" s="215">
        <f t="shared" si="1042"/>
        <v>1437.9468151010137</v>
      </c>
      <c r="BG130" s="215">
        <f t="shared" si="1043"/>
        <v>320.45589814057541</v>
      </c>
      <c r="BH130" s="215">
        <f t="shared" si="1044"/>
        <v>81.089514142080262</v>
      </c>
      <c r="BI130" s="215">
        <f t="shared" si="1045"/>
        <v>182.70101932166787</v>
      </c>
      <c r="BJ130" s="194"/>
      <c r="BK130" s="66">
        <v>16</v>
      </c>
      <c r="BL130" s="66">
        <v>2020</v>
      </c>
      <c r="BM130" s="215">
        <f t="shared" si="1153"/>
        <v>29.188321464304579</v>
      </c>
      <c r="BN130" s="219">
        <f t="shared" si="1154"/>
        <v>50.924444161008999</v>
      </c>
      <c r="BO130" s="219">
        <f t="shared" si="1155"/>
        <v>26.144115003712066</v>
      </c>
      <c r="BP130" s="219">
        <f t="shared" si="1156"/>
        <v>8.0588943752492153</v>
      </c>
      <c r="BQ130" s="219">
        <f t="shared" si="1157"/>
        <v>7.9424608573143409</v>
      </c>
      <c r="BR130" s="220">
        <f t="shared" si="1158"/>
        <v>19.371858972255126</v>
      </c>
      <c r="BS130" s="219">
        <f t="shared" si="1159"/>
        <v>13.389507077631997</v>
      </c>
      <c r="BT130" s="219">
        <f t="shared" si="1160"/>
        <v>4.2482957462512063</v>
      </c>
      <c r="BU130" s="219">
        <f t="shared" si="1161"/>
        <v>18.202514188885818</v>
      </c>
      <c r="BV130" s="219">
        <f t="shared" si="1162"/>
        <v>6.9132105815154681</v>
      </c>
      <c r="BW130" s="219">
        <f t="shared" si="1163"/>
        <v>9.0650707728342947</v>
      </c>
      <c r="BX130" s="220">
        <f t="shared" si="1164"/>
        <v>1.956595945392011</v>
      </c>
      <c r="BY130" s="195"/>
      <c r="BZ130" s="192">
        <v>16</v>
      </c>
      <c r="CA130" s="66">
        <v>2020</v>
      </c>
      <c r="CB130" s="218">
        <f t="shared" si="1165"/>
        <v>1.6325153101672991</v>
      </c>
      <c r="CC130" s="218">
        <f t="shared" si="1166"/>
        <v>0.56521650125205658</v>
      </c>
      <c r="CD130" s="73">
        <f t="shared" si="1167"/>
        <v>2.238187617317366</v>
      </c>
      <c r="CE130" s="73">
        <f t="shared" si="1168"/>
        <v>2.9731171294056558</v>
      </c>
      <c r="CF130" s="73">
        <f t="shared" si="1169"/>
        <v>1.679895914048368</v>
      </c>
      <c r="CG130" s="73">
        <f t="shared" si="1170"/>
        <v>5.7004708834207936</v>
      </c>
      <c r="CH130" s="73">
        <f t="shared" si="1171"/>
        <v>1.8320932237878471</v>
      </c>
      <c r="CI130" s="73">
        <f t="shared" si="1172"/>
        <v>1.2230276556517192</v>
      </c>
      <c r="CJ130" s="73">
        <f t="shared" si="1173"/>
        <v>1.841516660024074</v>
      </c>
      <c r="CK130" s="73">
        <f t="shared" si="1174"/>
        <v>0.69497053293831135</v>
      </c>
      <c r="CL130" s="73">
        <f t="shared" si="1175"/>
        <v>0.19930467682572575</v>
      </c>
      <c r="CM130" s="73">
        <f t="shared" si="1176"/>
        <v>22.713063510380021</v>
      </c>
      <c r="CN130" s="73">
        <f t="shared" si="1177"/>
        <v>40.619551894202417</v>
      </c>
      <c r="CO130" s="73">
        <f t="shared" si="1178"/>
        <v>15.724143727701881</v>
      </c>
      <c r="CP130" s="73">
        <f t="shared" si="1179"/>
        <v>37.290432040560887</v>
      </c>
      <c r="CQ130" s="73">
        <f t="shared" si="1180"/>
        <v>27.247665297106803</v>
      </c>
      <c r="CR130" s="73">
        <f t="shared" si="1181"/>
        <v>4.9266472134914769</v>
      </c>
      <c r="CS130" s="73">
        <f t="shared" si="1182"/>
        <v>9.9004635880675185</v>
      </c>
      <c r="CT130" s="73">
        <f t="shared" si="1183"/>
        <v>8.0575319102455669</v>
      </c>
      <c r="CU130" s="73">
        <f t="shared" si="1184"/>
        <v>2.4767642225585349</v>
      </c>
      <c r="CV130" s="73">
        <f t="shared" si="1185"/>
        <v>7.2683693499596735</v>
      </c>
      <c r="CW130" s="73">
        <f t="shared" si="1186"/>
        <v>2.6115072040958132</v>
      </c>
      <c r="CX130" s="73">
        <f t="shared" si="1187"/>
        <v>3.1894707546167913</v>
      </c>
      <c r="CY130" s="73">
        <f t="shared" si="1188"/>
        <v>0.67540860868048547</v>
      </c>
      <c r="CZ130" s="190"/>
      <c r="DA130" s="66">
        <v>2020</v>
      </c>
      <c r="DB130" s="218">
        <f t="shared" si="1046"/>
        <v>131.23748163569473</v>
      </c>
      <c r="DC130" s="218">
        <f t="shared" si="1047"/>
        <v>3944.4561347082176</v>
      </c>
      <c r="DD130" s="73">
        <f t="shared" si="1048"/>
        <v>3366.3277869491694</v>
      </c>
      <c r="DE130" s="73">
        <f t="shared" si="1049"/>
        <v>1832.8271521375377</v>
      </c>
      <c r="DF130" s="73">
        <f t="shared" si="1050"/>
        <v>185.59549763546067</v>
      </c>
      <c r="DG130" s="73">
        <f t="shared" si="1051"/>
        <v>409.84806105755456</v>
      </c>
      <c r="DH130" s="72">
        <f t="shared" si="1079"/>
        <v>0.89146478406881002</v>
      </c>
      <c r="DI130" s="72">
        <f t="shared" si="1080"/>
        <v>0.90804923951069738</v>
      </c>
      <c r="DJ130" s="73">
        <f>SUM(AV114:AV130,BB114:BB130,BI114:BI130)</f>
        <v>4643.5838652917819</v>
      </c>
      <c r="DK130" s="73">
        <f>SUM(AV120:AV130,BB120:BB130,BI120:BI130)</f>
        <v>4643.5838652917819</v>
      </c>
      <c r="DL130" s="190"/>
    </row>
    <row r="131" spans="1:120" x14ac:dyDescent="0.25">
      <c r="A131" s="190"/>
      <c r="B131" s="178"/>
      <c r="C131" s="182"/>
      <c r="D131" s="183"/>
      <c r="E131" s="183"/>
      <c r="F131" s="183"/>
      <c r="G131" s="183"/>
      <c r="H131" s="183"/>
      <c r="I131" s="183"/>
      <c r="J131" s="183"/>
      <c r="K131" s="183"/>
      <c r="L131" s="183"/>
      <c r="M131" s="183"/>
      <c r="N131" s="183"/>
      <c r="O131" s="183"/>
      <c r="P131" s="183"/>
      <c r="Q131" s="183"/>
      <c r="R131" s="183"/>
      <c r="S131" s="183"/>
      <c r="T131" s="183"/>
      <c r="U131" s="178"/>
      <c r="V131" s="190"/>
      <c r="W131" s="66">
        <v>17</v>
      </c>
      <c r="X131" s="66">
        <v>2021</v>
      </c>
      <c r="Y131" s="70">
        <f t="shared" si="1189"/>
        <v>4.1985430048054606E-3</v>
      </c>
      <c r="Z131" s="70">
        <f t="shared" si="1137"/>
        <v>1.5699056032151791E-3</v>
      </c>
      <c r="AA131" s="70">
        <f t="shared" si="1138"/>
        <v>7.5902690980358574E-3</v>
      </c>
      <c r="AB131" s="70">
        <f t="shared" si="1139"/>
        <v>3.5356670624534436E-4</v>
      </c>
      <c r="AC131" s="70">
        <f t="shared" si="1140"/>
        <v>5.1147038600619964E-3</v>
      </c>
      <c r="AD131" s="70">
        <f t="shared" si="1141"/>
        <v>3.0906585495681254E-3</v>
      </c>
      <c r="AE131" s="70">
        <f t="shared" si="1142"/>
        <v>0.13372248806283563</v>
      </c>
      <c r="AF131" s="70">
        <f t="shared" si="1143"/>
        <v>4.7896656962637646E-2</v>
      </c>
      <c r="AG131" s="70">
        <f t="shared" si="1144"/>
        <v>1.0852658029246027E-2</v>
      </c>
      <c r="AH131" s="70">
        <f t="shared" si="1145"/>
        <v>1.6229613408151684E-3</v>
      </c>
      <c r="AI131" s="70">
        <f t="shared" si="1146"/>
        <v>2.6829042724834857E-3</v>
      </c>
      <c r="AJ131" s="70">
        <f t="shared" si="1147"/>
        <v>5.1726665739265897E-3</v>
      </c>
      <c r="AK131" s="70">
        <f t="shared" si="1148"/>
        <v>6.1097166619576773E-3</v>
      </c>
      <c r="AL131" s="70">
        <f t="shared" si="1149"/>
        <v>0.16330359658561264</v>
      </c>
      <c r="AM131" s="70">
        <f t="shared" si="1150"/>
        <v>4.0090557721880603E-2</v>
      </c>
      <c r="AN131" s="70">
        <f t="shared" si="1151"/>
        <v>8.1469044423442376E-3</v>
      </c>
      <c r="AO131" s="70">
        <f t="shared" si="1152"/>
        <v>1.7777675087313351E-2</v>
      </c>
      <c r="AP131" s="190"/>
      <c r="AQ131" s="66">
        <v>17</v>
      </c>
      <c r="AR131" s="66">
        <v>2021</v>
      </c>
      <c r="AS131" s="215">
        <f t="shared" si="1029"/>
        <v>36.057255266989493</v>
      </c>
      <c r="AT131" s="215">
        <f t="shared" si="1030"/>
        <v>13.482412116636088</v>
      </c>
      <c r="AU131" s="215">
        <f t="shared" si="1031"/>
        <v>65.185534624695876</v>
      </c>
      <c r="AV131" s="215">
        <f t="shared" si="1032"/>
        <v>3.0364450159032677</v>
      </c>
      <c r="AW131" s="215">
        <f t="shared" si="1033"/>
        <v>43.92528133836683</v>
      </c>
      <c r="AX131" s="215">
        <f t="shared" si="1034"/>
        <v>26.542699250033046</v>
      </c>
      <c r="AY131" s="215">
        <f t="shared" si="1035"/>
        <v>1148.4140763831549</v>
      </c>
      <c r="AZ131" s="215">
        <f t="shared" si="1036"/>
        <v>411.33840586141065</v>
      </c>
      <c r="BA131" s="215">
        <f t="shared" si="1037"/>
        <v>93.203061261486056</v>
      </c>
      <c r="BB131" s="215">
        <f t="shared" si="1038"/>
        <v>13.9380569133743</v>
      </c>
      <c r="BC131" s="215">
        <f t="shared" si="1039"/>
        <v>23.040889208259077</v>
      </c>
      <c r="BD131" s="215">
        <f t="shared" si="1040"/>
        <v>44.423067443544511</v>
      </c>
      <c r="BE131" s="215">
        <f t="shared" si="1041"/>
        <v>52.470491081559018</v>
      </c>
      <c r="BF131" s="215">
        <f t="shared" si="1042"/>
        <v>1402.4578196211048</v>
      </c>
      <c r="BG131" s="215">
        <f t="shared" si="1043"/>
        <v>344.29931333781951</v>
      </c>
      <c r="BH131" s="215">
        <f t="shared" si="1044"/>
        <v>69.965941227030015</v>
      </c>
      <c r="BI131" s="215">
        <f t="shared" si="1045"/>
        <v>152.67538475685058</v>
      </c>
      <c r="BJ131" s="194"/>
      <c r="BK131" s="66">
        <v>17</v>
      </c>
      <c r="BL131" s="66">
        <v>2021</v>
      </c>
      <c r="BM131" s="215">
        <f t="shared" si="1153"/>
        <v>19.180252747486541</v>
      </c>
      <c r="BN131" s="219">
        <f t="shared" si="1154"/>
        <v>38.335146748850811</v>
      </c>
      <c r="BO131" s="219">
        <f t="shared" si="1155"/>
        <v>26.87547715983326</v>
      </c>
      <c r="BP131" s="219">
        <f t="shared" si="1156"/>
        <v>8.8121846053154371</v>
      </c>
      <c r="BQ131" s="219">
        <f t="shared" si="1157"/>
        <v>5.1924474180811737</v>
      </c>
      <c r="BR131" s="220">
        <f t="shared" si="1158"/>
        <v>15.051945854089396</v>
      </c>
      <c r="BS131" s="219">
        <f t="shared" si="1159"/>
        <v>8.9589986893997668</v>
      </c>
      <c r="BT131" s="219">
        <f t="shared" si="1160"/>
        <v>2.976014323102635</v>
      </c>
      <c r="BU131" s="219">
        <f t="shared" si="1161"/>
        <v>18.167369070768228</v>
      </c>
      <c r="BV131" s="219">
        <f t="shared" si="1162"/>
        <v>7.287607798805416</v>
      </c>
      <c r="BW131" s="219">
        <f t="shared" si="1163"/>
        <v>10.110463003970205</v>
      </c>
      <c r="BX131" s="220">
        <f t="shared" si="1164"/>
        <v>2.2210950688131987</v>
      </c>
      <c r="BY131" s="195"/>
      <c r="BZ131" s="192">
        <v>17</v>
      </c>
      <c r="CA131" s="66">
        <v>2021</v>
      </c>
      <c r="CB131" s="218">
        <f t="shared" si="1165"/>
        <v>1.0346230429739478</v>
      </c>
      <c r="CC131" s="218">
        <f t="shared" si="1166"/>
        <v>0.36103972373460624</v>
      </c>
      <c r="CD131" s="73">
        <f t="shared" si="1167"/>
        <v>1.6407822491947133</v>
      </c>
      <c r="CE131" s="73">
        <f t="shared" si="1168"/>
        <v>1.9120777328897707</v>
      </c>
      <c r="CF131" s="73">
        <f t="shared" si="1169"/>
        <v>1.0827071735836633</v>
      </c>
      <c r="CG131" s="73">
        <f t="shared" si="1170"/>
        <v>5.7860621158921042</v>
      </c>
      <c r="CH131" s="73">
        <f t="shared" si="1171"/>
        <v>1.9691101288090864</v>
      </c>
      <c r="CI131" s="73">
        <f t="shared" si="1172"/>
        <v>0.81401959367267818</v>
      </c>
      <c r="CJ131" s="73">
        <f t="shared" si="1173"/>
        <v>1.4202082635908497</v>
      </c>
      <c r="CK131" s="73">
        <f t="shared" si="1174"/>
        <v>0.7291211280607468</v>
      </c>
      <c r="CL131" s="73">
        <f t="shared" si="1175"/>
        <v>0.22475077687540104</v>
      </c>
      <c r="CM131" s="73">
        <f t="shared" si="1176"/>
        <v>14.697647329622772</v>
      </c>
      <c r="CN131" s="73">
        <f t="shared" si="1177"/>
        <v>26.463540033976958</v>
      </c>
      <c r="CO131" s="73">
        <f t="shared" si="1178"/>
        <v>11.000297750176331</v>
      </c>
      <c r="CP131" s="73">
        <f t="shared" si="1179"/>
        <v>37.034602758892404</v>
      </c>
      <c r="CQ131" s="73">
        <f t="shared" si="1180"/>
        <v>30.190856207040667</v>
      </c>
      <c r="CR131" s="73">
        <f t="shared" si="1181"/>
        <v>3.2604972403210342</v>
      </c>
      <c r="CS131" s="73">
        <f t="shared" si="1182"/>
        <v>7.9524336164350498</v>
      </c>
      <c r="CT131" s="73">
        <f t="shared" si="1183"/>
        <v>5.4965899939782705</v>
      </c>
      <c r="CU131" s="73">
        <f t="shared" si="1184"/>
        <v>1.7439880165054291</v>
      </c>
      <c r="CV131" s="73">
        <f t="shared" si="1185"/>
        <v>7.4724003487043937</v>
      </c>
      <c r="CW131" s="73">
        <f t="shared" si="1186"/>
        <v>2.8379748327033227</v>
      </c>
      <c r="CX131" s="73">
        <f t="shared" si="1187"/>
        <v>3.721345156006894</v>
      </c>
      <c r="CY131" s="73">
        <f t="shared" si="1188"/>
        <v>0.80321147248702074</v>
      </c>
      <c r="CZ131" s="190"/>
      <c r="DA131" s="66">
        <v>2021</v>
      </c>
      <c r="DB131" s="218">
        <f t="shared" si="1046"/>
        <v>84.448178810213648</v>
      </c>
      <c r="DC131" s="218">
        <f t="shared" si="1047"/>
        <v>3774.8062480220897</v>
      </c>
      <c r="DD131" s="73">
        <f t="shared" si="1048"/>
        <v>3358.9801062850488</v>
      </c>
      <c r="DE131" s="73">
        <f t="shared" si="1049"/>
        <v>1799.2276240404833</v>
      </c>
      <c r="DF131" s="73">
        <f t="shared" si="1050"/>
        <v>137.4298978788336</v>
      </c>
      <c r="DG131" s="73">
        <f t="shared" si="1051"/>
        <v>301.10093972871954</v>
      </c>
      <c r="DH131" s="72">
        <f t="shared" si="1079"/>
        <v>0.9177338053602252</v>
      </c>
      <c r="DI131" s="72">
        <f t="shared" si="1080"/>
        <v>0.92903758340161546</v>
      </c>
      <c r="DJ131" s="73">
        <f>SUM(AV114:AV131,BB114:BB131,BI114:BI131)</f>
        <v>4813.2337519779103</v>
      </c>
      <c r="DK131" s="73">
        <f>SUM(AV120:AV131,BB120:BB131,BI120:BI131)</f>
        <v>4813.2337519779103</v>
      </c>
      <c r="DL131" s="190"/>
    </row>
    <row r="132" spans="1:120" s="127" customFormat="1" x14ac:dyDescent="0.25">
      <c r="A132" s="190"/>
      <c r="B132" s="178"/>
      <c r="C132" s="182"/>
      <c r="D132" s="183"/>
      <c r="E132" s="183"/>
      <c r="F132" s="183"/>
      <c r="G132" s="183"/>
      <c r="H132" s="183"/>
      <c r="I132" s="183"/>
      <c r="J132" s="183"/>
      <c r="K132" s="183"/>
      <c r="L132" s="183"/>
      <c r="M132" s="183"/>
      <c r="N132" s="183"/>
      <c r="O132" s="183"/>
      <c r="P132" s="183"/>
      <c r="Q132" s="183"/>
      <c r="R132" s="183"/>
      <c r="S132" s="183"/>
      <c r="T132" s="183"/>
      <c r="U132" s="178"/>
      <c r="V132" s="190"/>
      <c r="W132" s="66">
        <v>18</v>
      </c>
      <c r="X132" s="66">
        <v>2022</v>
      </c>
      <c r="Y132" s="70">
        <f t="shared" si="1189"/>
        <v>2.6608689747869181E-3</v>
      </c>
      <c r="Z132" s="70">
        <f t="shared" si="1137"/>
        <v>9.986483254093145E-4</v>
      </c>
      <c r="AA132" s="70">
        <f t="shared" si="1138"/>
        <v>5.419223232272897E-3</v>
      </c>
      <c r="AB132" s="70">
        <f t="shared" si="1139"/>
        <v>2.4116751785931243E-4</v>
      </c>
      <c r="AC132" s="70">
        <f t="shared" si="1140"/>
        <v>3.2676839410285545E-3</v>
      </c>
      <c r="AD132" s="70">
        <f t="shared" si="1141"/>
        <v>1.976098081815311E-3</v>
      </c>
      <c r="AE132" s="70">
        <f t="shared" si="1142"/>
        <v>0.13317128620389346</v>
      </c>
      <c r="AF132" s="70">
        <f t="shared" si="1143"/>
        <v>4.9987157844251569E-2</v>
      </c>
      <c r="AG132" s="70">
        <f t="shared" si="1144"/>
        <v>9.018777281743889E-3</v>
      </c>
      <c r="AH132" s="70">
        <f t="shared" si="1145"/>
        <v>1.4446612174120225E-3</v>
      </c>
      <c r="AI132" s="70">
        <f t="shared" si="1146"/>
        <v>1.7196857766862939E-3</v>
      </c>
      <c r="AJ132" s="70">
        <f t="shared" si="1147"/>
        <v>3.326644767373297E-3</v>
      </c>
      <c r="AK132" s="70">
        <f t="shared" si="1148"/>
        <v>4.3807146841024743E-3</v>
      </c>
      <c r="AL132" s="70">
        <f t="shared" si="1149"/>
        <v>0.15735124728138489</v>
      </c>
      <c r="AM132" s="70">
        <f t="shared" si="1150"/>
        <v>4.2101833048485436E-2</v>
      </c>
      <c r="AN132" s="70">
        <f t="shared" si="1151"/>
        <v>7.1523066376224433E-3</v>
      </c>
      <c r="AO132" s="70">
        <f t="shared" si="1152"/>
        <v>1.5324224612483091E-2</v>
      </c>
      <c r="AP132" s="190"/>
      <c r="AQ132" s="66">
        <v>18</v>
      </c>
      <c r="AR132" s="66">
        <v>2022</v>
      </c>
      <c r="AS132" s="215">
        <f t="shared" si="1029"/>
        <v>22.851649190229047</v>
      </c>
      <c r="AT132" s="215">
        <f t="shared" si="1030"/>
        <v>8.5764317645482109</v>
      </c>
      <c r="AU132" s="215">
        <f t="shared" si="1031"/>
        <v>46.540505887688937</v>
      </c>
      <c r="AV132" s="215">
        <f t="shared" si="1032"/>
        <v>2.0711562900764897</v>
      </c>
      <c r="AW132" s="215">
        <f t="shared" si="1033"/>
        <v>28.063000392910869</v>
      </c>
      <c r="AX132" s="215">
        <f t="shared" si="1034"/>
        <v>16.970809370553166</v>
      </c>
      <c r="AY132" s="215">
        <f t="shared" si="1035"/>
        <v>1143.6803327704854</v>
      </c>
      <c r="AZ132" s="215">
        <f t="shared" si="1036"/>
        <v>429.29171105274628</v>
      </c>
      <c r="BA132" s="215">
        <f t="shared" si="1037"/>
        <v>77.453620046707798</v>
      </c>
      <c r="BB132" s="215">
        <f t="shared" si="1038"/>
        <v>12.406808321583148</v>
      </c>
      <c r="BC132" s="215">
        <f t="shared" si="1039"/>
        <v>14.768730237612962</v>
      </c>
      <c r="BD132" s="215">
        <f t="shared" si="1040"/>
        <v>28.569358327992571</v>
      </c>
      <c r="BE132" s="215">
        <f t="shared" si="1041"/>
        <v>37.621752935659416</v>
      </c>
      <c r="BF132" s="215">
        <f t="shared" si="1042"/>
        <v>1351.3388057024249</v>
      </c>
      <c r="BG132" s="215">
        <f t="shared" si="1043"/>
        <v>361.57222629371489</v>
      </c>
      <c r="BH132" s="215">
        <f t="shared" si="1044"/>
        <v>61.424295496167055</v>
      </c>
      <c r="BI132" s="215">
        <f t="shared" si="1045"/>
        <v>131.60505394098931</v>
      </c>
      <c r="BJ132" s="194"/>
      <c r="BK132" s="66">
        <v>18</v>
      </c>
      <c r="BL132" s="66">
        <v>2022</v>
      </c>
      <c r="BM132" s="215">
        <f t="shared" si="1153"/>
        <v>12.485866492823547</v>
      </c>
      <c r="BN132" s="219">
        <f t="shared" si="1154"/>
        <v>28.310917524481596</v>
      </c>
      <c r="BO132" s="219">
        <f t="shared" si="1155"/>
        <v>27.228492558910819</v>
      </c>
      <c r="BP132" s="219">
        <f t="shared" si="1156"/>
        <v>9.4283434704918285</v>
      </c>
      <c r="BQ132" s="219">
        <f t="shared" si="1157"/>
        <v>3.3656672591403671</v>
      </c>
      <c r="BR132" s="220">
        <f t="shared" si="1158"/>
        <v>11.398936068849705</v>
      </c>
      <c r="BS132" s="219">
        <f t="shared" si="1159"/>
        <v>5.9104268588966162</v>
      </c>
      <c r="BT132" s="219">
        <f t="shared" si="1160"/>
        <v>2.0953685203975296</v>
      </c>
      <c r="BU132" s="219">
        <f t="shared" si="1161"/>
        <v>17.779072129316404</v>
      </c>
      <c r="BV132" s="219">
        <f t="shared" si="1162"/>
        <v>7.5177344031705706</v>
      </c>
      <c r="BW132" s="219">
        <f t="shared" si="1163"/>
        <v>10.916542039020099</v>
      </c>
      <c r="BX132" s="220">
        <f t="shared" si="1164"/>
        <v>2.4405482173757513</v>
      </c>
      <c r="BY132" s="195"/>
      <c r="BZ132" s="192">
        <v>18</v>
      </c>
      <c r="CA132" s="66">
        <v>2022</v>
      </c>
      <c r="CB132" s="218">
        <f t="shared" si="1165"/>
        <v>0.65570278844305185</v>
      </c>
      <c r="CC132" s="218">
        <f t="shared" si="1166"/>
        <v>0.2300516593946329</v>
      </c>
      <c r="CD132" s="73">
        <f t="shared" si="1167"/>
        <v>1.1854018422388048</v>
      </c>
      <c r="CE132" s="73">
        <f t="shared" si="1168"/>
        <v>1.2250118497133435</v>
      </c>
      <c r="CF132" s="73">
        <f t="shared" si="1169"/>
        <v>0.69456713557105632</v>
      </c>
      <c r="CG132" s="73">
        <f t="shared" si="1170"/>
        <v>5.8077243454710308</v>
      </c>
      <c r="CH132" s="73">
        <f t="shared" si="1171"/>
        <v>2.0802079346435289</v>
      </c>
      <c r="CI132" s="73">
        <f t="shared" si="1172"/>
        <v>0.53490919534862846</v>
      </c>
      <c r="CJ132" s="73">
        <f t="shared" si="1173"/>
        <v>1.0691111723585887</v>
      </c>
      <c r="CK132" s="73">
        <f t="shared" si="1174"/>
        <v>0.74951774887641842</v>
      </c>
      <c r="CL132" s="73">
        <f t="shared" si="1175"/>
        <v>0.24575893960055123</v>
      </c>
      <c r="CM132" s="73">
        <f t="shared" si="1176"/>
        <v>9.45862460359346</v>
      </c>
      <c r="CN132" s="73">
        <f t="shared" si="1177"/>
        <v>17.11120929814701</v>
      </c>
      <c r="CO132" s="73">
        <f t="shared" si="1178"/>
        <v>7.7553963934089207</v>
      </c>
      <c r="CP132" s="73">
        <f t="shared" si="1179"/>
        <v>36.120576707227741</v>
      </c>
      <c r="CQ132" s="73">
        <f t="shared" si="1180"/>
        <v>32.437196885685267</v>
      </c>
      <c r="CR132" s="73">
        <f t="shared" si="1181"/>
        <v>2.1315761929849075</v>
      </c>
      <c r="CS132" s="73">
        <f t="shared" si="1182"/>
        <v>6.1790456132401914</v>
      </c>
      <c r="CT132" s="73">
        <f t="shared" si="1183"/>
        <v>3.6778010024345305</v>
      </c>
      <c r="CU132" s="73">
        <f t="shared" si="1184"/>
        <v>1.2216977410340144</v>
      </c>
      <c r="CV132" s="73">
        <f t="shared" si="1185"/>
        <v>7.4579727597377286</v>
      </c>
      <c r="CW132" s="73">
        <f t="shared" si="1186"/>
        <v>2.9916704083804215</v>
      </c>
      <c r="CX132" s="73">
        <f t="shared" si="1187"/>
        <v>4.1504940741954854</v>
      </c>
      <c r="CY132" s="73">
        <f t="shared" si="1188"/>
        <v>0.91179226091960319</v>
      </c>
      <c r="CZ132" s="190"/>
      <c r="DA132" s="66">
        <v>2022</v>
      </c>
      <c r="DB132" s="218">
        <f t="shared" si="1046"/>
        <v>54.116599463093948</v>
      </c>
      <c r="DC132" s="218">
        <f t="shared" si="1047"/>
        <v>3628.7232294694413</v>
      </c>
      <c r="DD132" s="73">
        <f t="shared" si="1048"/>
        <v>3323.5048287550308</v>
      </c>
      <c r="DE132" s="73">
        <f t="shared" si="1049"/>
        <v>1750.5327849317994</v>
      </c>
      <c r="DF132" s="73">
        <f t="shared" si="1050"/>
        <v>104.76238406177259</v>
      </c>
      <c r="DG132" s="73">
        <f t="shared" si="1051"/>
        <v>227.24981387194441</v>
      </c>
      <c r="DH132" s="72">
        <f t="shared" si="1079"/>
        <v>0.93599957283902424</v>
      </c>
      <c r="DI132" s="72">
        <f t="shared" si="1080"/>
        <v>0.94353330628322485</v>
      </c>
      <c r="DJ132" s="73">
        <f>SUM(AV114:AV132,BB114:BB132,BI114:BI132)</f>
        <v>4959.3167705305586</v>
      </c>
      <c r="DK132" s="73">
        <f>SUM(AV120:AV132,BB120:BB132,BI120:BI132)</f>
        <v>4959.3167705305586</v>
      </c>
      <c r="DL132" s="190"/>
      <c r="DM132"/>
      <c r="DN132"/>
      <c r="DO132"/>
      <c r="DP132"/>
    </row>
    <row r="133" spans="1:120" s="127" customFormat="1" x14ac:dyDescent="0.25">
      <c r="A133" s="190"/>
      <c r="B133" s="178"/>
      <c r="C133" s="182"/>
      <c r="D133" s="183"/>
      <c r="E133" s="183"/>
      <c r="F133" s="183"/>
      <c r="G133" s="183"/>
      <c r="H133" s="183"/>
      <c r="I133" s="183"/>
      <c r="J133" s="183"/>
      <c r="K133" s="183"/>
      <c r="L133" s="183"/>
      <c r="M133" s="183"/>
      <c r="N133" s="183"/>
      <c r="O133" s="183"/>
      <c r="P133" s="183"/>
      <c r="Q133" s="183"/>
      <c r="R133" s="183"/>
      <c r="S133" s="183"/>
      <c r="T133" s="183"/>
      <c r="U133" s="178"/>
      <c r="V133" s="190"/>
      <c r="W133" s="66">
        <v>19</v>
      </c>
      <c r="X133" s="66">
        <v>2023</v>
      </c>
      <c r="Y133" s="70">
        <f t="shared" si="1189"/>
        <v>1.6863525496535069E-3</v>
      </c>
      <c r="Z133" s="70">
        <f t="shared" si="1137"/>
        <v>6.3452668223342118E-4</v>
      </c>
      <c r="AA133" s="70">
        <f t="shared" si="1138"/>
        <v>3.8316663770198121E-3</v>
      </c>
      <c r="AB133" s="70">
        <f t="shared" si="1139"/>
        <v>1.6397686545947373E-4</v>
      </c>
      <c r="AC133" s="70">
        <f t="shared" si="1140"/>
        <v>2.0833596006309151E-3</v>
      </c>
      <c r="AD133" s="70">
        <f t="shared" si="1141"/>
        <v>1.2604531024918823E-3</v>
      </c>
      <c r="AE133" s="70">
        <f t="shared" si="1142"/>
        <v>0.13188928218989165</v>
      </c>
      <c r="AF133" s="70">
        <f t="shared" si="1143"/>
        <v>5.1717361775401482E-2</v>
      </c>
      <c r="AG133" s="70">
        <f t="shared" si="1144"/>
        <v>7.6726398989572005E-3</v>
      </c>
      <c r="AH133" s="70">
        <f t="shared" si="1145"/>
        <v>1.320625052156672E-3</v>
      </c>
      <c r="AI133" s="70">
        <f t="shared" si="1146"/>
        <v>1.0990623551870755E-3</v>
      </c>
      <c r="AJ133" s="70">
        <f t="shared" si="1147"/>
        <v>2.1311286785410102E-3</v>
      </c>
      <c r="AK133" s="70">
        <f t="shared" si="1148"/>
        <v>3.2217189023816067E-3</v>
      </c>
      <c r="AL133" s="70">
        <f t="shared" si="1149"/>
        <v>0.15037995055832423</v>
      </c>
      <c r="AM133" s="70">
        <f t="shared" si="1150"/>
        <v>4.3455269315013458E-2</v>
      </c>
      <c r="AN133" s="70">
        <f t="shared" si="1151"/>
        <v>6.3947267283732262E-3</v>
      </c>
      <c r="AO133" s="70">
        <f t="shared" si="1152"/>
        <v>1.3590075449140079E-2</v>
      </c>
      <c r="AP133" s="190"/>
      <c r="AQ133" s="66">
        <v>19</v>
      </c>
      <c r="AR133" s="66">
        <v>2023</v>
      </c>
      <c r="AS133" s="215">
        <f t="shared" si="1029"/>
        <v>14.482463150526305</v>
      </c>
      <c r="AT133" s="215">
        <f t="shared" si="1030"/>
        <v>5.4493405280879106</v>
      </c>
      <c r="AU133" s="215">
        <f t="shared" si="1031"/>
        <v>32.906504112501231</v>
      </c>
      <c r="AV133" s="215">
        <f t="shared" si="1032"/>
        <v>1.4082398796405788</v>
      </c>
      <c r="AW133" s="215">
        <f t="shared" si="1033"/>
        <v>17.891975584602328</v>
      </c>
      <c r="AX133" s="215">
        <f t="shared" si="1034"/>
        <v>10.824821662324386</v>
      </c>
      <c r="AY133" s="215">
        <f t="shared" si="1035"/>
        <v>1132.6704310180774</v>
      </c>
      <c r="AZ133" s="215">
        <f t="shared" si="1036"/>
        <v>444.15077162161901</v>
      </c>
      <c r="BA133" s="215">
        <f t="shared" si="1037"/>
        <v>65.892938357840407</v>
      </c>
      <c r="BB133" s="215">
        <f t="shared" si="1038"/>
        <v>11.341580772923587</v>
      </c>
      <c r="BC133" s="215">
        <f t="shared" si="1039"/>
        <v>9.4387914688408134</v>
      </c>
      <c r="BD133" s="215">
        <f t="shared" si="1040"/>
        <v>18.30221833645734</v>
      </c>
      <c r="BE133" s="215">
        <f t="shared" si="1041"/>
        <v>27.668250802409336</v>
      </c>
      <c r="BF133" s="215">
        <f t="shared" si="1042"/>
        <v>1291.4690305929109</v>
      </c>
      <c r="BG133" s="215">
        <f t="shared" si="1043"/>
        <v>373.19559108810819</v>
      </c>
      <c r="BH133" s="215">
        <f t="shared" si="1044"/>
        <v>54.918168932338411</v>
      </c>
      <c r="BI133" s="215">
        <f t="shared" si="1045"/>
        <v>116.71211156023298</v>
      </c>
      <c r="BJ133" s="194"/>
      <c r="BK133" s="66">
        <v>19</v>
      </c>
      <c r="BL133" s="66">
        <v>2023</v>
      </c>
      <c r="BM133" s="215">
        <f t="shared" si="1153"/>
        <v>8.0718111373778019</v>
      </c>
      <c r="BN133" s="219">
        <f t="shared" si="1154"/>
        <v>20.587974318525852</v>
      </c>
      <c r="BO133" s="219">
        <f t="shared" si="1155"/>
        <v>27.301046526270056</v>
      </c>
      <c r="BP133" s="219">
        <f t="shared" si="1156"/>
        <v>9.9321063756666863</v>
      </c>
      <c r="BQ133" s="219">
        <f t="shared" si="1157"/>
        <v>2.1683434564502706</v>
      </c>
      <c r="BR133" s="220">
        <f t="shared" si="1158"/>
        <v>8.4592831140860252</v>
      </c>
      <c r="BS133" s="219">
        <f t="shared" si="1159"/>
        <v>3.8589068448113859</v>
      </c>
      <c r="BT133" s="219">
        <f t="shared" si="1160"/>
        <v>1.4968160840491054</v>
      </c>
      <c r="BU133" s="219">
        <f t="shared" si="1161"/>
        <v>17.170770528169353</v>
      </c>
      <c r="BV133" s="219">
        <f t="shared" si="1162"/>
        <v>7.6359813099492637</v>
      </c>
      <c r="BW133" s="219">
        <f t="shared" si="1163"/>
        <v>11.507565795498301</v>
      </c>
      <c r="BX133" s="220">
        <f t="shared" si="1164"/>
        <v>2.6205017993246966</v>
      </c>
      <c r="BY133" s="195"/>
      <c r="BZ133" s="192">
        <v>19</v>
      </c>
      <c r="CA133" s="66">
        <v>2023</v>
      </c>
      <c r="CB133" s="218">
        <f t="shared" si="1165"/>
        <v>0.41555825543585906</v>
      </c>
      <c r="CC133" s="218">
        <f t="shared" si="1166"/>
        <v>0.1463404576310661</v>
      </c>
      <c r="CD133" s="73">
        <f t="shared" si="1167"/>
        <v>0.84634116657365377</v>
      </c>
      <c r="CE133" s="73">
        <f t="shared" si="1168"/>
        <v>0.78263603492958767</v>
      </c>
      <c r="CF133" s="73">
        <f t="shared" si="1169"/>
        <v>0.44409072121076304</v>
      </c>
      <c r="CG133" s="73">
        <f t="shared" si="1170"/>
        <v>5.7837850028681395</v>
      </c>
      <c r="CH133" s="73">
        <f t="shared" si="1171"/>
        <v>2.171000837469812</v>
      </c>
      <c r="CI133" s="73">
        <f t="shared" si="1172"/>
        <v>0.34821255417407693</v>
      </c>
      <c r="CJ133" s="73">
        <f t="shared" si="1173"/>
        <v>0.7895500811159194</v>
      </c>
      <c r="CK133" s="73">
        <f t="shared" si="1174"/>
        <v>0.7593628320227287</v>
      </c>
      <c r="CL133" s="73">
        <f t="shared" si="1175"/>
        <v>0.26294270913255691</v>
      </c>
      <c r="CM133" s="73">
        <f t="shared" si="1176"/>
        <v>6.062781428559088</v>
      </c>
      <c r="CN133" s="73">
        <f t="shared" si="1177"/>
        <v>11.004559072497818</v>
      </c>
      <c r="CO133" s="73">
        <f t="shared" si="1178"/>
        <v>5.5606799367936333</v>
      </c>
      <c r="CP133" s="73">
        <f t="shared" si="1179"/>
        <v>34.803996459597649</v>
      </c>
      <c r="CQ133" s="73">
        <f t="shared" si="1180"/>
        <v>34.064516071738772</v>
      </c>
      <c r="CR133" s="73">
        <f t="shared" si="1181"/>
        <v>1.3816560141004817</v>
      </c>
      <c r="CS133" s="73">
        <f t="shared" si="1182"/>
        <v>4.6794312572347661</v>
      </c>
      <c r="CT133" s="73">
        <f t="shared" si="1183"/>
        <v>2.4263173352380862</v>
      </c>
      <c r="CU133" s="73">
        <f t="shared" si="1184"/>
        <v>0.860179659799024</v>
      </c>
      <c r="CV133" s="73">
        <f t="shared" si="1185"/>
        <v>7.2985711424338353</v>
      </c>
      <c r="CW133" s="73">
        <f t="shared" si="1186"/>
        <v>3.0861407711479067</v>
      </c>
      <c r="CX133" s="73">
        <f t="shared" si="1187"/>
        <v>4.4814013983204077</v>
      </c>
      <c r="CY133" s="73">
        <f t="shared" si="1188"/>
        <v>1.0018810127714961</v>
      </c>
      <c r="CZ133" s="190"/>
      <c r="DA133" s="66">
        <v>2023</v>
      </c>
      <c r="DB133" s="218">
        <f t="shared" si="1046"/>
        <v>34.576380526869642</v>
      </c>
      <c r="DC133" s="218">
        <f t="shared" si="1047"/>
        <v>3499.2612972566444</v>
      </c>
      <c r="DD133" s="73">
        <f t="shared" si="1048"/>
        <v>3269.154075123125</v>
      </c>
      <c r="DE133" s="73">
        <f t="shared" si="1049"/>
        <v>1692.3328724834284</v>
      </c>
      <c r="DF133" s="73">
        <f t="shared" si="1050"/>
        <v>82.659178737636566</v>
      </c>
      <c r="DG133" s="73">
        <f t="shared" si="1051"/>
        <v>177.26891434240366</v>
      </c>
      <c r="DH133" s="72">
        <f t="shared" si="1079"/>
        <v>0.9485643767801426</v>
      </c>
      <c r="DI133" s="72">
        <f t="shared" si="1080"/>
        <v>0.9534312400549777</v>
      </c>
      <c r="DJ133" s="73">
        <f>SUM(AV114:AV133,BB114:BB133,BI114:BI133)</f>
        <v>5088.778702743356</v>
      </c>
      <c r="DK133" s="73">
        <f>SUM(AV120:AV133,BB120:BB133,BI120:BI133)</f>
        <v>5088.778702743356</v>
      </c>
      <c r="DL133" s="190"/>
    </row>
    <row r="134" spans="1:120" s="127" customFormat="1" x14ac:dyDescent="0.25">
      <c r="A134" s="190"/>
      <c r="B134" s="190" t="s">
        <v>576</v>
      </c>
      <c r="C134" s="182"/>
      <c r="D134" s="183"/>
      <c r="E134" s="183"/>
      <c r="F134" s="183"/>
      <c r="G134" s="183"/>
      <c r="H134" s="183"/>
      <c r="I134" s="183"/>
      <c r="J134" s="183"/>
      <c r="K134" s="183"/>
      <c r="L134" s="183"/>
      <c r="M134" s="183"/>
      <c r="N134" s="183"/>
      <c r="O134" s="183"/>
      <c r="P134" s="183"/>
      <c r="Q134" s="183"/>
      <c r="R134" s="183"/>
      <c r="S134" s="183"/>
      <c r="T134" s="183"/>
      <c r="U134" s="178"/>
      <c r="V134" s="190"/>
      <c r="W134" s="197" t="s">
        <v>581</v>
      </c>
      <c r="X134" s="190"/>
      <c r="Y134" s="190"/>
      <c r="Z134" s="190"/>
      <c r="AA134" s="190"/>
      <c r="AB134" s="190"/>
      <c r="AC134" s="190"/>
      <c r="AD134" s="190"/>
      <c r="AE134" s="190"/>
      <c r="AF134" s="190"/>
      <c r="AG134" s="190"/>
      <c r="AH134" s="190"/>
      <c r="AI134" s="190"/>
      <c r="AJ134" s="190"/>
      <c r="AK134" s="190"/>
      <c r="AL134" s="190"/>
      <c r="AM134" s="190"/>
      <c r="AN134" s="190"/>
      <c r="AO134" s="190"/>
      <c r="AP134" s="190"/>
      <c r="AQ134" s="193" t="s">
        <v>90</v>
      </c>
      <c r="AR134" s="25"/>
      <c r="AS134" s="213"/>
      <c r="AT134" s="213"/>
      <c r="AU134" s="213"/>
      <c r="AV134" s="213"/>
      <c r="AW134" s="213"/>
      <c r="AX134" s="213"/>
      <c r="AY134" s="213"/>
      <c r="AZ134" s="213"/>
      <c r="BA134" s="213"/>
      <c r="BB134" s="213"/>
      <c r="BC134" s="213"/>
      <c r="BD134" s="213"/>
      <c r="BE134" s="213"/>
      <c r="BF134" s="213"/>
      <c r="BG134" s="213"/>
      <c r="BH134" s="213"/>
      <c r="BI134" s="213"/>
      <c r="BJ134" s="25"/>
      <c r="BK134" s="25"/>
      <c r="BL134" s="25"/>
      <c r="BM134" s="348" t="s">
        <v>570</v>
      </c>
      <c r="BN134" s="349"/>
      <c r="BO134" s="349"/>
      <c r="BP134" s="349"/>
      <c r="BQ134" s="350" t="s">
        <v>570</v>
      </c>
      <c r="BR134" s="350"/>
      <c r="BS134" s="350"/>
      <c r="BT134" s="350"/>
      <c r="BU134" s="350"/>
      <c r="BV134" s="350"/>
      <c r="BW134" s="350"/>
      <c r="BX134" s="351"/>
      <c r="BY134" s="199"/>
      <c r="BZ134" s="25"/>
      <c r="CA134" s="25"/>
      <c r="CB134" s="350" t="s">
        <v>302</v>
      </c>
      <c r="CC134" s="350"/>
      <c r="CD134" s="350"/>
      <c r="CE134" s="350" t="s">
        <v>302</v>
      </c>
      <c r="CF134" s="350"/>
      <c r="CG134" s="350"/>
      <c r="CH134" s="350"/>
      <c r="CI134" s="350"/>
      <c r="CJ134" s="350"/>
      <c r="CK134" s="350"/>
      <c r="CL134" s="350"/>
      <c r="CM134" s="350" t="s">
        <v>302</v>
      </c>
      <c r="CN134" s="350"/>
      <c r="CO134" s="350"/>
      <c r="CP134" s="350"/>
      <c r="CQ134" s="350"/>
      <c r="CR134" s="350"/>
      <c r="CS134" s="350"/>
      <c r="CT134" s="350"/>
      <c r="CU134" s="350"/>
      <c r="CV134" s="350"/>
      <c r="CW134" s="350"/>
      <c r="CX134" s="350"/>
      <c r="CY134" s="350"/>
      <c r="CZ134" s="190"/>
      <c r="DA134" s="190" t="s">
        <v>100</v>
      </c>
      <c r="DB134" s="217"/>
      <c r="DC134" s="217"/>
      <c r="DD134" s="217"/>
      <c r="DE134" s="217"/>
      <c r="DF134" s="217"/>
      <c r="DG134" s="217"/>
      <c r="DH134" s="222"/>
      <c r="DI134" s="222"/>
      <c r="DJ134" s="217"/>
      <c r="DK134" s="217"/>
      <c r="DL134" s="190"/>
    </row>
    <row r="135" spans="1:120" x14ac:dyDescent="0.25">
      <c r="A135" s="190"/>
      <c r="B135" s="188">
        <v>2010</v>
      </c>
      <c r="C135" s="187"/>
      <c r="D135" s="181" t="s">
        <v>320</v>
      </c>
      <c r="E135" s="181" t="s">
        <v>319</v>
      </c>
      <c r="F135" s="181" t="s">
        <v>318</v>
      </c>
      <c r="G135" s="181" t="s">
        <v>317</v>
      </c>
      <c r="H135" s="181" t="s">
        <v>321</v>
      </c>
      <c r="I135" s="181" t="s">
        <v>322</v>
      </c>
      <c r="J135" s="181" t="s">
        <v>323</v>
      </c>
      <c r="K135" s="181" t="s">
        <v>324</v>
      </c>
      <c r="L135" s="181" t="s">
        <v>325</v>
      </c>
      <c r="M135" s="181" t="s">
        <v>326</v>
      </c>
      <c r="N135" s="181" t="s">
        <v>327</v>
      </c>
      <c r="O135" s="181" t="s">
        <v>328</v>
      </c>
      <c r="P135" s="181" t="s">
        <v>329</v>
      </c>
      <c r="Q135" s="181" t="s">
        <v>330</v>
      </c>
      <c r="R135" s="181" t="s">
        <v>331</v>
      </c>
      <c r="S135" s="181" t="s">
        <v>332</v>
      </c>
      <c r="T135" s="181" t="s">
        <v>333</v>
      </c>
      <c r="U135" s="181" t="s">
        <v>87</v>
      </c>
      <c r="V135" s="190"/>
      <c r="W135" s="66" t="s">
        <v>88</v>
      </c>
      <c r="X135" s="66" t="s">
        <v>89</v>
      </c>
      <c r="Y135" s="61" t="s">
        <v>320</v>
      </c>
      <c r="Z135" s="61" t="s">
        <v>319</v>
      </c>
      <c r="AA135" s="61" t="s">
        <v>318</v>
      </c>
      <c r="AB135" s="61" t="s">
        <v>317</v>
      </c>
      <c r="AC135" s="61" t="s">
        <v>321</v>
      </c>
      <c r="AD135" s="61" t="s">
        <v>322</v>
      </c>
      <c r="AE135" s="61" t="s">
        <v>323</v>
      </c>
      <c r="AF135" s="61" t="s">
        <v>324</v>
      </c>
      <c r="AG135" s="61" t="s">
        <v>325</v>
      </c>
      <c r="AH135" s="61" t="s">
        <v>326</v>
      </c>
      <c r="AI135" s="61" t="s">
        <v>327</v>
      </c>
      <c r="AJ135" s="61" t="s">
        <v>328</v>
      </c>
      <c r="AK135" s="61" t="s">
        <v>329</v>
      </c>
      <c r="AL135" s="61" t="s">
        <v>330</v>
      </c>
      <c r="AM135" s="61" t="s">
        <v>331</v>
      </c>
      <c r="AN135" s="61" t="s">
        <v>332</v>
      </c>
      <c r="AO135" s="61" t="s">
        <v>333</v>
      </c>
      <c r="AP135" s="190"/>
      <c r="AQ135" s="66" t="s">
        <v>88</v>
      </c>
      <c r="AR135" s="66" t="s">
        <v>89</v>
      </c>
      <c r="AS135" s="214" t="s">
        <v>320</v>
      </c>
      <c r="AT135" s="214" t="s">
        <v>319</v>
      </c>
      <c r="AU135" s="214" t="s">
        <v>318</v>
      </c>
      <c r="AV135" s="214" t="s">
        <v>317</v>
      </c>
      <c r="AW135" s="214" t="s">
        <v>321</v>
      </c>
      <c r="AX135" s="214" t="s">
        <v>322</v>
      </c>
      <c r="AY135" s="214" t="s">
        <v>323</v>
      </c>
      <c r="AZ135" s="214" t="s">
        <v>324</v>
      </c>
      <c r="BA135" s="214" t="s">
        <v>325</v>
      </c>
      <c r="BB135" s="214" t="s">
        <v>326</v>
      </c>
      <c r="BC135" s="214" t="s">
        <v>327</v>
      </c>
      <c r="BD135" s="214" t="s">
        <v>328</v>
      </c>
      <c r="BE135" s="214" t="s">
        <v>329</v>
      </c>
      <c r="BF135" s="214" t="s">
        <v>330</v>
      </c>
      <c r="BG135" s="214" t="s">
        <v>331</v>
      </c>
      <c r="BH135" s="214" t="s">
        <v>332</v>
      </c>
      <c r="BI135" s="214" t="s">
        <v>333</v>
      </c>
      <c r="BJ135" s="189"/>
      <c r="BK135" s="66" t="s">
        <v>88</v>
      </c>
      <c r="BL135" s="66" t="s">
        <v>89</v>
      </c>
      <c r="BM135" s="122" t="s">
        <v>627</v>
      </c>
      <c r="BN135" s="122" t="s">
        <v>715</v>
      </c>
      <c r="BO135" s="122" t="s">
        <v>628</v>
      </c>
      <c r="BP135" s="122" t="s">
        <v>629</v>
      </c>
      <c r="BQ135" s="122" t="s">
        <v>627</v>
      </c>
      <c r="BR135" s="122" t="s">
        <v>716</v>
      </c>
      <c r="BS135" s="122" t="s">
        <v>717</v>
      </c>
      <c r="BT135" s="122" t="s">
        <v>721</v>
      </c>
      <c r="BU135" s="122" t="s">
        <v>720</v>
      </c>
      <c r="BV135" s="122" t="s">
        <v>719</v>
      </c>
      <c r="BW135" s="122" t="s">
        <v>629</v>
      </c>
      <c r="BX135" s="122" t="s">
        <v>722</v>
      </c>
      <c r="BY135" s="182"/>
      <c r="BZ135" s="192" t="s">
        <v>88</v>
      </c>
      <c r="CA135" s="66" t="s">
        <v>89</v>
      </c>
      <c r="CB135" s="218" t="s">
        <v>124</v>
      </c>
      <c r="CC135" s="218" t="s">
        <v>630</v>
      </c>
      <c r="CD135" s="218" t="s">
        <v>570</v>
      </c>
      <c r="CE135" s="218" t="s">
        <v>124</v>
      </c>
      <c r="CF135" s="218" t="s">
        <v>630</v>
      </c>
      <c r="CG135" s="218" t="s">
        <v>631</v>
      </c>
      <c r="CH135" s="218" t="s">
        <v>632</v>
      </c>
      <c r="CI135" s="227" t="s">
        <v>624</v>
      </c>
      <c r="CJ135" s="227" t="s">
        <v>725</v>
      </c>
      <c r="CK135" s="227" t="s">
        <v>625</v>
      </c>
      <c r="CL135" s="227" t="s">
        <v>626</v>
      </c>
      <c r="CM135" s="218" t="s">
        <v>124</v>
      </c>
      <c r="CN135" s="218" t="s">
        <v>633</v>
      </c>
      <c r="CO135" s="218" t="s">
        <v>634</v>
      </c>
      <c r="CP135" s="218" t="s">
        <v>635</v>
      </c>
      <c r="CQ135" s="218" t="s">
        <v>632</v>
      </c>
      <c r="CR135" s="122" t="s">
        <v>624</v>
      </c>
      <c r="CS135" s="122" t="s">
        <v>726</v>
      </c>
      <c r="CT135" s="122" t="s">
        <v>727</v>
      </c>
      <c r="CU135" s="122" t="s">
        <v>637</v>
      </c>
      <c r="CV135" s="122" t="s">
        <v>638</v>
      </c>
      <c r="CW135" s="122" t="s">
        <v>728</v>
      </c>
      <c r="CX135" s="122" t="s">
        <v>626</v>
      </c>
      <c r="CY135" s="122" t="s">
        <v>729</v>
      </c>
      <c r="CZ135" s="190"/>
      <c r="DA135" s="67" t="s">
        <v>89</v>
      </c>
      <c r="DB135" s="219" t="s">
        <v>91</v>
      </c>
      <c r="DC135" s="219" t="s">
        <v>99</v>
      </c>
      <c r="DD135" s="215" t="s">
        <v>92</v>
      </c>
      <c r="DE135" s="215" t="s">
        <v>97</v>
      </c>
      <c r="DF135" s="215" t="s">
        <v>93</v>
      </c>
      <c r="DG135" s="215" t="s">
        <v>94</v>
      </c>
      <c r="DH135" s="223" t="s">
        <v>96</v>
      </c>
      <c r="DI135" s="223" t="s">
        <v>98</v>
      </c>
      <c r="DJ135" s="219" t="s">
        <v>95</v>
      </c>
      <c r="DK135" s="219" t="s">
        <v>102</v>
      </c>
      <c r="DL135" s="190"/>
      <c r="DM135" s="127"/>
      <c r="DN135" s="127"/>
      <c r="DO135" s="127"/>
      <c r="DP135" s="127"/>
    </row>
    <row r="136" spans="1:120" x14ac:dyDescent="0.25">
      <c r="A136" s="190"/>
      <c r="B136" s="188">
        <v>2010</v>
      </c>
      <c r="C136" s="61" t="s">
        <v>320</v>
      </c>
      <c r="D136" s="172">
        <f>pAsympt_NoCare_2010_2012</f>
        <v>0.63376008575865694</v>
      </c>
      <c r="E136" s="172">
        <f>pAsympt_NoCare_Asympt_InCare_2010_2012</f>
        <v>7.4027434914144222E-2</v>
      </c>
      <c r="F136" s="169">
        <v>0</v>
      </c>
      <c r="G136" s="170">
        <f>pAsympt_NoCare_Asympt_Dead_2010_2012</f>
        <v>1.818504441305463E-2</v>
      </c>
      <c r="H136" s="170">
        <f>pAsympt_NoCare_Int_NoCare_2010_2012</f>
        <v>0.2</v>
      </c>
      <c r="I136" s="172">
        <f>pAsympt_NoCare_Int_InCare_2010_2012</f>
        <v>7.4027434914144222E-2</v>
      </c>
      <c r="J136" s="171">
        <f>pAsympt_NoCare_Int_ART1_2010_2012</f>
        <v>0</v>
      </c>
      <c r="K136" s="169">
        <v>0</v>
      </c>
      <c r="L136" s="169">
        <v>0</v>
      </c>
      <c r="M136" s="169">
        <v>0</v>
      </c>
      <c r="N136" s="169">
        <v>0</v>
      </c>
      <c r="O136" s="169">
        <v>0</v>
      </c>
      <c r="P136" s="169">
        <v>0</v>
      </c>
      <c r="Q136" s="169">
        <v>0</v>
      </c>
      <c r="R136" s="169">
        <v>0</v>
      </c>
      <c r="S136" s="169">
        <v>0</v>
      </c>
      <c r="T136" s="169">
        <v>0</v>
      </c>
      <c r="U136" s="61">
        <f>SUM(D136:T136)</f>
        <v>0.99999999999999989</v>
      </c>
      <c r="V136" s="190"/>
      <c r="W136" s="66">
        <v>0</v>
      </c>
      <c r="X136" s="66">
        <v>2004</v>
      </c>
      <c r="Y136" s="69">
        <v>0</v>
      </c>
      <c r="Z136" s="69">
        <v>0</v>
      </c>
      <c r="AA136" s="69">
        <v>0</v>
      </c>
      <c r="AB136" s="69">
        <v>0</v>
      </c>
      <c r="AC136" s="69">
        <v>0</v>
      </c>
      <c r="AD136" s="69">
        <v>0</v>
      </c>
      <c r="AE136" s="69">
        <v>0</v>
      </c>
      <c r="AF136" s="69">
        <v>0</v>
      </c>
      <c r="AG136" s="69">
        <v>0</v>
      </c>
      <c r="AH136" s="69">
        <v>0</v>
      </c>
      <c r="AI136" s="69">
        <v>0</v>
      </c>
      <c r="AJ136" s="69">
        <v>0</v>
      </c>
      <c r="AK136" s="69">
        <v>0</v>
      </c>
      <c r="AL136" s="69">
        <v>0</v>
      </c>
      <c r="AM136" s="69">
        <v>0</v>
      </c>
      <c r="AN136" s="69">
        <v>0</v>
      </c>
      <c r="AO136" s="69">
        <v>0</v>
      </c>
      <c r="AP136" s="190"/>
      <c r="AQ136" s="66">
        <v>0</v>
      </c>
      <c r="AR136" s="66">
        <v>2004</v>
      </c>
      <c r="AS136" s="215">
        <f t="shared" ref="AS136:AS155" si="1190">Inc_2010*Y136</f>
        <v>0</v>
      </c>
      <c r="AT136" s="215">
        <f t="shared" ref="AT136:AT155" si="1191">Inc_2010*Z136</f>
        <v>0</v>
      </c>
      <c r="AU136" s="215">
        <f t="shared" ref="AU136:AU155" si="1192">Inc_2010*AA136</f>
        <v>0</v>
      </c>
      <c r="AV136" s="215">
        <f t="shared" ref="AV136:AV155" si="1193">Inc_2010*AB136</f>
        <v>0</v>
      </c>
      <c r="AW136" s="215">
        <f t="shared" ref="AW136:AW155" si="1194">Inc_2010*AC136</f>
        <v>0</v>
      </c>
      <c r="AX136" s="215">
        <f t="shared" ref="AX136:AX155" si="1195">Inc_2010*AD136</f>
        <v>0</v>
      </c>
      <c r="AY136" s="215">
        <f t="shared" ref="AY136:AY155" si="1196">Inc_2010*AE136</f>
        <v>0</v>
      </c>
      <c r="AZ136" s="215">
        <f t="shared" ref="AZ136:AZ155" si="1197">Inc_2010*AF136</f>
        <v>0</v>
      </c>
      <c r="BA136" s="215">
        <f t="shared" ref="BA136:BA155" si="1198">Inc_2010*AG136</f>
        <v>0</v>
      </c>
      <c r="BB136" s="215">
        <f t="shared" ref="BB136:BB155" si="1199">Inc_2010*AH136</f>
        <v>0</v>
      </c>
      <c r="BC136" s="215">
        <f t="shared" ref="BC136:BC155" si="1200">Inc_2010*AI136</f>
        <v>0</v>
      </c>
      <c r="BD136" s="215">
        <f t="shared" ref="BD136:BD155" si="1201">Inc_2010*AJ136</f>
        <v>0</v>
      </c>
      <c r="BE136" s="215">
        <f t="shared" ref="BE136:BE155" si="1202">Inc_2010*AK136</f>
        <v>0</v>
      </c>
      <c r="BF136" s="215">
        <f t="shared" ref="BF136:BF155" si="1203">Inc_2010*AL136</f>
        <v>0</v>
      </c>
      <c r="BG136" s="215">
        <f t="shared" ref="BG136:BG155" si="1204">Inc_2010*AM136</f>
        <v>0</v>
      </c>
      <c r="BH136" s="215">
        <f t="shared" ref="BH136:BH155" si="1205">Inc_2010*AN136</f>
        <v>0</v>
      </c>
      <c r="BI136" s="215">
        <f t="shared" ref="BI136:BI155" si="1206">Inc_2010*AO136</f>
        <v>0</v>
      </c>
      <c r="BJ136" s="194"/>
      <c r="BK136" s="66">
        <v>0</v>
      </c>
      <c r="BL136" s="66">
        <v>2004</v>
      </c>
      <c r="BM136" s="215">
        <f>BA136</f>
        <v>0</v>
      </c>
      <c r="BN136" s="219">
        <v>0</v>
      </c>
      <c r="BO136" s="219">
        <v>0</v>
      </c>
      <c r="BP136" s="219">
        <v>0</v>
      </c>
      <c r="BQ136" s="219">
        <f>BH136</f>
        <v>0</v>
      </c>
      <c r="BR136" s="219">
        <v>0</v>
      </c>
      <c r="BS136" s="219">
        <v>0</v>
      </c>
      <c r="BT136" s="219">
        <v>0</v>
      </c>
      <c r="BU136" s="219">
        <v>0</v>
      </c>
      <c r="BV136" s="219">
        <v>0</v>
      </c>
      <c r="BW136" s="219">
        <v>0</v>
      </c>
      <c r="BX136" s="219">
        <v>0</v>
      </c>
      <c r="BY136" s="195"/>
      <c r="BZ136" s="192">
        <v>0</v>
      </c>
      <c r="CA136" s="66">
        <v>2004</v>
      </c>
      <c r="CB136" s="218">
        <v>0</v>
      </c>
      <c r="CC136" s="218">
        <v>0</v>
      </c>
      <c r="CD136" s="218">
        <v>0</v>
      </c>
      <c r="CE136" s="218">
        <v>0</v>
      </c>
      <c r="CF136" s="218">
        <v>0</v>
      </c>
      <c r="CG136" s="218">
        <v>0</v>
      </c>
      <c r="CH136" s="218">
        <v>0</v>
      </c>
      <c r="CI136" s="218">
        <v>0</v>
      </c>
      <c r="CJ136" s="218">
        <v>0</v>
      </c>
      <c r="CK136" s="218">
        <v>0</v>
      </c>
      <c r="CL136" s="218">
        <v>0</v>
      </c>
      <c r="CM136" s="218">
        <v>0</v>
      </c>
      <c r="CN136" s="218">
        <v>0</v>
      </c>
      <c r="CO136" s="218">
        <v>0</v>
      </c>
      <c r="CP136" s="218">
        <v>0</v>
      </c>
      <c r="CQ136" s="218">
        <v>0</v>
      </c>
      <c r="CR136" s="218">
        <v>0</v>
      </c>
      <c r="CS136" s="218">
        <v>0</v>
      </c>
      <c r="CT136" s="218">
        <v>0</v>
      </c>
      <c r="CU136" s="218">
        <v>0</v>
      </c>
      <c r="CV136" s="218">
        <v>0</v>
      </c>
      <c r="CW136" s="218">
        <v>0</v>
      </c>
      <c r="CX136" s="218">
        <v>0</v>
      </c>
      <c r="CY136" s="218">
        <v>0</v>
      </c>
      <c r="CZ136" s="190"/>
      <c r="DA136" s="67">
        <v>2004</v>
      </c>
      <c r="DB136" s="218">
        <f t="shared" ref="DB136:DB155" si="1207">SUM(AT136,AX136,BD136)</f>
        <v>0</v>
      </c>
      <c r="DC136" s="218">
        <f t="shared" ref="DC136:DC155" si="1208">SUM(AS136:AU136,AW136:BA136,BC136:BH136)</f>
        <v>0</v>
      </c>
      <c r="DD136" s="73">
        <f t="shared" ref="DD136:DD155" si="1209">SUM(AY136:AZ136,BE136:BG136)</f>
        <v>0</v>
      </c>
      <c r="DE136" s="73">
        <f t="shared" ref="DE136:DE155" si="1210">SUM(BE136:BG136)</f>
        <v>0</v>
      </c>
      <c r="DF136" s="73">
        <f t="shared" ref="DF136:DF155" si="1211">SUM(BC136,BD136,BH136)</f>
        <v>0</v>
      </c>
      <c r="DG136" s="73">
        <f t="shared" ref="DG136:DG155" si="1212">SUM(BC136,BD136,BH136,AW136,AX136,BA136)</f>
        <v>0</v>
      </c>
      <c r="DH136" s="72" t="e">
        <f>DD136/(DD136+DG136)</f>
        <v>#DIV/0!</v>
      </c>
      <c r="DI136" s="72" t="e">
        <f>DE136/(DE136+DF136)</f>
        <v>#DIV/0!</v>
      </c>
      <c r="DJ136" s="73">
        <f>SUM(AV136,BB136,BI136)</f>
        <v>0</v>
      </c>
      <c r="DK136" s="73">
        <v>0</v>
      </c>
      <c r="DL136" s="190"/>
    </row>
    <row r="137" spans="1:120" x14ac:dyDescent="0.25">
      <c r="A137" s="190"/>
      <c r="B137" s="188">
        <v>2010</v>
      </c>
      <c r="C137" s="61" t="s">
        <v>319</v>
      </c>
      <c r="D137" s="169">
        <v>0</v>
      </c>
      <c r="E137" s="172">
        <f>pAsympt_InCare_2004_2012</f>
        <v>0.43814160225821164</v>
      </c>
      <c r="F137" s="170">
        <f>pAsympt_InCare_Asympt_LTFU_2004_2012</f>
        <v>0.30679530417926698</v>
      </c>
      <c r="G137" s="170">
        <f>pAsympt_InCare_Asympt_Dead_2004_2012</f>
        <v>1.7063093562521336E-2</v>
      </c>
      <c r="H137" s="169">
        <v>0</v>
      </c>
      <c r="I137" s="170">
        <f>pAsympt_InCare_Int_InCare_2004_2012</f>
        <v>0.2</v>
      </c>
      <c r="J137" s="170">
        <f>pAsympt_InCare_Int_ART1_2004_2012</f>
        <v>3.7999999999999999E-2</v>
      </c>
      <c r="K137" s="169">
        <v>0</v>
      </c>
      <c r="L137" s="169">
        <v>0</v>
      </c>
      <c r="M137" s="169">
        <v>0</v>
      </c>
      <c r="N137" s="169">
        <v>0</v>
      </c>
      <c r="O137" s="169">
        <v>0</v>
      </c>
      <c r="P137" s="169">
        <v>0</v>
      </c>
      <c r="Q137" s="169">
        <v>0</v>
      </c>
      <c r="R137" s="169">
        <v>0</v>
      </c>
      <c r="S137" s="169">
        <v>0</v>
      </c>
      <c r="T137" s="169">
        <v>0</v>
      </c>
      <c r="U137" s="61">
        <f t="shared" ref="U137:U152" si="1213">SUM(D137:T137)</f>
        <v>1</v>
      </c>
      <c r="V137" s="190"/>
      <c r="W137" s="66">
        <v>1</v>
      </c>
      <c r="X137" s="66">
        <v>2005</v>
      </c>
      <c r="Y137" s="69">
        <v>0</v>
      </c>
      <c r="Z137" s="69">
        <v>0</v>
      </c>
      <c r="AA137" s="69">
        <v>0</v>
      </c>
      <c r="AB137" s="69">
        <v>0</v>
      </c>
      <c r="AC137" s="69">
        <v>0</v>
      </c>
      <c r="AD137" s="69">
        <v>0</v>
      </c>
      <c r="AE137" s="69">
        <v>0</v>
      </c>
      <c r="AF137" s="69">
        <v>0</v>
      </c>
      <c r="AG137" s="69">
        <v>0</v>
      </c>
      <c r="AH137" s="69">
        <v>0</v>
      </c>
      <c r="AI137" s="69">
        <v>0</v>
      </c>
      <c r="AJ137" s="69">
        <v>0</v>
      </c>
      <c r="AK137" s="69">
        <v>0</v>
      </c>
      <c r="AL137" s="69">
        <v>0</v>
      </c>
      <c r="AM137" s="69">
        <v>0</v>
      </c>
      <c r="AN137" s="69">
        <v>0</v>
      </c>
      <c r="AO137" s="69">
        <v>0</v>
      </c>
      <c r="AP137" s="190"/>
      <c r="AQ137" s="66">
        <v>1</v>
      </c>
      <c r="AR137" s="66">
        <v>2005</v>
      </c>
      <c r="AS137" s="215">
        <f t="shared" si="1190"/>
        <v>0</v>
      </c>
      <c r="AT137" s="215">
        <f t="shared" si="1191"/>
        <v>0</v>
      </c>
      <c r="AU137" s="215">
        <f t="shared" si="1192"/>
        <v>0</v>
      </c>
      <c r="AV137" s="215">
        <f t="shared" si="1193"/>
        <v>0</v>
      </c>
      <c r="AW137" s="215">
        <f t="shared" si="1194"/>
        <v>0</v>
      </c>
      <c r="AX137" s="215">
        <f t="shared" si="1195"/>
        <v>0</v>
      </c>
      <c r="AY137" s="215">
        <f t="shared" si="1196"/>
        <v>0</v>
      </c>
      <c r="AZ137" s="215">
        <f t="shared" si="1197"/>
        <v>0</v>
      </c>
      <c r="BA137" s="215">
        <f t="shared" si="1198"/>
        <v>0</v>
      </c>
      <c r="BB137" s="215">
        <f t="shared" si="1199"/>
        <v>0</v>
      </c>
      <c r="BC137" s="215">
        <f t="shared" si="1200"/>
        <v>0</v>
      </c>
      <c r="BD137" s="215">
        <f t="shared" si="1201"/>
        <v>0</v>
      </c>
      <c r="BE137" s="215">
        <f t="shared" si="1202"/>
        <v>0</v>
      </c>
      <c r="BF137" s="215">
        <f t="shared" si="1203"/>
        <v>0</v>
      </c>
      <c r="BG137" s="215">
        <f t="shared" si="1204"/>
        <v>0</v>
      </c>
      <c r="BH137" s="215">
        <f t="shared" si="1205"/>
        <v>0</v>
      </c>
      <c r="BI137" s="215">
        <f t="shared" si="1206"/>
        <v>0</v>
      </c>
      <c r="BJ137" s="194"/>
      <c r="BK137" s="66">
        <v>1</v>
      </c>
      <c r="BL137" s="66">
        <v>2005</v>
      </c>
      <c r="BM137" s="215">
        <f t="shared" ref="BM137:BM144" si="1214">(AX136*pInt_InCare_Int_LTFU_2004_2012)+(BM136*pInt_LTFU_2004_2012)</f>
        <v>0</v>
      </c>
      <c r="BN137" s="219">
        <f t="shared" ref="BN137:BN144" si="1215">(AU136*pAsympt_LTFU_Int_LTFU_2004_2012)+(BN136*pInt_LTFU_2004_2012)</f>
        <v>0</v>
      </c>
      <c r="BO137" s="219">
        <f t="shared" ref="BO137:BO144" si="1216">(AY136*pInt_ART1_Int_LTFU_2004_2012)+(BO136*pInt_LTFU_2004_2012)</f>
        <v>0</v>
      </c>
      <c r="BP137" s="219">
        <v>0</v>
      </c>
      <c r="BQ137" s="219">
        <f t="shared" ref="BQ137:BQ144" si="1217">(BD136*pAIDS_InCare_AIDS_LTFU_2004_2012)+(BQ136*pAIDS_LTFU_2004_2012)</f>
        <v>0</v>
      </c>
      <c r="BR137" s="220">
        <f>(BN136*pInt_LTFU_AIDS_LTFU_2004_2012)</f>
        <v>0</v>
      </c>
      <c r="BS137" s="219">
        <f>(BM136*pInt_LTFU_AIDS_LTFU_2004_2012)</f>
        <v>0</v>
      </c>
      <c r="BT137" s="219">
        <f>(BE136*pAIDS_ART1ear_AIDS_LTFU_2004_2012)</f>
        <v>0</v>
      </c>
      <c r="BU137" s="219">
        <f>(BF136*pAIDS_ART1late_AIDS_LTFU_2004_2012)</f>
        <v>0</v>
      </c>
      <c r="BV137" s="219">
        <f>(BO136*pInt_LTFU_AIDS_LTFU_2004_2012)</f>
        <v>0</v>
      </c>
      <c r="BW137" s="219">
        <f>(BG136*pAIDS_ART2_AIDS_LTFU_2004_2012)</f>
        <v>0</v>
      </c>
      <c r="BX137" s="220">
        <f>(BP136*pInt_LTFU_AIDS_LTFU_2004_2012)</f>
        <v>0</v>
      </c>
      <c r="BY137" s="195"/>
      <c r="BZ137" s="192">
        <v>1</v>
      </c>
      <c r="CA137" s="66">
        <v>2005</v>
      </c>
      <c r="CB137" s="218">
        <f>pAsympt_NoCare_Asympt_Dead_2004_2006*AS136</f>
        <v>0</v>
      </c>
      <c r="CC137" s="218">
        <f t="shared" ref="CC137:CC144" si="1218">pAsympt_InCare_Asympt_Dead_2004_2012*AT136</f>
        <v>0</v>
      </c>
      <c r="CD137" s="73">
        <f t="shared" ref="CD137:CD144" si="1219">pAsympt_LTFU_Asympt_Dead_2004_2012*AU136</f>
        <v>0</v>
      </c>
      <c r="CE137" s="73">
        <f>pInt_NoCare_Int_Dead_2004_2006*AW136</f>
        <v>0</v>
      </c>
      <c r="CF137" s="73">
        <f t="shared" ref="CF137:CF144" si="1220">pInt_InCare_Int_Dead_2004_2012*AX136</f>
        <v>0</v>
      </c>
      <c r="CG137" s="73">
        <f t="shared" ref="CG137:CG144" si="1221">pInt_ART1_Int_Dead_2004_2012*AY136</f>
        <v>0</v>
      </c>
      <c r="CH137" s="73">
        <f t="shared" ref="CH137:CH144" si="1222">pInt_ART2_Int_Dead_2004_2012*AZ136</f>
        <v>0</v>
      </c>
      <c r="CI137" s="73">
        <f t="shared" ref="CI137:CI144" si="1223">(BM136*pInt_LTFU_Int_Dead_2004_2012)</f>
        <v>0</v>
      </c>
      <c r="CJ137" s="73">
        <f t="shared" ref="CJ137:CJ144" si="1224">(BN136*pInt_LTFU_Int_Dead_2004_2012)</f>
        <v>0</v>
      </c>
      <c r="CK137" s="73">
        <f t="shared" ref="CK137:CK144" si="1225">(BO136*pInt_LTFU_Int_Dead_2004_2012)</f>
        <v>0</v>
      </c>
      <c r="CL137" s="73">
        <f t="shared" ref="CL137:CL144" si="1226">(BP136*pInt_LTFU_Int_Dead_2004_2012)</f>
        <v>0</v>
      </c>
      <c r="CM137" s="73">
        <f t="shared" ref="CM137:CM138" si="1227">pAIDS_NoCare_AIDS_Dead_2004_2006*BC136</f>
        <v>0</v>
      </c>
      <c r="CN137" s="73">
        <f t="shared" ref="CN137:CN144" si="1228">pAIDS_InCare_AIDS_Dead_2004_2012*BD136</f>
        <v>0</v>
      </c>
      <c r="CO137" s="73">
        <f t="shared" ref="CO137:CO144" si="1229">pAIDS_ART1ear_AIDS_Dead_2004_2012*BE136</f>
        <v>0</v>
      </c>
      <c r="CP137" s="73">
        <f t="shared" ref="CP137:CP144" si="1230">pAIDS_ART1late_AIDS_Dead_2004_2012*BF136</f>
        <v>0</v>
      </c>
      <c r="CQ137" s="73">
        <f t="shared" ref="CQ137:CQ144" si="1231">pAIDS_ART2_AIDS_Dead_2004_2012*BG136</f>
        <v>0</v>
      </c>
      <c r="CR137" s="73">
        <f t="shared" ref="CR137:CR144" si="1232">(BQ136*pAIDS_LTFU_AIDS_Dead_2004_2012)</f>
        <v>0</v>
      </c>
      <c r="CS137" s="73">
        <f t="shared" ref="CS137:CS144" si="1233">(BR136*pAIDS_LTFU_AIDS_Dead_2004_2012)</f>
        <v>0</v>
      </c>
      <c r="CT137" s="73">
        <f t="shared" ref="CT137:CT144" si="1234">(BS136*pAIDS_LTFU_AIDS_Dead_2004_2012)</f>
        <v>0</v>
      </c>
      <c r="CU137" s="73">
        <f t="shared" ref="CU137:CU144" si="1235">(BT136*pAIDS_LTFU_AIDS_Dead_2004_2012)</f>
        <v>0</v>
      </c>
      <c r="CV137" s="73">
        <f t="shared" ref="CV137:CV144" si="1236">(BU136*pAIDS_LTFU_AIDS_Dead_2004_2012)</f>
        <v>0</v>
      </c>
      <c r="CW137" s="73">
        <f t="shared" ref="CW137:CW144" si="1237">(BV136*pAIDS_LTFU_AIDS_Dead_2004_2012)</f>
        <v>0</v>
      </c>
      <c r="CX137" s="73">
        <f t="shared" ref="CX137:CX144" si="1238">(BW136*pAIDS_LTFU_AIDS_Dead_2004_2012)</f>
        <v>0</v>
      </c>
      <c r="CY137" s="73">
        <f t="shared" ref="CY137:CY144" si="1239">(BX136*pAIDS_LTFU_AIDS_Dead_2004_2012)</f>
        <v>0</v>
      </c>
      <c r="CZ137" s="190"/>
      <c r="DA137" s="67">
        <v>2005</v>
      </c>
      <c r="DB137" s="218">
        <f t="shared" si="1207"/>
        <v>0</v>
      </c>
      <c r="DC137" s="218">
        <f t="shared" si="1208"/>
        <v>0</v>
      </c>
      <c r="DD137" s="73">
        <f t="shared" si="1209"/>
        <v>0</v>
      </c>
      <c r="DE137" s="73">
        <f t="shared" si="1210"/>
        <v>0</v>
      </c>
      <c r="DF137" s="73">
        <f t="shared" si="1211"/>
        <v>0</v>
      </c>
      <c r="DG137" s="73">
        <f t="shared" si="1212"/>
        <v>0</v>
      </c>
      <c r="DH137" s="72" t="e">
        <f t="shared" ref="DH137:DH155" si="1240">DD137/(DD137+DG137)</f>
        <v>#DIV/0!</v>
      </c>
      <c r="DI137" s="72" t="e">
        <f t="shared" ref="DI137:DI155" si="1241">DE137/(DE137+DF137)</f>
        <v>#DIV/0!</v>
      </c>
      <c r="DJ137" s="73">
        <f>SUM(AV136:AV137,BB136:BB137,BI136:BI137)</f>
        <v>0</v>
      </c>
      <c r="DK137" s="73">
        <v>0</v>
      </c>
      <c r="DL137" s="190"/>
    </row>
    <row r="138" spans="1:120" x14ac:dyDescent="0.25">
      <c r="A138" s="190"/>
      <c r="B138" s="188">
        <v>2010</v>
      </c>
      <c r="C138" s="61" t="s">
        <v>318</v>
      </c>
      <c r="D138" s="169">
        <v>0</v>
      </c>
      <c r="E138" s="169">
        <v>0</v>
      </c>
      <c r="F138" s="172">
        <f>pAsympt_LTFU_2004_2012</f>
        <v>0.66061495558694538</v>
      </c>
      <c r="G138" s="170">
        <f>pAsympt_LTFU_Asympt_Dead_2004_2012</f>
        <v>1.818504441305463E-2</v>
      </c>
      <c r="H138" s="169">
        <v>0</v>
      </c>
      <c r="I138" s="169">
        <v>0</v>
      </c>
      <c r="J138" s="171">
        <f>pAsympt_LTFU_Int_ART1_2004_2012</f>
        <v>0.1212</v>
      </c>
      <c r="K138" s="169">
        <v>0</v>
      </c>
      <c r="L138" s="170">
        <f>pAsympt_LTFU_Int_LTFU_2004_2012</f>
        <v>0.2</v>
      </c>
      <c r="M138" s="169">
        <v>0</v>
      </c>
      <c r="N138" s="169">
        <v>0</v>
      </c>
      <c r="O138" s="169">
        <v>0</v>
      </c>
      <c r="P138" s="169">
        <v>0</v>
      </c>
      <c r="Q138" s="169">
        <v>0</v>
      </c>
      <c r="R138" s="169">
        <v>0</v>
      </c>
      <c r="S138" s="169">
        <v>0</v>
      </c>
      <c r="T138" s="169">
        <v>0</v>
      </c>
      <c r="U138" s="61">
        <f t="shared" si="1213"/>
        <v>1</v>
      </c>
      <c r="V138" s="190"/>
      <c r="W138" s="66">
        <v>2</v>
      </c>
      <c r="X138" s="66">
        <v>2006</v>
      </c>
      <c r="Y138" s="69">
        <v>0</v>
      </c>
      <c r="Z138" s="69">
        <v>0</v>
      </c>
      <c r="AA138" s="69">
        <v>0</v>
      </c>
      <c r="AB138" s="69">
        <v>0</v>
      </c>
      <c r="AC138" s="69">
        <v>0</v>
      </c>
      <c r="AD138" s="69">
        <v>0</v>
      </c>
      <c r="AE138" s="69">
        <v>0</v>
      </c>
      <c r="AF138" s="69">
        <v>0</v>
      </c>
      <c r="AG138" s="69">
        <v>0</v>
      </c>
      <c r="AH138" s="69">
        <v>0</v>
      </c>
      <c r="AI138" s="69">
        <v>0</v>
      </c>
      <c r="AJ138" s="69">
        <v>0</v>
      </c>
      <c r="AK138" s="69">
        <v>0</v>
      </c>
      <c r="AL138" s="69">
        <v>0</v>
      </c>
      <c r="AM138" s="69">
        <v>0</v>
      </c>
      <c r="AN138" s="69">
        <v>0</v>
      </c>
      <c r="AO138" s="69">
        <v>0</v>
      </c>
      <c r="AP138" s="190"/>
      <c r="AQ138" s="66">
        <v>2</v>
      </c>
      <c r="AR138" s="66">
        <v>2006</v>
      </c>
      <c r="AS138" s="215">
        <f t="shared" si="1190"/>
        <v>0</v>
      </c>
      <c r="AT138" s="215">
        <f t="shared" si="1191"/>
        <v>0</v>
      </c>
      <c r="AU138" s="215">
        <f t="shared" si="1192"/>
        <v>0</v>
      </c>
      <c r="AV138" s="215">
        <f t="shared" si="1193"/>
        <v>0</v>
      </c>
      <c r="AW138" s="215">
        <f t="shared" si="1194"/>
        <v>0</v>
      </c>
      <c r="AX138" s="215">
        <f t="shared" si="1195"/>
        <v>0</v>
      </c>
      <c r="AY138" s="215">
        <f t="shared" si="1196"/>
        <v>0</v>
      </c>
      <c r="AZ138" s="215">
        <f t="shared" si="1197"/>
        <v>0</v>
      </c>
      <c r="BA138" s="215">
        <f t="shared" si="1198"/>
        <v>0</v>
      </c>
      <c r="BB138" s="215">
        <f t="shared" si="1199"/>
        <v>0</v>
      </c>
      <c r="BC138" s="215">
        <f t="shared" si="1200"/>
        <v>0</v>
      </c>
      <c r="BD138" s="215">
        <f t="shared" si="1201"/>
        <v>0</v>
      </c>
      <c r="BE138" s="215">
        <f t="shared" si="1202"/>
        <v>0</v>
      </c>
      <c r="BF138" s="215">
        <f t="shared" si="1203"/>
        <v>0</v>
      </c>
      <c r="BG138" s="215">
        <f t="shared" si="1204"/>
        <v>0</v>
      </c>
      <c r="BH138" s="215">
        <f t="shared" si="1205"/>
        <v>0</v>
      </c>
      <c r="BI138" s="215">
        <f t="shared" si="1206"/>
        <v>0</v>
      </c>
      <c r="BJ138" s="194"/>
      <c r="BK138" s="66">
        <v>2</v>
      </c>
      <c r="BL138" s="66">
        <v>2006</v>
      </c>
      <c r="BM138" s="215">
        <f t="shared" si="1214"/>
        <v>0</v>
      </c>
      <c r="BN138" s="219">
        <f t="shared" si="1215"/>
        <v>0</v>
      </c>
      <c r="BO138" s="219">
        <f t="shared" si="1216"/>
        <v>0</v>
      </c>
      <c r="BP138" s="219">
        <f t="shared" ref="BP138:BP144" si="1242">(AZ137*pInt_ART2_Int_LTFU_2004_2012)+(BP137*pInt_LTFU_2004_2012)</f>
        <v>0</v>
      </c>
      <c r="BQ138" s="219">
        <f t="shared" si="1217"/>
        <v>0</v>
      </c>
      <c r="BR138" s="220">
        <f t="shared" ref="BR138:BR144" si="1243">(BN137*pInt_LTFU_AIDS_LTFU_2004_2012)+(BR137*pAIDS_LTFU_2004_2012)</f>
        <v>0</v>
      </c>
      <c r="BS138" s="219">
        <f t="shared" ref="BS138:BS144" si="1244">(BM137*pInt_LTFU_AIDS_LTFU_2004_2012)+(BS137*pAIDS_LTFU_2004_2012)</f>
        <v>0</v>
      </c>
      <c r="BT138" s="219">
        <f t="shared" ref="BT138:BT144" si="1245">(BE137*pAIDS_ART1ear_AIDS_LTFU_2004_2012)+(BT137*pAIDS_LTFU_2004_2012)</f>
        <v>0</v>
      </c>
      <c r="BU138" s="219">
        <f t="shared" ref="BU138:BU144" si="1246">(BF137*pAIDS_ART1late_AIDS_LTFU_2004_2012)+(BU137*pAIDS_LTFU_2004_2012)</f>
        <v>0</v>
      </c>
      <c r="BV138" s="219">
        <f t="shared" ref="BV138:BV144" si="1247">(BO137*pInt_LTFU_AIDS_LTFU_2004_2012)+(BV137*pAIDS_LTFU_2004_2012)</f>
        <v>0</v>
      </c>
      <c r="BW138" s="219">
        <f t="shared" ref="BW138:BW144" si="1248">(BG137*pAIDS_ART2_AIDS_LTFU_2004_2012)+(BW137*pAIDS_LTFU_2004_2012)</f>
        <v>0</v>
      </c>
      <c r="BX138" s="220">
        <f t="shared" ref="BX138:BX144" si="1249">(BP137*pInt_LTFU_AIDS_LTFU_2004_2012)+(BX137*pAIDS_LTFU_2004_2012)</f>
        <v>0</v>
      </c>
      <c r="BY138" s="195"/>
      <c r="BZ138" s="192">
        <v>2</v>
      </c>
      <c r="CA138" s="66">
        <v>2006</v>
      </c>
      <c r="CB138" s="218">
        <f>pAsympt_NoCare_Asympt_Dead_2004_2006*AS137</f>
        <v>0</v>
      </c>
      <c r="CC138" s="218">
        <f t="shared" si="1218"/>
        <v>0</v>
      </c>
      <c r="CD138" s="73">
        <f t="shared" si="1219"/>
        <v>0</v>
      </c>
      <c r="CE138" s="73">
        <f>pInt_NoCare_Int_Dead_2004_2006*AW137</f>
        <v>0</v>
      </c>
      <c r="CF138" s="73">
        <f t="shared" si="1220"/>
        <v>0</v>
      </c>
      <c r="CG138" s="73">
        <f t="shared" si="1221"/>
        <v>0</v>
      </c>
      <c r="CH138" s="73">
        <f t="shared" si="1222"/>
        <v>0</v>
      </c>
      <c r="CI138" s="73">
        <f t="shared" si="1223"/>
        <v>0</v>
      </c>
      <c r="CJ138" s="73">
        <f t="shared" si="1224"/>
        <v>0</v>
      </c>
      <c r="CK138" s="73">
        <f t="shared" si="1225"/>
        <v>0</v>
      </c>
      <c r="CL138" s="73">
        <f t="shared" si="1226"/>
        <v>0</v>
      </c>
      <c r="CM138" s="73">
        <f t="shared" si="1227"/>
        <v>0</v>
      </c>
      <c r="CN138" s="73">
        <f t="shared" si="1228"/>
        <v>0</v>
      </c>
      <c r="CO138" s="73">
        <f t="shared" si="1229"/>
        <v>0</v>
      </c>
      <c r="CP138" s="73">
        <f t="shared" si="1230"/>
        <v>0</v>
      </c>
      <c r="CQ138" s="73">
        <f t="shared" si="1231"/>
        <v>0</v>
      </c>
      <c r="CR138" s="73">
        <f t="shared" si="1232"/>
        <v>0</v>
      </c>
      <c r="CS138" s="73">
        <f t="shared" si="1233"/>
        <v>0</v>
      </c>
      <c r="CT138" s="73">
        <f t="shared" si="1234"/>
        <v>0</v>
      </c>
      <c r="CU138" s="73">
        <f t="shared" si="1235"/>
        <v>0</v>
      </c>
      <c r="CV138" s="73">
        <f t="shared" si="1236"/>
        <v>0</v>
      </c>
      <c r="CW138" s="73">
        <f t="shared" si="1237"/>
        <v>0</v>
      </c>
      <c r="CX138" s="73">
        <f t="shared" si="1238"/>
        <v>0</v>
      </c>
      <c r="CY138" s="73">
        <f t="shared" si="1239"/>
        <v>0</v>
      </c>
      <c r="CZ138" s="190"/>
      <c r="DA138" s="66">
        <v>2006</v>
      </c>
      <c r="DB138" s="218">
        <f t="shared" si="1207"/>
        <v>0</v>
      </c>
      <c r="DC138" s="218">
        <f t="shared" si="1208"/>
        <v>0</v>
      </c>
      <c r="DD138" s="73">
        <f t="shared" si="1209"/>
        <v>0</v>
      </c>
      <c r="DE138" s="73">
        <f t="shared" si="1210"/>
        <v>0</v>
      </c>
      <c r="DF138" s="73">
        <f t="shared" si="1211"/>
        <v>0</v>
      </c>
      <c r="DG138" s="73">
        <f t="shared" si="1212"/>
        <v>0</v>
      </c>
      <c r="DH138" s="72" t="e">
        <f t="shared" si="1240"/>
        <v>#DIV/0!</v>
      </c>
      <c r="DI138" s="72" t="e">
        <f t="shared" si="1241"/>
        <v>#DIV/0!</v>
      </c>
      <c r="DJ138" s="73">
        <f>SUM(AV136:AV138,BB136:BB138,BI136:BI138)</f>
        <v>0</v>
      </c>
      <c r="DK138" s="73">
        <v>0</v>
      </c>
      <c r="DL138" s="190"/>
    </row>
    <row r="139" spans="1:120" x14ac:dyDescent="0.25">
      <c r="A139" s="190"/>
      <c r="B139" s="188">
        <v>2010</v>
      </c>
      <c r="C139" s="61" t="s">
        <v>317</v>
      </c>
      <c r="D139" s="169">
        <v>0</v>
      </c>
      <c r="E139" s="169">
        <v>0</v>
      </c>
      <c r="F139" s="169">
        <v>0</v>
      </c>
      <c r="G139" s="169">
        <v>0</v>
      </c>
      <c r="H139" s="169">
        <v>0</v>
      </c>
      <c r="I139" s="169">
        <v>0</v>
      </c>
      <c r="J139" s="169">
        <v>0</v>
      </c>
      <c r="K139" s="169">
        <v>0</v>
      </c>
      <c r="L139" s="169">
        <v>0</v>
      </c>
      <c r="M139" s="169">
        <v>0</v>
      </c>
      <c r="N139" s="169">
        <v>0</v>
      </c>
      <c r="O139" s="169">
        <v>0</v>
      </c>
      <c r="P139" s="169">
        <v>0</v>
      </c>
      <c r="Q139" s="169">
        <v>0</v>
      </c>
      <c r="R139" s="169">
        <v>0</v>
      </c>
      <c r="S139" s="169">
        <v>0</v>
      </c>
      <c r="T139" s="169">
        <v>0</v>
      </c>
      <c r="U139" s="61">
        <f t="shared" si="1213"/>
        <v>0</v>
      </c>
      <c r="V139" s="190"/>
      <c r="W139" s="66">
        <v>3</v>
      </c>
      <c r="X139" s="66">
        <v>2007</v>
      </c>
      <c r="Y139" s="69">
        <v>0</v>
      </c>
      <c r="Z139" s="69">
        <v>0</v>
      </c>
      <c r="AA139" s="69">
        <v>0</v>
      </c>
      <c r="AB139" s="69">
        <v>0</v>
      </c>
      <c r="AC139" s="69">
        <v>0</v>
      </c>
      <c r="AD139" s="69">
        <v>0</v>
      </c>
      <c r="AE139" s="69">
        <v>0</v>
      </c>
      <c r="AF139" s="69">
        <v>0</v>
      </c>
      <c r="AG139" s="69">
        <v>0</v>
      </c>
      <c r="AH139" s="69">
        <v>0</v>
      </c>
      <c r="AI139" s="69">
        <v>0</v>
      </c>
      <c r="AJ139" s="69">
        <v>0</v>
      </c>
      <c r="AK139" s="69">
        <v>0</v>
      </c>
      <c r="AL139" s="69">
        <v>0</v>
      </c>
      <c r="AM139" s="69">
        <v>0</v>
      </c>
      <c r="AN139" s="69">
        <v>0</v>
      </c>
      <c r="AO139" s="69">
        <v>0</v>
      </c>
      <c r="AP139" s="190"/>
      <c r="AQ139" s="66">
        <v>3</v>
      </c>
      <c r="AR139" s="66">
        <v>2007</v>
      </c>
      <c r="AS139" s="215">
        <f t="shared" si="1190"/>
        <v>0</v>
      </c>
      <c r="AT139" s="215">
        <f t="shared" si="1191"/>
        <v>0</v>
      </c>
      <c r="AU139" s="215">
        <f t="shared" si="1192"/>
        <v>0</v>
      </c>
      <c r="AV139" s="215">
        <f t="shared" si="1193"/>
        <v>0</v>
      </c>
      <c r="AW139" s="215">
        <f t="shared" si="1194"/>
        <v>0</v>
      </c>
      <c r="AX139" s="215">
        <f t="shared" si="1195"/>
        <v>0</v>
      </c>
      <c r="AY139" s="215">
        <f t="shared" si="1196"/>
        <v>0</v>
      </c>
      <c r="AZ139" s="215">
        <f t="shared" si="1197"/>
        <v>0</v>
      </c>
      <c r="BA139" s="215">
        <f t="shared" si="1198"/>
        <v>0</v>
      </c>
      <c r="BB139" s="215">
        <f t="shared" si="1199"/>
        <v>0</v>
      </c>
      <c r="BC139" s="215">
        <f t="shared" si="1200"/>
        <v>0</v>
      </c>
      <c r="BD139" s="215">
        <f t="shared" si="1201"/>
        <v>0</v>
      </c>
      <c r="BE139" s="215">
        <f t="shared" si="1202"/>
        <v>0</v>
      </c>
      <c r="BF139" s="215">
        <f t="shared" si="1203"/>
        <v>0</v>
      </c>
      <c r="BG139" s="215">
        <f t="shared" si="1204"/>
        <v>0</v>
      </c>
      <c r="BH139" s="215">
        <f t="shared" si="1205"/>
        <v>0</v>
      </c>
      <c r="BI139" s="215">
        <f t="shared" si="1206"/>
        <v>0</v>
      </c>
      <c r="BJ139" s="194"/>
      <c r="BK139" s="66">
        <v>3</v>
      </c>
      <c r="BL139" s="66">
        <v>2007</v>
      </c>
      <c r="BM139" s="215">
        <f t="shared" si="1214"/>
        <v>0</v>
      </c>
      <c r="BN139" s="219">
        <f t="shared" si="1215"/>
        <v>0</v>
      </c>
      <c r="BO139" s="219">
        <f t="shared" si="1216"/>
        <v>0</v>
      </c>
      <c r="BP139" s="219">
        <f t="shared" si="1242"/>
        <v>0</v>
      </c>
      <c r="BQ139" s="219">
        <f t="shared" si="1217"/>
        <v>0</v>
      </c>
      <c r="BR139" s="220">
        <f t="shared" si="1243"/>
        <v>0</v>
      </c>
      <c r="BS139" s="219">
        <f t="shared" si="1244"/>
        <v>0</v>
      </c>
      <c r="BT139" s="219">
        <f t="shared" si="1245"/>
        <v>0</v>
      </c>
      <c r="BU139" s="219">
        <f t="shared" si="1246"/>
        <v>0</v>
      </c>
      <c r="BV139" s="219">
        <f t="shared" si="1247"/>
        <v>0</v>
      </c>
      <c r="BW139" s="219">
        <f t="shared" si="1248"/>
        <v>0</v>
      </c>
      <c r="BX139" s="220">
        <f t="shared" si="1249"/>
        <v>0</v>
      </c>
      <c r="BY139" s="195"/>
      <c r="BZ139" s="192">
        <v>3</v>
      </c>
      <c r="CA139" s="66">
        <v>2007</v>
      </c>
      <c r="CB139" s="218">
        <f>pAsympt_NoCare_Asympt_Dead_2007_2009*AS138</f>
        <v>0</v>
      </c>
      <c r="CC139" s="218">
        <f t="shared" si="1218"/>
        <v>0</v>
      </c>
      <c r="CD139" s="73">
        <f t="shared" si="1219"/>
        <v>0</v>
      </c>
      <c r="CE139" s="73">
        <f>pInt_NoCare_Int_Dead_2007_2009*AW138</f>
        <v>0</v>
      </c>
      <c r="CF139" s="73">
        <f t="shared" si="1220"/>
        <v>0</v>
      </c>
      <c r="CG139" s="73">
        <f t="shared" si="1221"/>
        <v>0</v>
      </c>
      <c r="CH139" s="73">
        <f t="shared" si="1222"/>
        <v>0</v>
      </c>
      <c r="CI139" s="73">
        <f t="shared" si="1223"/>
        <v>0</v>
      </c>
      <c r="CJ139" s="73">
        <f t="shared" si="1224"/>
        <v>0</v>
      </c>
      <c r="CK139" s="73">
        <f t="shared" si="1225"/>
        <v>0</v>
      </c>
      <c r="CL139" s="73">
        <f t="shared" si="1226"/>
        <v>0</v>
      </c>
      <c r="CM139" s="73">
        <f>pAIDS_NoCare_AIDS_Dead_2007_2009*BC138</f>
        <v>0</v>
      </c>
      <c r="CN139" s="73">
        <f t="shared" si="1228"/>
        <v>0</v>
      </c>
      <c r="CO139" s="73">
        <f t="shared" si="1229"/>
        <v>0</v>
      </c>
      <c r="CP139" s="73">
        <f t="shared" si="1230"/>
        <v>0</v>
      </c>
      <c r="CQ139" s="73">
        <f t="shared" si="1231"/>
        <v>0</v>
      </c>
      <c r="CR139" s="73">
        <f t="shared" si="1232"/>
        <v>0</v>
      </c>
      <c r="CS139" s="73">
        <f t="shared" si="1233"/>
        <v>0</v>
      </c>
      <c r="CT139" s="73">
        <f t="shared" si="1234"/>
        <v>0</v>
      </c>
      <c r="CU139" s="73">
        <f t="shared" si="1235"/>
        <v>0</v>
      </c>
      <c r="CV139" s="73">
        <f t="shared" si="1236"/>
        <v>0</v>
      </c>
      <c r="CW139" s="73">
        <f t="shared" si="1237"/>
        <v>0</v>
      </c>
      <c r="CX139" s="73">
        <f t="shared" si="1238"/>
        <v>0</v>
      </c>
      <c r="CY139" s="73">
        <f t="shared" si="1239"/>
        <v>0</v>
      </c>
      <c r="CZ139" s="190"/>
      <c r="DA139" s="66">
        <v>2007</v>
      </c>
      <c r="DB139" s="218">
        <f t="shared" si="1207"/>
        <v>0</v>
      </c>
      <c r="DC139" s="218">
        <f t="shared" si="1208"/>
        <v>0</v>
      </c>
      <c r="DD139" s="73">
        <f t="shared" si="1209"/>
        <v>0</v>
      </c>
      <c r="DE139" s="73">
        <f t="shared" si="1210"/>
        <v>0</v>
      </c>
      <c r="DF139" s="73">
        <f t="shared" si="1211"/>
        <v>0</v>
      </c>
      <c r="DG139" s="73">
        <f t="shared" si="1212"/>
        <v>0</v>
      </c>
      <c r="DH139" s="72" t="e">
        <f t="shared" si="1240"/>
        <v>#DIV/0!</v>
      </c>
      <c r="DI139" s="72" t="e">
        <f t="shared" si="1241"/>
        <v>#DIV/0!</v>
      </c>
      <c r="DJ139" s="73">
        <f>SUM(AV136:AV139,BB136:BB139,BI136:BI139)</f>
        <v>0</v>
      </c>
      <c r="DK139" s="218">
        <v>0</v>
      </c>
      <c r="DL139" s="190"/>
    </row>
    <row r="140" spans="1:120" x14ac:dyDescent="0.25">
      <c r="A140" s="190"/>
      <c r="B140" s="188">
        <v>2010</v>
      </c>
      <c r="C140" s="61" t="s">
        <v>321</v>
      </c>
      <c r="D140" s="169">
        <v>0</v>
      </c>
      <c r="E140" s="169">
        <v>0</v>
      </c>
      <c r="F140" s="169">
        <v>0</v>
      </c>
      <c r="G140" s="169">
        <v>0</v>
      </c>
      <c r="H140" s="172">
        <f>pInt_NoCare_2010_2012</f>
        <v>0.47470496953425423</v>
      </c>
      <c r="I140" s="172">
        <f>pInt_NoCare_Int_InCare_2010_2012</f>
        <v>9.8703246552192314E-2</v>
      </c>
      <c r="J140" s="170">
        <f>pInt_NoCare_Int_ART1_2010_2012</f>
        <v>0</v>
      </c>
      <c r="K140" s="169">
        <v>0</v>
      </c>
      <c r="L140" s="169">
        <v>0</v>
      </c>
      <c r="M140" s="170">
        <f>pInt_NoCare_Int_Dead_2010_2012</f>
        <v>2.7888537361361161E-2</v>
      </c>
      <c r="N140" s="170">
        <f>pInt_NoCare_AIDS_NoCare_2010_2012</f>
        <v>0.3</v>
      </c>
      <c r="O140" s="172">
        <f>pInt_NoCare_AIDS_InCare_2010_2012</f>
        <v>9.8703246552192314E-2</v>
      </c>
      <c r="P140" s="171">
        <f>pInt_NoCare_AIDS_ART1ear_2010_2012</f>
        <v>0</v>
      </c>
      <c r="Q140" s="169">
        <v>0</v>
      </c>
      <c r="R140" s="169">
        <v>0</v>
      </c>
      <c r="S140" s="169">
        <v>0</v>
      </c>
      <c r="T140" s="169">
        <v>0</v>
      </c>
      <c r="U140" s="61">
        <f t="shared" si="1213"/>
        <v>1</v>
      </c>
      <c r="V140" s="190"/>
      <c r="W140" s="66">
        <v>4</v>
      </c>
      <c r="X140" s="66">
        <v>2008</v>
      </c>
      <c r="Y140" s="69">
        <v>0</v>
      </c>
      <c r="Z140" s="69">
        <v>0</v>
      </c>
      <c r="AA140" s="69">
        <v>0</v>
      </c>
      <c r="AB140" s="69">
        <v>0</v>
      </c>
      <c r="AC140" s="69">
        <v>0</v>
      </c>
      <c r="AD140" s="69">
        <v>0</v>
      </c>
      <c r="AE140" s="69">
        <v>0</v>
      </c>
      <c r="AF140" s="69">
        <v>0</v>
      </c>
      <c r="AG140" s="69">
        <v>0</v>
      </c>
      <c r="AH140" s="69">
        <v>0</v>
      </c>
      <c r="AI140" s="69">
        <v>0</v>
      </c>
      <c r="AJ140" s="69">
        <v>0</v>
      </c>
      <c r="AK140" s="69">
        <v>0</v>
      </c>
      <c r="AL140" s="69">
        <v>0</v>
      </c>
      <c r="AM140" s="69">
        <v>0</v>
      </c>
      <c r="AN140" s="69">
        <v>0</v>
      </c>
      <c r="AO140" s="69">
        <v>0</v>
      </c>
      <c r="AP140" s="190"/>
      <c r="AQ140" s="66">
        <v>4</v>
      </c>
      <c r="AR140" s="66">
        <v>2008</v>
      </c>
      <c r="AS140" s="215">
        <f t="shared" si="1190"/>
        <v>0</v>
      </c>
      <c r="AT140" s="215">
        <f t="shared" si="1191"/>
        <v>0</v>
      </c>
      <c r="AU140" s="215">
        <f t="shared" si="1192"/>
        <v>0</v>
      </c>
      <c r="AV140" s="215">
        <f t="shared" si="1193"/>
        <v>0</v>
      </c>
      <c r="AW140" s="215">
        <f t="shared" si="1194"/>
        <v>0</v>
      </c>
      <c r="AX140" s="215">
        <f t="shared" si="1195"/>
        <v>0</v>
      </c>
      <c r="AY140" s="215">
        <f t="shared" si="1196"/>
        <v>0</v>
      </c>
      <c r="AZ140" s="215">
        <f t="shared" si="1197"/>
        <v>0</v>
      </c>
      <c r="BA140" s="215">
        <f t="shared" si="1198"/>
        <v>0</v>
      </c>
      <c r="BB140" s="215">
        <f t="shared" si="1199"/>
        <v>0</v>
      </c>
      <c r="BC140" s="215">
        <f t="shared" si="1200"/>
        <v>0</v>
      </c>
      <c r="BD140" s="215">
        <f t="shared" si="1201"/>
        <v>0</v>
      </c>
      <c r="BE140" s="215">
        <f t="shared" si="1202"/>
        <v>0</v>
      </c>
      <c r="BF140" s="215">
        <f t="shared" si="1203"/>
        <v>0</v>
      </c>
      <c r="BG140" s="215">
        <f t="shared" si="1204"/>
        <v>0</v>
      </c>
      <c r="BH140" s="215">
        <f t="shared" si="1205"/>
        <v>0</v>
      </c>
      <c r="BI140" s="215">
        <f t="shared" si="1206"/>
        <v>0</v>
      </c>
      <c r="BJ140" s="194"/>
      <c r="BK140" s="66">
        <v>4</v>
      </c>
      <c r="BL140" s="66">
        <v>2008</v>
      </c>
      <c r="BM140" s="215">
        <f t="shared" si="1214"/>
        <v>0</v>
      </c>
      <c r="BN140" s="219">
        <f t="shared" si="1215"/>
        <v>0</v>
      </c>
      <c r="BO140" s="219">
        <f t="shared" si="1216"/>
        <v>0</v>
      </c>
      <c r="BP140" s="219">
        <f t="shared" si="1242"/>
        <v>0</v>
      </c>
      <c r="BQ140" s="219">
        <f t="shared" si="1217"/>
        <v>0</v>
      </c>
      <c r="BR140" s="220">
        <f t="shared" si="1243"/>
        <v>0</v>
      </c>
      <c r="BS140" s="219">
        <f t="shared" si="1244"/>
        <v>0</v>
      </c>
      <c r="BT140" s="219">
        <f t="shared" si="1245"/>
        <v>0</v>
      </c>
      <c r="BU140" s="219">
        <f t="shared" si="1246"/>
        <v>0</v>
      </c>
      <c r="BV140" s="219">
        <f t="shared" si="1247"/>
        <v>0</v>
      </c>
      <c r="BW140" s="219">
        <f t="shared" si="1248"/>
        <v>0</v>
      </c>
      <c r="BX140" s="220">
        <f t="shared" si="1249"/>
        <v>0</v>
      </c>
      <c r="BY140" s="195"/>
      <c r="BZ140" s="192">
        <v>4</v>
      </c>
      <c r="CA140" s="66">
        <v>2008</v>
      </c>
      <c r="CB140" s="218">
        <f>pAsympt_NoCare_Asympt_Dead_2007_2009*AS139</f>
        <v>0</v>
      </c>
      <c r="CC140" s="218">
        <f t="shared" si="1218"/>
        <v>0</v>
      </c>
      <c r="CD140" s="73">
        <f t="shared" si="1219"/>
        <v>0</v>
      </c>
      <c r="CE140" s="73">
        <f>pInt_NoCare_Int_Dead_2007_2009*AW139</f>
        <v>0</v>
      </c>
      <c r="CF140" s="73">
        <f t="shared" si="1220"/>
        <v>0</v>
      </c>
      <c r="CG140" s="73">
        <f t="shared" si="1221"/>
        <v>0</v>
      </c>
      <c r="CH140" s="73">
        <f t="shared" si="1222"/>
        <v>0</v>
      </c>
      <c r="CI140" s="73">
        <f t="shared" si="1223"/>
        <v>0</v>
      </c>
      <c r="CJ140" s="73">
        <f t="shared" si="1224"/>
        <v>0</v>
      </c>
      <c r="CK140" s="73">
        <f t="shared" si="1225"/>
        <v>0</v>
      </c>
      <c r="CL140" s="73">
        <f t="shared" si="1226"/>
        <v>0</v>
      </c>
      <c r="CM140" s="73">
        <f>pAIDS_NoCare_AIDS_Dead_2007_2009*BC139</f>
        <v>0</v>
      </c>
      <c r="CN140" s="73">
        <f t="shared" si="1228"/>
        <v>0</v>
      </c>
      <c r="CO140" s="73">
        <f t="shared" si="1229"/>
        <v>0</v>
      </c>
      <c r="CP140" s="73">
        <f t="shared" si="1230"/>
        <v>0</v>
      </c>
      <c r="CQ140" s="73">
        <f t="shared" si="1231"/>
        <v>0</v>
      </c>
      <c r="CR140" s="73">
        <f t="shared" si="1232"/>
        <v>0</v>
      </c>
      <c r="CS140" s="73">
        <f t="shared" si="1233"/>
        <v>0</v>
      </c>
      <c r="CT140" s="73">
        <f t="shared" si="1234"/>
        <v>0</v>
      </c>
      <c r="CU140" s="73">
        <f t="shared" si="1235"/>
        <v>0</v>
      </c>
      <c r="CV140" s="73">
        <f t="shared" si="1236"/>
        <v>0</v>
      </c>
      <c r="CW140" s="73">
        <f t="shared" si="1237"/>
        <v>0</v>
      </c>
      <c r="CX140" s="73">
        <f t="shared" si="1238"/>
        <v>0</v>
      </c>
      <c r="CY140" s="73">
        <f t="shared" si="1239"/>
        <v>0</v>
      </c>
      <c r="CZ140" s="190"/>
      <c r="DA140" s="66">
        <v>2008</v>
      </c>
      <c r="DB140" s="218">
        <f t="shared" si="1207"/>
        <v>0</v>
      </c>
      <c r="DC140" s="218">
        <f t="shared" si="1208"/>
        <v>0</v>
      </c>
      <c r="DD140" s="73">
        <f t="shared" si="1209"/>
        <v>0</v>
      </c>
      <c r="DE140" s="73">
        <f t="shared" si="1210"/>
        <v>0</v>
      </c>
      <c r="DF140" s="73">
        <f t="shared" si="1211"/>
        <v>0</v>
      </c>
      <c r="DG140" s="73">
        <f t="shared" si="1212"/>
        <v>0</v>
      </c>
      <c r="DH140" s="72" t="e">
        <f t="shared" si="1240"/>
        <v>#DIV/0!</v>
      </c>
      <c r="DI140" s="72" t="e">
        <f t="shared" si="1241"/>
        <v>#DIV/0!</v>
      </c>
      <c r="DJ140" s="73">
        <f>SUM(AV136:AV140,BB136:BB140,BI136:BI140)</f>
        <v>0</v>
      </c>
      <c r="DK140" s="218">
        <v>0</v>
      </c>
      <c r="DL140" s="190"/>
    </row>
    <row r="141" spans="1:120" x14ac:dyDescent="0.25">
      <c r="A141" s="190"/>
      <c r="B141" s="188">
        <v>2010</v>
      </c>
      <c r="C141" s="61" t="s">
        <v>322</v>
      </c>
      <c r="D141" s="169">
        <v>0</v>
      </c>
      <c r="E141" s="169">
        <v>0</v>
      </c>
      <c r="F141" s="169">
        <v>0</v>
      </c>
      <c r="G141" s="169">
        <v>0</v>
      </c>
      <c r="H141" s="169">
        <v>0</v>
      </c>
      <c r="I141" s="172">
        <f>pInt_InCare_2004_2012</f>
        <v>0.27388069643828394</v>
      </c>
      <c r="J141" s="172">
        <f>pInt_InCare_Int_ART1_2004_2012</f>
        <v>0.12845640705966965</v>
      </c>
      <c r="K141" s="169">
        <v>0</v>
      </c>
      <c r="L141" s="170">
        <f>pInt_InCare_Int_LTFU_2004_2012</f>
        <v>0.18249498008072801</v>
      </c>
      <c r="M141" s="170">
        <f>pInt_InCare_Int_Dead_2004_2012</f>
        <v>2.6167916421318438E-2</v>
      </c>
      <c r="N141" s="169">
        <v>0</v>
      </c>
      <c r="O141" s="170">
        <f>pInt_InCare_AIDS_InCare_2004_2012</f>
        <v>0.3</v>
      </c>
      <c r="P141" s="170">
        <f>pInt_InCare_AIDS_ART1ear_2004_2012</f>
        <v>8.8999999999999996E-2</v>
      </c>
      <c r="Q141" s="169">
        <v>0</v>
      </c>
      <c r="R141" s="169">
        <v>0</v>
      </c>
      <c r="S141" s="169">
        <v>0</v>
      </c>
      <c r="T141" s="169">
        <v>0</v>
      </c>
      <c r="U141" s="61">
        <f t="shared" si="1213"/>
        <v>1</v>
      </c>
      <c r="V141" s="190"/>
      <c r="W141" s="66">
        <v>5</v>
      </c>
      <c r="X141" s="66">
        <v>2009</v>
      </c>
      <c r="Y141" s="69">
        <v>0</v>
      </c>
      <c r="Z141" s="69">
        <v>0</v>
      </c>
      <c r="AA141" s="69">
        <v>0</v>
      </c>
      <c r="AB141" s="69">
        <v>0</v>
      </c>
      <c r="AC141" s="69">
        <v>0</v>
      </c>
      <c r="AD141" s="69">
        <v>0</v>
      </c>
      <c r="AE141" s="69">
        <v>0</v>
      </c>
      <c r="AF141" s="69">
        <v>0</v>
      </c>
      <c r="AG141" s="69">
        <v>0</v>
      </c>
      <c r="AH141" s="69">
        <v>0</v>
      </c>
      <c r="AI141" s="69">
        <v>0</v>
      </c>
      <c r="AJ141" s="69">
        <v>0</v>
      </c>
      <c r="AK141" s="69">
        <v>0</v>
      </c>
      <c r="AL141" s="69">
        <v>0</v>
      </c>
      <c r="AM141" s="69">
        <v>0</v>
      </c>
      <c r="AN141" s="69">
        <v>0</v>
      </c>
      <c r="AO141" s="69">
        <v>0</v>
      </c>
      <c r="AP141" s="190"/>
      <c r="AQ141" s="66">
        <v>5</v>
      </c>
      <c r="AR141" s="66">
        <v>2009</v>
      </c>
      <c r="AS141" s="215">
        <f t="shared" si="1190"/>
        <v>0</v>
      </c>
      <c r="AT141" s="215">
        <f t="shared" si="1191"/>
        <v>0</v>
      </c>
      <c r="AU141" s="215">
        <f t="shared" si="1192"/>
        <v>0</v>
      </c>
      <c r="AV141" s="215">
        <f t="shared" si="1193"/>
        <v>0</v>
      </c>
      <c r="AW141" s="215">
        <f t="shared" si="1194"/>
        <v>0</v>
      </c>
      <c r="AX141" s="215">
        <f t="shared" si="1195"/>
        <v>0</v>
      </c>
      <c r="AY141" s="215">
        <f t="shared" si="1196"/>
        <v>0</v>
      </c>
      <c r="AZ141" s="215">
        <f t="shared" si="1197"/>
        <v>0</v>
      </c>
      <c r="BA141" s="215">
        <f t="shared" si="1198"/>
        <v>0</v>
      </c>
      <c r="BB141" s="215">
        <f t="shared" si="1199"/>
        <v>0</v>
      </c>
      <c r="BC141" s="215">
        <f t="shared" si="1200"/>
        <v>0</v>
      </c>
      <c r="BD141" s="215">
        <f t="shared" si="1201"/>
        <v>0</v>
      </c>
      <c r="BE141" s="215">
        <f t="shared" si="1202"/>
        <v>0</v>
      </c>
      <c r="BF141" s="215">
        <f t="shared" si="1203"/>
        <v>0</v>
      </c>
      <c r="BG141" s="215">
        <f t="shared" si="1204"/>
        <v>0</v>
      </c>
      <c r="BH141" s="215">
        <f t="shared" si="1205"/>
        <v>0</v>
      </c>
      <c r="BI141" s="215">
        <f t="shared" si="1206"/>
        <v>0</v>
      </c>
      <c r="BJ141" s="194"/>
      <c r="BK141" s="66">
        <v>5</v>
      </c>
      <c r="BL141" s="66">
        <v>2009</v>
      </c>
      <c r="BM141" s="215">
        <f t="shared" si="1214"/>
        <v>0</v>
      </c>
      <c r="BN141" s="219">
        <f t="shared" si="1215"/>
        <v>0</v>
      </c>
      <c r="BO141" s="219">
        <f t="shared" si="1216"/>
        <v>0</v>
      </c>
      <c r="BP141" s="219">
        <f t="shared" si="1242"/>
        <v>0</v>
      </c>
      <c r="BQ141" s="219">
        <f t="shared" si="1217"/>
        <v>0</v>
      </c>
      <c r="BR141" s="220">
        <f t="shared" si="1243"/>
        <v>0</v>
      </c>
      <c r="BS141" s="219">
        <f t="shared" si="1244"/>
        <v>0</v>
      </c>
      <c r="BT141" s="219">
        <f t="shared" si="1245"/>
        <v>0</v>
      </c>
      <c r="BU141" s="219">
        <f t="shared" si="1246"/>
        <v>0</v>
      </c>
      <c r="BV141" s="219">
        <f t="shared" si="1247"/>
        <v>0</v>
      </c>
      <c r="BW141" s="219">
        <f t="shared" si="1248"/>
        <v>0</v>
      </c>
      <c r="BX141" s="220">
        <f t="shared" si="1249"/>
        <v>0</v>
      </c>
      <c r="BY141" s="195"/>
      <c r="BZ141" s="192">
        <v>5</v>
      </c>
      <c r="CA141" s="66">
        <v>2009</v>
      </c>
      <c r="CB141" s="218">
        <f>pAsympt_NoCare_Asympt_Dead_2007_2009*AS140</f>
        <v>0</v>
      </c>
      <c r="CC141" s="218">
        <f t="shared" si="1218"/>
        <v>0</v>
      </c>
      <c r="CD141" s="73">
        <f t="shared" si="1219"/>
        <v>0</v>
      </c>
      <c r="CE141" s="73">
        <f>pInt_NoCare_Int_Dead_2007_2009*AW140</f>
        <v>0</v>
      </c>
      <c r="CF141" s="73">
        <f t="shared" si="1220"/>
        <v>0</v>
      </c>
      <c r="CG141" s="73">
        <f t="shared" si="1221"/>
        <v>0</v>
      </c>
      <c r="CH141" s="73">
        <f t="shared" si="1222"/>
        <v>0</v>
      </c>
      <c r="CI141" s="73">
        <f t="shared" si="1223"/>
        <v>0</v>
      </c>
      <c r="CJ141" s="73">
        <f t="shared" si="1224"/>
        <v>0</v>
      </c>
      <c r="CK141" s="73">
        <f t="shared" si="1225"/>
        <v>0</v>
      </c>
      <c r="CL141" s="73">
        <f t="shared" si="1226"/>
        <v>0</v>
      </c>
      <c r="CM141" s="73">
        <f>pAIDS_NoCare_AIDS_Dead_2007_2009*BC140</f>
        <v>0</v>
      </c>
      <c r="CN141" s="73">
        <f t="shared" si="1228"/>
        <v>0</v>
      </c>
      <c r="CO141" s="73">
        <f t="shared" si="1229"/>
        <v>0</v>
      </c>
      <c r="CP141" s="73">
        <f t="shared" si="1230"/>
        <v>0</v>
      </c>
      <c r="CQ141" s="73">
        <f t="shared" si="1231"/>
        <v>0</v>
      </c>
      <c r="CR141" s="73">
        <f t="shared" si="1232"/>
        <v>0</v>
      </c>
      <c r="CS141" s="73">
        <f t="shared" si="1233"/>
        <v>0</v>
      </c>
      <c r="CT141" s="73">
        <f t="shared" si="1234"/>
        <v>0</v>
      </c>
      <c r="CU141" s="73">
        <f t="shared" si="1235"/>
        <v>0</v>
      </c>
      <c r="CV141" s="73">
        <f t="shared" si="1236"/>
        <v>0</v>
      </c>
      <c r="CW141" s="73">
        <f t="shared" si="1237"/>
        <v>0</v>
      </c>
      <c r="CX141" s="73">
        <f t="shared" si="1238"/>
        <v>0</v>
      </c>
      <c r="CY141" s="73">
        <f t="shared" si="1239"/>
        <v>0</v>
      </c>
      <c r="CZ141" s="190"/>
      <c r="DA141" s="66">
        <v>2009</v>
      </c>
      <c r="DB141" s="218">
        <f t="shared" si="1207"/>
        <v>0</v>
      </c>
      <c r="DC141" s="218">
        <f t="shared" si="1208"/>
        <v>0</v>
      </c>
      <c r="DD141" s="73">
        <f t="shared" si="1209"/>
        <v>0</v>
      </c>
      <c r="DE141" s="73">
        <f t="shared" si="1210"/>
        <v>0</v>
      </c>
      <c r="DF141" s="73">
        <f t="shared" si="1211"/>
        <v>0</v>
      </c>
      <c r="DG141" s="73">
        <f t="shared" si="1212"/>
        <v>0</v>
      </c>
      <c r="DH141" s="72" t="e">
        <f t="shared" si="1240"/>
        <v>#DIV/0!</v>
      </c>
      <c r="DI141" s="72" t="e">
        <f t="shared" si="1241"/>
        <v>#DIV/0!</v>
      </c>
      <c r="DJ141" s="73">
        <f>SUM(AV136:AV141,BB136:BB141,BI136:BI141)</f>
        <v>0</v>
      </c>
      <c r="DK141" s="218">
        <v>0</v>
      </c>
      <c r="DL141" s="190"/>
    </row>
    <row r="142" spans="1:120" x14ac:dyDescent="0.25">
      <c r="A142" s="190"/>
      <c r="B142" s="188">
        <v>2010</v>
      </c>
      <c r="C142" s="61" t="s">
        <v>323</v>
      </c>
      <c r="D142" s="169">
        <v>0</v>
      </c>
      <c r="E142" s="169">
        <v>0</v>
      </c>
      <c r="F142" s="169">
        <v>0</v>
      </c>
      <c r="G142" s="169">
        <v>0</v>
      </c>
      <c r="H142" s="169">
        <v>0</v>
      </c>
      <c r="I142" s="169">
        <v>0</v>
      </c>
      <c r="J142" s="172">
        <f>pInt_ART1_2004_2012</f>
        <v>0.97189504107250524</v>
      </c>
      <c r="K142" s="170">
        <f>pInt_ART1_Int_ART2_2004_2012</f>
        <v>8.6622645122074182E-3</v>
      </c>
      <c r="L142" s="170">
        <f>pInt_ART1_Int_LTFU_2004_2012</f>
        <v>1.438552517214986E-2</v>
      </c>
      <c r="M142" s="170">
        <f>pInt_ART1_Int_Dead_2004_2012</f>
        <v>5.0571692431374826E-3</v>
      </c>
      <c r="N142" s="169">
        <v>0</v>
      </c>
      <c r="O142" s="169">
        <v>0</v>
      </c>
      <c r="P142" s="169">
        <v>0</v>
      </c>
      <c r="Q142" s="169">
        <v>0</v>
      </c>
      <c r="R142" s="169">
        <v>0</v>
      </c>
      <c r="S142" s="169">
        <v>0</v>
      </c>
      <c r="T142" s="169">
        <v>0</v>
      </c>
      <c r="U142" s="61">
        <f t="shared" si="1213"/>
        <v>1</v>
      </c>
      <c r="V142" s="190"/>
      <c r="W142" s="66">
        <v>6</v>
      </c>
      <c r="X142" s="66">
        <v>2010</v>
      </c>
      <c r="Y142" s="69">
        <v>1</v>
      </c>
      <c r="Z142" s="69">
        <v>0</v>
      </c>
      <c r="AA142" s="69">
        <v>0</v>
      </c>
      <c r="AB142" s="69">
        <v>0</v>
      </c>
      <c r="AC142" s="69">
        <v>0</v>
      </c>
      <c r="AD142" s="69">
        <v>0</v>
      </c>
      <c r="AE142" s="69">
        <v>0</v>
      </c>
      <c r="AF142" s="69">
        <v>0</v>
      </c>
      <c r="AG142" s="69">
        <v>0</v>
      </c>
      <c r="AH142" s="69">
        <v>0</v>
      </c>
      <c r="AI142" s="69">
        <v>0</v>
      </c>
      <c r="AJ142" s="69">
        <v>0</v>
      </c>
      <c r="AK142" s="69">
        <v>0</v>
      </c>
      <c r="AL142" s="69">
        <v>0</v>
      </c>
      <c r="AM142" s="69">
        <v>0</v>
      </c>
      <c r="AN142" s="69">
        <v>0</v>
      </c>
      <c r="AO142" s="69">
        <v>0</v>
      </c>
      <c r="AP142" s="190"/>
      <c r="AQ142" s="66">
        <v>6</v>
      </c>
      <c r="AR142" s="66">
        <v>2010</v>
      </c>
      <c r="AS142" s="215">
        <f t="shared" si="1190"/>
        <v>8588.0400000000009</v>
      </c>
      <c r="AT142" s="215">
        <f t="shared" si="1191"/>
        <v>0</v>
      </c>
      <c r="AU142" s="215">
        <f t="shared" si="1192"/>
        <v>0</v>
      </c>
      <c r="AV142" s="215">
        <f t="shared" si="1193"/>
        <v>0</v>
      </c>
      <c r="AW142" s="215">
        <f t="shared" si="1194"/>
        <v>0</v>
      </c>
      <c r="AX142" s="215">
        <f t="shared" si="1195"/>
        <v>0</v>
      </c>
      <c r="AY142" s="215">
        <f t="shared" si="1196"/>
        <v>0</v>
      </c>
      <c r="AZ142" s="215">
        <f t="shared" si="1197"/>
        <v>0</v>
      </c>
      <c r="BA142" s="215">
        <f t="shared" si="1198"/>
        <v>0</v>
      </c>
      <c r="BB142" s="215">
        <f t="shared" si="1199"/>
        <v>0</v>
      </c>
      <c r="BC142" s="215">
        <f t="shared" si="1200"/>
        <v>0</v>
      </c>
      <c r="BD142" s="215">
        <f t="shared" si="1201"/>
        <v>0</v>
      </c>
      <c r="BE142" s="215">
        <f t="shared" si="1202"/>
        <v>0</v>
      </c>
      <c r="BF142" s="215">
        <f t="shared" si="1203"/>
        <v>0</v>
      </c>
      <c r="BG142" s="215">
        <f t="shared" si="1204"/>
        <v>0</v>
      </c>
      <c r="BH142" s="215">
        <f t="shared" si="1205"/>
        <v>0</v>
      </c>
      <c r="BI142" s="215">
        <f t="shared" si="1206"/>
        <v>0</v>
      </c>
      <c r="BJ142" s="194"/>
      <c r="BK142" s="66">
        <v>6</v>
      </c>
      <c r="BL142" s="66">
        <v>2010</v>
      </c>
      <c r="BM142" s="215">
        <f t="shared" si="1214"/>
        <v>0</v>
      </c>
      <c r="BN142" s="219">
        <f t="shared" si="1215"/>
        <v>0</v>
      </c>
      <c r="BO142" s="219">
        <f t="shared" si="1216"/>
        <v>0</v>
      </c>
      <c r="BP142" s="219">
        <f t="shared" si="1242"/>
        <v>0</v>
      </c>
      <c r="BQ142" s="219">
        <f t="shared" si="1217"/>
        <v>0</v>
      </c>
      <c r="BR142" s="220">
        <f t="shared" si="1243"/>
        <v>0</v>
      </c>
      <c r="BS142" s="219">
        <f t="shared" si="1244"/>
        <v>0</v>
      </c>
      <c r="BT142" s="219">
        <f t="shared" si="1245"/>
        <v>0</v>
      </c>
      <c r="BU142" s="219">
        <f t="shared" si="1246"/>
        <v>0</v>
      </c>
      <c r="BV142" s="219">
        <f t="shared" si="1247"/>
        <v>0</v>
      </c>
      <c r="BW142" s="219">
        <f t="shared" si="1248"/>
        <v>0</v>
      </c>
      <c r="BX142" s="220">
        <f t="shared" si="1249"/>
        <v>0</v>
      </c>
      <c r="BY142" s="195"/>
      <c r="BZ142" s="192">
        <v>6</v>
      </c>
      <c r="CA142" s="66">
        <v>2010</v>
      </c>
      <c r="CB142" s="218">
        <f>pAsympt_NoCare_Asympt_Dead_2010_2012*AS141</f>
        <v>0</v>
      </c>
      <c r="CC142" s="218">
        <f t="shared" si="1218"/>
        <v>0</v>
      </c>
      <c r="CD142" s="73">
        <f t="shared" si="1219"/>
        <v>0</v>
      </c>
      <c r="CE142" s="73">
        <f>pInt_NoCare_Int_Dead_2010_2012*AW141</f>
        <v>0</v>
      </c>
      <c r="CF142" s="73">
        <f t="shared" si="1220"/>
        <v>0</v>
      </c>
      <c r="CG142" s="73">
        <f t="shared" si="1221"/>
        <v>0</v>
      </c>
      <c r="CH142" s="73">
        <f t="shared" si="1222"/>
        <v>0</v>
      </c>
      <c r="CI142" s="73">
        <f t="shared" si="1223"/>
        <v>0</v>
      </c>
      <c r="CJ142" s="73">
        <f t="shared" si="1224"/>
        <v>0</v>
      </c>
      <c r="CK142" s="73">
        <f t="shared" si="1225"/>
        <v>0</v>
      </c>
      <c r="CL142" s="73">
        <f t="shared" si="1226"/>
        <v>0</v>
      </c>
      <c r="CM142" s="73">
        <f>pAIDS_NoCare_AIDS_Dead_2010_2012*BC141</f>
        <v>0</v>
      </c>
      <c r="CN142" s="73">
        <f t="shared" si="1228"/>
        <v>0</v>
      </c>
      <c r="CO142" s="73">
        <f t="shared" si="1229"/>
        <v>0</v>
      </c>
      <c r="CP142" s="73">
        <f t="shared" si="1230"/>
        <v>0</v>
      </c>
      <c r="CQ142" s="73">
        <f t="shared" si="1231"/>
        <v>0</v>
      </c>
      <c r="CR142" s="73">
        <f t="shared" si="1232"/>
        <v>0</v>
      </c>
      <c r="CS142" s="73">
        <f t="shared" si="1233"/>
        <v>0</v>
      </c>
      <c r="CT142" s="73">
        <f t="shared" si="1234"/>
        <v>0</v>
      </c>
      <c r="CU142" s="73">
        <f t="shared" si="1235"/>
        <v>0</v>
      </c>
      <c r="CV142" s="73">
        <f t="shared" si="1236"/>
        <v>0</v>
      </c>
      <c r="CW142" s="73">
        <f t="shared" si="1237"/>
        <v>0</v>
      </c>
      <c r="CX142" s="73">
        <f t="shared" si="1238"/>
        <v>0</v>
      </c>
      <c r="CY142" s="73">
        <f t="shared" si="1239"/>
        <v>0</v>
      </c>
      <c r="CZ142" s="190"/>
      <c r="DA142" s="66">
        <v>2010</v>
      </c>
      <c r="DB142" s="218">
        <f t="shared" si="1207"/>
        <v>0</v>
      </c>
      <c r="DC142" s="218">
        <f t="shared" si="1208"/>
        <v>8588.0400000000009</v>
      </c>
      <c r="DD142" s="73">
        <f t="shared" si="1209"/>
        <v>0</v>
      </c>
      <c r="DE142" s="73">
        <f t="shared" si="1210"/>
        <v>0</v>
      </c>
      <c r="DF142" s="73">
        <f t="shared" si="1211"/>
        <v>0</v>
      </c>
      <c r="DG142" s="73">
        <f t="shared" si="1212"/>
        <v>0</v>
      </c>
      <c r="DH142" s="72" t="e">
        <f t="shared" si="1240"/>
        <v>#DIV/0!</v>
      </c>
      <c r="DI142" s="72" t="e">
        <f t="shared" si="1241"/>
        <v>#DIV/0!</v>
      </c>
      <c r="DJ142" s="73">
        <f>SUM(AV136:AV142,BB136:BB142,BI136:BI142)</f>
        <v>0</v>
      </c>
      <c r="DK142" s="218">
        <f>SUM(AV142,BB142,BI142)</f>
        <v>0</v>
      </c>
      <c r="DL142" s="190"/>
    </row>
    <row r="143" spans="1:120" x14ac:dyDescent="0.25">
      <c r="A143" s="190"/>
      <c r="B143" s="188">
        <v>2010</v>
      </c>
      <c r="C143" s="61" t="s">
        <v>324</v>
      </c>
      <c r="D143" s="169">
        <v>0</v>
      </c>
      <c r="E143" s="169">
        <v>0</v>
      </c>
      <c r="F143" s="169">
        <v>0</v>
      </c>
      <c r="G143" s="169">
        <v>0</v>
      </c>
      <c r="H143" s="169">
        <v>0</v>
      </c>
      <c r="I143" s="169">
        <v>0</v>
      </c>
      <c r="J143" s="169">
        <v>0</v>
      </c>
      <c r="K143" s="172">
        <f>pInt_ART2_2004_2012</f>
        <v>0.98055730558471266</v>
      </c>
      <c r="L143" s="170">
        <f>pInt_ART2_Int_LTFU_2004_2012</f>
        <v>1.438552517214986E-2</v>
      </c>
      <c r="M143" s="170">
        <f>pInt_ART2_Int_Dead_2004_2012</f>
        <v>5.0571692431374826E-3</v>
      </c>
      <c r="N143" s="169">
        <v>0</v>
      </c>
      <c r="O143" s="169">
        <v>0</v>
      </c>
      <c r="P143" s="169">
        <v>0</v>
      </c>
      <c r="Q143" s="169">
        <v>0</v>
      </c>
      <c r="R143" s="169">
        <v>0</v>
      </c>
      <c r="S143" s="169">
        <v>0</v>
      </c>
      <c r="T143" s="169">
        <v>0</v>
      </c>
      <c r="U143" s="61">
        <f t="shared" si="1213"/>
        <v>1</v>
      </c>
      <c r="V143" s="190"/>
      <c r="W143" s="66">
        <v>7</v>
      </c>
      <c r="X143" s="66">
        <v>2011</v>
      </c>
      <c r="Y143" s="70">
        <f>MMULT($Y142:$AO142,D$158:D$174)</f>
        <v>0.63376008575865694</v>
      </c>
      <c r="Z143" s="70">
        <f t="shared" ref="Z143" si="1250">MMULT($Y142:$AO142,E$158:E$174)</f>
        <v>7.4027434914144222E-2</v>
      </c>
      <c r="AA143" s="70">
        <f t="shared" ref="AA143" si="1251">MMULT($Y142:$AO142,F$158:F$174)</f>
        <v>0</v>
      </c>
      <c r="AB143" s="70">
        <f t="shared" ref="AB143" si="1252">MMULT($Y142:$AO142,G$158:G$174)</f>
        <v>1.818504441305463E-2</v>
      </c>
      <c r="AC143" s="70">
        <f t="shared" ref="AC143" si="1253">MMULT($Y142:$AO142,H$158:H$174)</f>
        <v>0.2</v>
      </c>
      <c r="AD143" s="70">
        <f t="shared" ref="AD143" si="1254">MMULT($Y142:$AO142,I$158:I$174)</f>
        <v>7.4027434914144222E-2</v>
      </c>
      <c r="AE143" s="70">
        <f t="shared" ref="AE143" si="1255">MMULT($Y142:$AO142,J$158:J$174)</f>
        <v>0</v>
      </c>
      <c r="AF143" s="70">
        <f t="shared" ref="AF143" si="1256">MMULT($Y142:$AO142,K$158:K$174)</f>
        <v>0</v>
      </c>
      <c r="AG143" s="70">
        <f t="shared" ref="AG143" si="1257">MMULT($Y142:$AO142,L$158:L$174)</f>
        <v>0</v>
      </c>
      <c r="AH143" s="70">
        <f t="shared" ref="AH143" si="1258">MMULT($Y142:$AO142,M$158:M$174)</f>
        <v>0</v>
      </c>
      <c r="AI143" s="70">
        <f t="shared" ref="AI143" si="1259">MMULT($Y142:$AO142,N$158:N$174)</f>
        <v>0</v>
      </c>
      <c r="AJ143" s="70">
        <f t="shared" ref="AJ143" si="1260">MMULT($Y142:$AO142,O$158:O$174)</f>
        <v>0</v>
      </c>
      <c r="AK143" s="70">
        <f t="shared" ref="AK143" si="1261">MMULT($Y142:$AO142,P$158:P$174)</f>
        <v>0</v>
      </c>
      <c r="AL143" s="70">
        <f t="shared" ref="AL143" si="1262">MMULT($Y142:$AO142,Q$158:Q$174)</f>
        <v>0</v>
      </c>
      <c r="AM143" s="70">
        <f t="shared" ref="AM143" si="1263">MMULT($Y142:$AO142,R$158:R$174)</f>
        <v>0</v>
      </c>
      <c r="AN143" s="70">
        <f t="shared" ref="AN143" si="1264">MMULT($Y142:$AO142,S$158:S$174)</f>
        <v>0</v>
      </c>
      <c r="AO143" s="70">
        <f t="shared" ref="AO143" si="1265">MMULT($Y142:$AO142,T$158:T$174)</f>
        <v>0</v>
      </c>
      <c r="AP143" s="190"/>
      <c r="AQ143" s="66">
        <v>7</v>
      </c>
      <c r="AR143" s="66">
        <v>2011</v>
      </c>
      <c r="AS143" s="215">
        <f t="shared" si="1190"/>
        <v>5442.7569668987771</v>
      </c>
      <c r="AT143" s="215">
        <f t="shared" si="1191"/>
        <v>635.75057214006722</v>
      </c>
      <c r="AU143" s="215">
        <f t="shared" si="1192"/>
        <v>0</v>
      </c>
      <c r="AV143" s="215">
        <f t="shared" si="1193"/>
        <v>156.17388882108969</v>
      </c>
      <c r="AW143" s="215">
        <f t="shared" si="1194"/>
        <v>1717.6080000000002</v>
      </c>
      <c r="AX143" s="215">
        <f t="shared" si="1195"/>
        <v>635.75057214006722</v>
      </c>
      <c r="AY143" s="215">
        <f t="shared" si="1196"/>
        <v>0</v>
      </c>
      <c r="AZ143" s="215">
        <f t="shared" si="1197"/>
        <v>0</v>
      </c>
      <c r="BA143" s="215">
        <f t="shared" si="1198"/>
        <v>0</v>
      </c>
      <c r="BB143" s="215">
        <f t="shared" si="1199"/>
        <v>0</v>
      </c>
      <c r="BC143" s="215">
        <f t="shared" si="1200"/>
        <v>0</v>
      </c>
      <c r="BD143" s="215">
        <f t="shared" si="1201"/>
        <v>0</v>
      </c>
      <c r="BE143" s="215">
        <f t="shared" si="1202"/>
        <v>0</v>
      </c>
      <c r="BF143" s="215">
        <f t="shared" si="1203"/>
        <v>0</v>
      </c>
      <c r="BG143" s="215">
        <f t="shared" si="1204"/>
        <v>0</v>
      </c>
      <c r="BH143" s="215">
        <f t="shared" si="1205"/>
        <v>0</v>
      </c>
      <c r="BI143" s="215">
        <f t="shared" si="1206"/>
        <v>0</v>
      </c>
      <c r="BJ143" s="194"/>
      <c r="BK143" s="66">
        <v>7</v>
      </c>
      <c r="BL143" s="66">
        <v>2011</v>
      </c>
      <c r="BM143" s="215">
        <f t="shared" si="1214"/>
        <v>0</v>
      </c>
      <c r="BN143" s="219">
        <f t="shared" si="1215"/>
        <v>0</v>
      </c>
      <c r="BO143" s="219">
        <f t="shared" si="1216"/>
        <v>0</v>
      </c>
      <c r="BP143" s="219">
        <f t="shared" si="1242"/>
        <v>0</v>
      </c>
      <c r="BQ143" s="219">
        <f t="shared" si="1217"/>
        <v>0</v>
      </c>
      <c r="BR143" s="220">
        <f t="shared" si="1243"/>
        <v>0</v>
      </c>
      <c r="BS143" s="219">
        <f t="shared" si="1244"/>
        <v>0</v>
      </c>
      <c r="BT143" s="219">
        <f t="shared" si="1245"/>
        <v>0</v>
      </c>
      <c r="BU143" s="219">
        <f t="shared" si="1246"/>
        <v>0</v>
      </c>
      <c r="BV143" s="219">
        <f t="shared" si="1247"/>
        <v>0</v>
      </c>
      <c r="BW143" s="219">
        <f t="shared" si="1248"/>
        <v>0</v>
      </c>
      <c r="BX143" s="220">
        <f t="shared" si="1249"/>
        <v>0</v>
      </c>
      <c r="BY143" s="195"/>
      <c r="BZ143" s="192">
        <v>7</v>
      </c>
      <c r="CA143" s="66">
        <v>2011</v>
      </c>
      <c r="CB143" s="218">
        <f>pAsympt_NoCare_Asympt_Dead_2010_2012*AS142</f>
        <v>156.17388882108969</v>
      </c>
      <c r="CC143" s="218">
        <f t="shared" si="1218"/>
        <v>0</v>
      </c>
      <c r="CD143" s="73">
        <f t="shared" si="1219"/>
        <v>0</v>
      </c>
      <c r="CE143" s="73">
        <f>pInt_NoCare_Int_Dead_2010_2012*AW142</f>
        <v>0</v>
      </c>
      <c r="CF143" s="73">
        <f t="shared" si="1220"/>
        <v>0</v>
      </c>
      <c r="CG143" s="73">
        <f t="shared" si="1221"/>
        <v>0</v>
      </c>
      <c r="CH143" s="73">
        <f t="shared" si="1222"/>
        <v>0</v>
      </c>
      <c r="CI143" s="73">
        <f t="shared" si="1223"/>
        <v>0</v>
      </c>
      <c r="CJ143" s="73">
        <f t="shared" si="1224"/>
        <v>0</v>
      </c>
      <c r="CK143" s="73">
        <f t="shared" si="1225"/>
        <v>0</v>
      </c>
      <c r="CL143" s="73">
        <f t="shared" si="1226"/>
        <v>0</v>
      </c>
      <c r="CM143" s="73">
        <f>pAIDS_NoCare_AIDS_Dead_2010_2012*BC142</f>
        <v>0</v>
      </c>
      <c r="CN143" s="73">
        <f t="shared" si="1228"/>
        <v>0</v>
      </c>
      <c r="CO143" s="73">
        <f t="shared" si="1229"/>
        <v>0</v>
      </c>
      <c r="CP143" s="73">
        <f t="shared" si="1230"/>
        <v>0</v>
      </c>
      <c r="CQ143" s="73">
        <f t="shared" si="1231"/>
        <v>0</v>
      </c>
      <c r="CR143" s="73">
        <f t="shared" si="1232"/>
        <v>0</v>
      </c>
      <c r="CS143" s="73">
        <f t="shared" si="1233"/>
        <v>0</v>
      </c>
      <c r="CT143" s="73">
        <f t="shared" si="1234"/>
        <v>0</v>
      </c>
      <c r="CU143" s="73">
        <f t="shared" si="1235"/>
        <v>0</v>
      </c>
      <c r="CV143" s="73">
        <f t="shared" si="1236"/>
        <v>0</v>
      </c>
      <c r="CW143" s="73">
        <f t="shared" si="1237"/>
        <v>0</v>
      </c>
      <c r="CX143" s="73">
        <f t="shared" si="1238"/>
        <v>0</v>
      </c>
      <c r="CY143" s="73">
        <f t="shared" si="1239"/>
        <v>0</v>
      </c>
      <c r="CZ143" s="190"/>
      <c r="DA143" s="66">
        <v>2011</v>
      </c>
      <c r="DB143" s="218">
        <f t="shared" si="1207"/>
        <v>1271.5011442801344</v>
      </c>
      <c r="DC143" s="218">
        <f t="shared" si="1208"/>
        <v>8431.8661111789115</v>
      </c>
      <c r="DD143" s="73">
        <f t="shared" si="1209"/>
        <v>0</v>
      </c>
      <c r="DE143" s="73">
        <f t="shared" si="1210"/>
        <v>0</v>
      </c>
      <c r="DF143" s="73">
        <f t="shared" si="1211"/>
        <v>0</v>
      </c>
      <c r="DG143" s="73">
        <f t="shared" si="1212"/>
        <v>2353.3585721400673</v>
      </c>
      <c r="DH143" s="72">
        <f t="shared" si="1240"/>
        <v>0</v>
      </c>
      <c r="DI143" s="72" t="e">
        <f t="shared" si="1241"/>
        <v>#DIV/0!</v>
      </c>
      <c r="DJ143" s="73">
        <f>SUM(AV136:AV143,BB136:BB143,BI136:BI143)</f>
        <v>156.17388882108969</v>
      </c>
      <c r="DK143" s="218">
        <f>SUM(AV142:AV143,BB142:BB143,BI142:BI143)</f>
        <v>156.17388882108969</v>
      </c>
      <c r="DL143" s="190"/>
    </row>
    <row r="144" spans="1:120" x14ac:dyDescent="0.25">
      <c r="A144" s="190"/>
      <c r="B144" s="188">
        <v>2010</v>
      </c>
      <c r="C144" s="61" t="s">
        <v>325</v>
      </c>
      <c r="D144" s="169">
        <v>0</v>
      </c>
      <c r="E144" s="169">
        <v>0</v>
      </c>
      <c r="F144" s="169">
        <v>0</v>
      </c>
      <c r="G144" s="169">
        <v>0</v>
      </c>
      <c r="H144" s="169">
        <v>0</v>
      </c>
      <c r="I144" s="169">
        <v>0</v>
      </c>
      <c r="J144" s="171">
        <f>pInt_LTFU_Int_ART1_2004_2012</f>
        <v>0.1414</v>
      </c>
      <c r="K144" s="171">
        <f>pInt_LTFU_Int_ART2_2004_2012</f>
        <v>0.1515</v>
      </c>
      <c r="L144" s="172">
        <f>pInt_LTFU_2004_2012</f>
        <v>0.43882838478243957</v>
      </c>
      <c r="M144" s="171">
        <f>pInt_LTFU_Int_Dead_2004_2012</f>
        <v>2.7888537361361161E-2</v>
      </c>
      <c r="N144" s="169">
        <v>0</v>
      </c>
      <c r="O144" s="169">
        <v>0</v>
      </c>
      <c r="P144" s="169">
        <v>0</v>
      </c>
      <c r="Q144" s="169">
        <v>0</v>
      </c>
      <c r="R144" s="169">
        <v>0</v>
      </c>
      <c r="S144" s="170">
        <f>pInt_LTFU_AIDS_LTFU_2004_2012</f>
        <v>0.24038307785619925</v>
      </c>
      <c r="T144" s="169">
        <v>0</v>
      </c>
      <c r="U144" s="61">
        <f t="shared" si="1213"/>
        <v>1</v>
      </c>
      <c r="V144" s="190"/>
      <c r="W144" s="66">
        <v>8</v>
      </c>
      <c r="X144" s="66">
        <v>2012</v>
      </c>
      <c r="Y144" s="70">
        <f>MMULT($Y143:$AO143,D$180:D$196)</f>
        <v>0.40165184630082018</v>
      </c>
      <c r="Z144" s="70">
        <f t="shared" ref="Z144" si="1266">MMULT($Y143:$AO143,E$180:E$196)</f>
        <v>7.9350132444030066E-2</v>
      </c>
      <c r="AA144" s="70">
        <f t="shared" ref="AA144" si="1267">MMULT($Y143:$AO143,F$180:F$196)</f>
        <v>2.2711269412095766E-2</v>
      </c>
      <c r="AB144" s="70">
        <f t="shared" ref="AB144" si="1268">MMULT($Y143:$AO143,G$180:G$196)</f>
        <v>1.2788092354875989E-2</v>
      </c>
      <c r="AC144" s="70">
        <f t="shared" ref="AC144" si="1269">MMULT($Y143:$AO143,H$180:H$196)</f>
        <v>0.22169301105858225</v>
      </c>
      <c r="AD144" s="70">
        <f t="shared" ref="AD144" si="1270">MMULT($Y143:$AO143,I$180:I$196)</f>
        <v>0.1017364552227743</v>
      </c>
      <c r="AE144" s="70">
        <f t="shared" ref="AE144" si="1271">MMULT($Y143:$AO143,J$180:J$196)</f>
        <v>1.2322340839651991E-2</v>
      </c>
      <c r="AF144" s="70">
        <f t="shared" ref="AF144" si="1272">MMULT($Y143:$AO143,K$180:K$196)</f>
        <v>0</v>
      </c>
      <c r="AG144" s="70">
        <f t="shared" ref="AG144" si="1273">MMULT($Y143:$AO143,L$180:L$196)</f>
        <v>1.3509635260084139E-2</v>
      </c>
      <c r="AH144" s="70">
        <f t="shared" ref="AH144" si="1274">MMULT($Y143:$AO143,M$180:M$196)</f>
        <v>7.5148512019901498E-3</v>
      </c>
      <c r="AI144" s="70">
        <f t="shared" ref="AI144" si="1275">MMULT($Y143:$AO143,N$180:N$196)</f>
        <v>0.06</v>
      </c>
      <c r="AJ144" s="70">
        <f t="shared" ref="AJ144" si="1276">MMULT($Y143:$AO143,O$180:O$196)</f>
        <v>4.1948879784681731E-2</v>
      </c>
      <c r="AK144" s="70">
        <f t="shared" ref="AK144" si="1277">MMULT($Y143:$AO143,P$180:P$196)</f>
        <v>6.5884417073588351E-3</v>
      </c>
      <c r="AL144" s="70">
        <f t="shared" ref="AL144" si="1278">MMULT($Y143:$AO143,Q$180:Q$196)</f>
        <v>0</v>
      </c>
      <c r="AM144" s="70">
        <f t="shared" ref="AM144" si="1279">MMULT($Y143:$AO143,R$180:R$196)</f>
        <v>0</v>
      </c>
      <c r="AN144" s="70">
        <f t="shared" ref="AN144" si="1280">MMULT($Y143:$AO143,S$180:S$196)</f>
        <v>0</v>
      </c>
      <c r="AO144" s="70">
        <f t="shared" ref="AO144" si="1281">MMULT($Y143:$AO143,T$180:T$196)</f>
        <v>0</v>
      </c>
      <c r="AP144" s="190"/>
      <c r="AQ144" s="66">
        <v>8</v>
      </c>
      <c r="AR144" s="66">
        <v>2012</v>
      </c>
      <c r="AS144" s="215">
        <f t="shared" si="1190"/>
        <v>3449.4021221052963</v>
      </c>
      <c r="AT144" s="215">
        <f t="shared" si="1191"/>
        <v>681.46211143462801</v>
      </c>
      <c r="AU144" s="215">
        <f t="shared" si="1192"/>
        <v>195.04529016185495</v>
      </c>
      <c r="AV144" s="215">
        <f t="shared" si="1193"/>
        <v>109.8246486673692</v>
      </c>
      <c r="AW144" s="215">
        <f t="shared" si="1194"/>
        <v>1903.9084466915469</v>
      </c>
      <c r="AX144" s="215">
        <f t="shared" si="1195"/>
        <v>873.71674691139469</v>
      </c>
      <c r="AY144" s="215">
        <f t="shared" si="1196"/>
        <v>105.82475602456491</v>
      </c>
      <c r="AZ144" s="215">
        <f t="shared" si="1197"/>
        <v>0</v>
      </c>
      <c r="BA144" s="215">
        <f t="shared" si="1198"/>
        <v>116.021287999013</v>
      </c>
      <c r="BB144" s="215">
        <f t="shared" si="1199"/>
        <v>64.53784271673949</v>
      </c>
      <c r="BC144" s="215">
        <f t="shared" si="1200"/>
        <v>515.28240000000005</v>
      </c>
      <c r="BD144" s="215">
        <f t="shared" si="1201"/>
        <v>360.25865754603814</v>
      </c>
      <c r="BE144" s="215">
        <f t="shared" si="1202"/>
        <v>56.581800920465973</v>
      </c>
      <c r="BF144" s="215">
        <f t="shared" si="1203"/>
        <v>0</v>
      </c>
      <c r="BG144" s="215">
        <f t="shared" si="1204"/>
        <v>0</v>
      </c>
      <c r="BH144" s="215">
        <f t="shared" si="1205"/>
        <v>0</v>
      </c>
      <c r="BI144" s="215">
        <f t="shared" si="1206"/>
        <v>0</v>
      </c>
      <c r="BJ144" s="194"/>
      <c r="BK144" s="66">
        <v>8</v>
      </c>
      <c r="BL144" s="66">
        <v>2012</v>
      </c>
      <c r="BM144" s="215">
        <f t="shared" si="1214"/>
        <v>116.021287999013</v>
      </c>
      <c r="BN144" s="219">
        <f t="shared" si="1215"/>
        <v>0</v>
      </c>
      <c r="BO144" s="219">
        <f t="shared" si="1216"/>
        <v>0</v>
      </c>
      <c r="BP144" s="219">
        <f t="shared" si="1242"/>
        <v>0</v>
      </c>
      <c r="BQ144" s="219">
        <f t="shared" si="1217"/>
        <v>0</v>
      </c>
      <c r="BR144" s="220">
        <f t="shared" si="1243"/>
        <v>0</v>
      </c>
      <c r="BS144" s="219">
        <f t="shared" si="1244"/>
        <v>0</v>
      </c>
      <c r="BT144" s="219">
        <f t="shared" si="1245"/>
        <v>0</v>
      </c>
      <c r="BU144" s="219">
        <f t="shared" si="1246"/>
        <v>0</v>
      </c>
      <c r="BV144" s="219">
        <f t="shared" si="1247"/>
        <v>0</v>
      </c>
      <c r="BW144" s="219">
        <f t="shared" si="1248"/>
        <v>0</v>
      </c>
      <c r="BX144" s="220">
        <f t="shared" si="1249"/>
        <v>0</v>
      </c>
      <c r="BY144" s="195"/>
      <c r="BZ144" s="192">
        <v>8</v>
      </c>
      <c r="CA144" s="66">
        <v>2012</v>
      </c>
      <c r="CB144" s="218">
        <f>pAsympt_NoCare_Asympt_Dead_2010_2012*AS143</f>
        <v>98.976777172516762</v>
      </c>
      <c r="CC144" s="218">
        <f t="shared" si="1218"/>
        <v>10.847871494852438</v>
      </c>
      <c r="CD144" s="73">
        <f t="shared" si="1219"/>
        <v>0</v>
      </c>
      <c r="CE144" s="73">
        <f>pInt_NoCare_Int_Dead_2010_2012*AW143</f>
        <v>47.901574880172824</v>
      </c>
      <c r="CF144" s="73">
        <f t="shared" si="1220"/>
        <v>16.636267836566656</v>
      </c>
      <c r="CG144" s="73">
        <f t="shared" si="1221"/>
        <v>0</v>
      </c>
      <c r="CH144" s="73">
        <f t="shared" si="1222"/>
        <v>0</v>
      </c>
      <c r="CI144" s="73">
        <f t="shared" si="1223"/>
        <v>0</v>
      </c>
      <c r="CJ144" s="73">
        <f t="shared" si="1224"/>
        <v>0</v>
      </c>
      <c r="CK144" s="73">
        <f t="shared" si="1225"/>
        <v>0</v>
      </c>
      <c r="CL144" s="73">
        <f t="shared" si="1226"/>
        <v>0</v>
      </c>
      <c r="CM144" s="73">
        <f>pAIDS_NoCare_AIDS_Dead_2010_2012*BC143</f>
        <v>0</v>
      </c>
      <c r="CN144" s="73">
        <f t="shared" si="1228"/>
        <v>0</v>
      </c>
      <c r="CO144" s="73">
        <f t="shared" si="1229"/>
        <v>0</v>
      </c>
      <c r="CP144" s="73">
        <f t="shared" si="1230"/>
        <v>0</v>
      </c>
      <c r="CQ144" s="73">
        <f t="shared" si="1231"/>
        <v>0</v>
      </c>
      <c r="CR144" s="73">
        <f t="shared" si="1232"/>
        <v>0</v>
      </c>
      <c r="CS144" s="73">
        <f t="shared" si="1233"/>
        <v>0</v>
      </c>
      <c r="CT144" s="73">
        <f t="shared" si="1234"/>
        <v>0</v>
      </c>
      <c r="CU144" s="73">
        <f t="shared" si="1235"/>
        <v>0</v>
      </c>
      <c r="CV144" s="73">
        <f t="shared" si="1236"/>
        <v>0</v>
      </c>
      <c r="CW144" s="73">
        <f t="shared" si="1237"/>
        <v>0</v>
      </c>
      <c r="CX144" s="73">
        <f t="shared" si="1238"/>
        <v>0</v>
      </c>
      <c r="CY144" s="73">
        <f t="shared" si="1239"/>
        <v>0</v>
      </c>
      <c r="CZ144" s="190"/>
      <c r="DA144" s="66">
        <v>2012</v>
      </c>
      <c r="DB144" s="218">
        <f t="shared" si="1207"/>
        <v>1915.4375158920609</v>
      </c>
      <c r="DC144" s="218">
        <f t="shared" si="1208"/>
        <v>8257.5036197948029</v>
      </c>
      <c r="DD144" s="73">
        <f t="shared" si="1209"/>
        <v>162.40655694503087</v>
      </c>
      <c r="DE144" s="73">
        <f t="shared" si="1210"/>
        <v>56.581800920465973</v>
      </c>
      <c r="DF144" s="73">
        <f t="shared" si="1211"/>
        <v>875.54105754603825</v>
      </c>
      <c r="DG144" s="73">
        <f t="shared" si="1212"/>
        <v>3769.187539147993</v>
      </c>
      <c r="DH144" s="72">
        <f t="shared" si="1240"/>
        <v>4.1308068171742478E-2</v>
      </c>
      <c r="DI144" s="72">
        <f t="shared" si="1241"/>
        <v>6.0702084930684311E-2</v>
      </c>
      <c r="DJ144" s="73">
        <f>SUM(AV136:AV144,BB136:BB144,BI136:BI144)</f>
        <v>330.53638020519838</v>
      </c>
      <c r="DK144" s="73">
        <f>SUM(AV142:AV144,BB142:BB144,BI142:BI144)</f>
        <v>330.53638020519838</v>
      </c>
      <c r="DL144" s="190"/>
    </row>
    <row r="145" spans="1:120" x14ac:dyDescent="0.25">
      <c r="A145" s="190"/>
      <c r="B145" s="188">
        <v>2010</v>
      </c>
      <c r="C145" s="61" t="s">
        <v>326</v>
      </c>
      <c r="D145" s="169">
        <v>0</v>
      </c>
      <c r="E145" s="169">
        <v>0</v>
      </c>
      <c r="F145" s="169">
        <v>0</v>
      </c>
      <c r="G145" s="169">
        <v>0</v>
      </c>
      <c r="H145" s="169">
        <v>0</v>
      </c>
      <c r="I145" s="169">
        <v>0</v>
      </c>
      <c r="J145" s="169">
        <v>0</v>
      </c>
      <c r="K145" s="169">
        <v>0</v>
      </c>
      <c r="L145" s="169">
        <v>0</v>
      </c>
      <c r="M145" s="169">
        <v>0</v>
      </c>
      <c r="N145" s="169">
        <v>0</v>
      </c>
      <c r="O145" s="169">
        <v>0</v>
      </c>
      <c r="P145" s="169">
        <v>0</v>
      </c>
      <c r="Q145" s="169">
        <v>0</v>
      </c>
      <c r="R145" s="169">
        <v>0</v>
      </c>
      <c r="S145" s="169">
        <v>0</v>
      </c>
      <c r="T145" s="169">
        <v>0</v>
      </c>
      <c r="U145" s="61">
        <f t="shared" si="1213"/>
        <v>0</v>
      </c>
      <c r="V145" s="190"/>
      <c r="W145" s="66">
        <v>9</v>
      </c>
      <c r="X145" s="66">
        <v>2013</v>
      </c>
      <c r="Y145" s="70">
        <f>MMULT($Y144:$AO144,D$202:D$218)</f>
        <v>0.25455090855673068</v>
      </c>
      <c r="Z145" s="70">
        <f t="shared" ref="Z145:Z155" si="1282">MMULT($Y144:$AO144,E$202:E$218)</f>
        <v>6.4499850078608451E-2</v>
      </c>
      <c r="AA145" s="70">
        <f t="shared" ref="AA145:AA155" si="1283">MMULT($Y144:$AO144,F$202:F$218)</f>
        <v>3.9118268432763954E-2</v>
      </c>
      <c r="AB145" s="70">
        <f t="shared" ref="AB145:AB155" si="1284">MMULT($Y144:$AO144,G$202:G$218)</f>
        <v>9.0710208405925634E-3</v>
      </c>
      <c r="AC145" s="70">
        <f t="shared" ref="AC145:AC155" si="1285">MMULT($Y144:$AO144,H$202:H$218)</f>
        <v>0.18556914332068541</v>
      </c>
      <c r="AD145" s="70">
        <f t="shared" ref="AD145:AD155" si="1286">MMULT($Y144:$AO144,I$202:I$218)</f>
        <v>9.5348753537974687E-2</v>
      </c>
      <c r="AE145" s="70">
        <f t="shared" ref="AE145:AE155" si="1287">MMULT($Y144:$AO144,J$202:J$218)</f>
        <v>3.3225173226078444E-2</v>
      </c>
      <c r="AF145" s="70">
        <f t="shared" ref="AF145:AF155" si="1288">MMULT($Y144:$AO144,K$202:K$218)</f>
        <v>2.4263437499190883E-3</v>
      </c>
      <c r="AG145" s="70">
        <f t="shared" ref="AG145:AG155" si="1289">MMULT($Y144:$AO144,L$202:L$218)</f>
        <v>2.8668531751787067E-2</v>
      </c>
      <c r="AH145" s="70">
        <f t="shared" ref="AH145:AH155" si="1290">MMULT($Y144:$AO144,M$202:M$218)</f>
        <v>9.2840050097176517E-3</v>
      </c>
      <c r="AI145" s="70">
        <f t="shared" ref="AI145:AI155" si="1291">MMULT($Y144:$AO144,N$202:N$218)</f>
        <v>7.0651352353037836E-2</v>
      </c>
      <c r="AJ145" s="70">
        <f t="shared" ref="AJ145:AJ155" si="1292">MMULT($Y144:$AO144,O$202:O$218)</f>
        <v>8.569708969366624E-2</v>
      </c>
      <c r="AK145" s="70">
        <f t="shared" ref="AK145:AK155" si="1293">MMULT($Y144:$AO144,P$202:P$218)</f>
        <v>3.0309750692456512E-2</v>
      </c>
      <c r="AL145" s="70">
        <f t="shared" ref="AL145:AL155" si="1294">MMULT($Y144:$AO144,Q$202:Q$218)</f>
        <v>5.4057491247627015E-3</v>
      </c>
      <c r="AM145" s="70">
        <f t="shared" ref="AM145:AM155" si="1295">MMULT($Y144:$AO144,R$202:R$218)</f>
        <v>0</v>
      </c>
      <c r="AN145" s="70">
        <f t="shared" ref="AN145:AN155" si="1296">MMULT($Y144:$AO144,S$202:S$218)</f>
        <v>5.9232001121558263E-3</v>
      </c>
      <c r="AO145" s="70">
        <f t="shared" ref="AO145:AO155" si="1297">MMULT($Y144:$AO144,T$202:T$218)</f>
        <v>4.1762871549142107E-2</v>
      </c>
      <c r="AP145" s="190"/>
      <c r="AQ145" s="66">
        <v>9</v>
      </c>
      <c r="AR145" s="66">
        <v>2013</v>
      </c>
      <c r="AS145" s="215">
        <f t="shared" si="1190"/>
        <v>2186.0933847215456</v>
      </c>
      <c r="AT145" s="215">
        <f t="shared" si="1191"/>
        <v>553.92729246909255</v>
      </c>
      <c r="AU145" s="215">
        <f t="shared" si="1192"/>
        <v>335.94925403131418</v>
      </c>
      <c r="AV145" s="215">
        <f t="shared" si="1193"/>
        <v>77.902289819842565</v>
      </c>
      <c r="AW145" s="215">
        <f t="shared" si="1194"/>
        <v>1593.6752256037794</v>
      </c>
      <c r="AX145" s="215">
        <f t="shared" si="1195"/>
        <v>818.85890933426822</v>
      </c>
      <c r="AY145" s="215">
        <f t="shared" si="1196"/>
        <v>285.33911667249077</v>
      </c>
      <c r="AZ145" s="215">
        <f t="shared" si="1197"/>
        <v>20.837537178055129</v>
      </c>
      <c r="BA145" s="215">
        <f t="shared" si="1198"/>
        <v>246.20649742561744</v>
      </c>
      <c r="BB145" s="215">
        <f t="shared" si="1199"/>
        <v>79.731406383655596</v>
      </c>
      <c r="BC145" s="215">
        <f t="shared" si="1200"/>
        <v>606.75664006198315</v>
      </c>
      <c r="BD145" s="215">
        <f t="shared" si="1201"/>
        <v>735.97003417279348</v>
      </c>
      <c r="BE145" s="215">
        <f t="shared" si="1202"/>
        <v>260.30135133684428</v>
      </c>
      <c r="BF145" s="215">
        <f t="shared" si="1203"/>
        <v>46.424789713427074</v>
      </c>
      <c r="BG145" s="215">
        <f t="shared" si="1204"/>
        <v>0</v>
      </c>
      <c r="BH145" s="215">
        <f t="shared" si="1205"/>
        <v>50.868679491198726</v>
      </c>
      <c r="BI145" s="215">
        <f t="shared" si="1206"/>
        <v>358.66121137889439</v>
      </c>
      <c r="BJ145" s="194"/>
      <c r="BK145" s="66">
        <v>9</v>
      </c>
      <c r="BL145" s="66">
        <v>2013</v>
      </c>
      <c r="BM145" s="215">
        <f t="shared" ref="BM145:BM155" si="1298">(AX144*pInt_InCare_Int_LTFU_2013plus_u)+(BM144*pInt_LTFU_2013plus_u)</f>
        <v>205.67509470161843</v>
      </c>
      <c r="BN145" s="219">
        <f t="shared" ref="BN145:BN155" si="1299">(AU144*pAsympt_LTFU_Int_LTFU_2013plus_u)+(BN144*pInt_LTFU_2013plus_u)</f>
        <v>39.009058032370994</v>
      </c>
      <c r="BO145" s="219">
        <f t="shared" ref="BO145:BO155" si="1300">(AY144*pInt_ART1_Int_LTFU_2013plus_u)+(BO144*pInt_LTFU_2013plus_u)</f>
        <v>1.5223446916279959</v>
      </c>
      <c r="BP145" s="219">
        <f t="shared" ref="BP145:BP155" si="1301">(AZ144*pInt_ART2_Int_LTFU_2013plus_u)+(BP144*pInt_LTFU_2013plus_u)</f>
        <v>0</v>
      </c>
      <c r="BQ145" s="219">
        <f t="shared" ref="BQ145:BQ155" si="1302">(BD144*pAIDS_InCare_AIDS_LTFU_2013plus_u)+(BQ144*pAIDS_LTFU_2013plus_u)</f>
        <v>21.185182166464188</v>
      </c>
      <c r="BR145" s="220">
        <f t="shared" ref="BR145:BR155" si="1303">(BN144*pInt_LTFU_AIDS_LTFU_2013plus_u)+(BR144*pAIDS_LTFU_2013plus_u)</f>
        <v>0</v>
      </c>
      <c r="BS145" s="219">
        <f t="shared" ref="BS145:BS155" si="1304">(BM144*pInt_LTFU_AIDS_LTFU_2013plus_u)+(BS144*pAIDS_LTFU_2013plus_u)</f>
        <v>27.889554306043259</v>
      </c>
      <c r="BT145" s="219">
        <f t="shared" ref="BT145:BT155" si="1305">(BE144*pAIDS_ART1ear_AIDS_LTFU_2013plus_u)+(BT144*pAIDS_LTFU_2013plus_u)</f>
        <v>1.7939430186912875</v>
      </c>
      <c r="BU145" s="219">
        <f t="shared" ref="BU145:BU155" si="1306">(BF144*pAIDS_ART1late_AIDS_LTFU_2013plus_u)+(BU144*pAIDS_LTFU_2013plus_u)</f>
        <v>0</v>
      </c>
      <c r="BV145" s="219">
        <f t="shared" ref="BV145:BV155" si="1307">(BO144*pInt_LTFU_AIDS_LTFU_2013plus_u)+(BV144*pAIDS_LTFU_2013plus_u)</f>
        <v>0</v>
      </c>
      <c r="BW145" s="219">
        <f t="shared" ref="BW145:BW155" si="1308">(BG144*pAIDS_ART2_AIDS_LTFU_2013plus_u)+(BW144*pAIDS_LTFU_2013plus_u)</f>
        <v>0</v>
      </c>
      <c r="BX145" s="220">
        <f t="shared" ref="BX145:BX155" si="1309">(BP144*pInt_LTFU_AIDS_LTFU_2013plus_u)+(BX144*pAIDS_LTFU_2013plus_u)</f>
        <v>0</v>
      </c>
      <c r="BY145" s="195"/>
      <c r="BZ145" s="192">
        <v>9</v>
      </c>
      <c r="CA145" s="66">
        <v>2013</v>
      </c>
      <c r="CB145" s="218">
        <f t="shared" ref="CB145:CB155" si="1310">pAsympt_NoCare_Asympt_Dead_2013plus_u*AS144</f>
        <v>62.727530788969702</v>
      </c>
      <c r="CC145" s="218">
        <f t="shared" ref="CC145:CC155" si="1311">pAsympt_InCare_Asympt_Dead_2013plus_u*AT144</f>
        <v>11.627851766722399</v>
      </c>
      <c r="CD145" s="73">
        <f t="shared" ref="CD145:CD155" si="1312">pAsympt_LTFU_Asympt_Dead_2013plus_u*AU144</f>
        <v>3.5469072641504593</v>
      </c>
      <c r="CE145" s="73">
        <f t="shared" ref="CE145:CE155" si="1313">pInt_NoCare_Int_Dead_2013plus_u*AW144</f>
        <v>53.097221848168303</v>
      </c>
      <c r="CF145" s="73">
        <f t="shared" ref="CF145:CF155" si="1314">pInt_InCare_Int_Dead_2013plus_u*AX144</f>
        <v>22.863346809083612</v>
      </c>
      <c r="CG145" s="73">
        <f t="shared" ref="CG145:CG155" si="1315">pInt_ART1_Int_Dead_2013plus_u*AY144</f>
        <v>0.53517370132995767</v>
      </c>
      <c r="CH145" s="73">
        <f t="shared" ref="CH145:CH155" si="1316">pInt_ART2_Int_Dead_2013plus_u*AZ144</f>
        <v>0</v>
      </c>
      <c r="CI145" s="73">
        <f t="shared" ref="CI145:CI155" si="1317">(BM144*pInt_LTFU_Int_Dead_2013plus_u)</f>
        <v>3.2356640250737172</v>
      </c>
      <c r="CJ145" s="73">
        <f t="shared" ref="CJ145:CJ155" si="1318">(BN144*pInt_LTFU_Int_Dead_2013plus_u)</f>
        <v>0</v>
      </c>
      <c r="CK145" s="73">
        <f t="shared" ref="CK145:CK155" si="1319">(BO144*pInt_LTFU_Int_Dead_2013plus_u)</f>
        <v>0</v>
      </c>
      <c r="CL145" s="73">
        <f t="shared" ref="CL145:CL155" si="1320">(BP144*pInt_LTFU_Int_Dead_2013plus_u)</f>
        <v>0</v>
      </c>
      <c r="CM145" s="73">
        <f t="shared" ref="CM145:CM155" si="1321">pAIDS_NoCare_AIDS_Dead_2013plus_u*BC144</f>
        <v>211.53101958806502</v>
      </c>
      <c r="CN145" s="73">
        <f t="shared" ref="CN145:CN155" si="1322">pAIDS_InCare_AIDS_Dead_2013plus_u*BD144</f>
        <v>138.76712360248183</v>
      </c>
      <c r="CO145" s="73">
        <f t="shared" ref="CO145:CO155" si="1323">pAIDS_ART1ear_AIDS_Dead_2013plus_u*BE144</f>
        <v>8.3630681883476132</v>
      </c>
      <c r="CP145" s="73">
        <f t="shared" ref="CP145:CP155" si="1324">pAIDS_ART1late_AIDS_Dead_2013plus_u*BF144</f>
        <v>0</v>
      </c>
      <c r="CQ145" s="73">
        <f t="shared" ref="CQ145:CQ155" si="1325">pAIDS_ART2_AIDS_Dead_2013plus_u*BG144</f>
        <v>0</v>
      </c>
      <c r="CR145" s="73">
        <f t="shared" ref="CR145:CR155" si="1326">(BQ144*pAIDS_LTFU_AIDS_Dead_2013plus_u)</f>
        <v>0</v>
      </c>
      <c r="CS145" s="73">
        <f t="shared" ref="CS145:CS155" si="1327">(BR144*pAIDS_LTFU_AIDS_Dead_2013plus_u)</f>
        <v>0</v>
      </c>
      <c r="CT145" s="73">
        <f t="shared" ref="CT145:CT155" si="1328">(BS144*pAIDS_LTFU_AIDS_Dead_2013plus_u)</f>
        <v>0</v>
      </c>
      <c r="CU145" s="73">
        <f t="shared" ref="CU145:CU155" si="1329">(BT144*pAIDS_LTFU_AIDS_Dead_2013plus_u)</f>
        <v>0</v>
      </c>
      <c r="CV145" s="73">
        <f t="shared" ref="CV145:CV155" si="1330">(BU144*pAIDS_LTFU_AIDS_Dead_2013plus_u)</f>
        <v>0</v>
      </c>
      <c r="CW145" s="73">
        <f t="shared" ref="CW145:CW155" si="1331">(BV144*pAIDS_LTFU_AIDS_Dead_2013plus_u)</f>
        <v>0</v>
      </c>
      <c r="CX145" s="73">
        <f t="shared" ref="CX145:CX155" si="1332">(BW144*pAIDS_LTFU_AIDS_Dead_2013plus_u)</f>
        <v>0</v>
      </c>
      <c r="CY145" s="73">
        <f t="shared" ref="CY145:CY155" si="1333">(BX144*pAIDS_LTFU_AIDS_Dead_2013plus_u)</f>
        <v>0</v>
      </c>
      <c r="CZ145" s="190"/>
      <c r="DA145" s="66">
        <v>2013</v>
      </c>
      <c r="DB145" s="218">
        <f t="shared" si="1207"/>
        <v>2108.7562359761541</v>
      </c>
      <c r="DC145" s="218">
        <f t="shared" si="1208"/>
        <v>7741.2087122124094</v>
      </c>
      <c r="DD145" s="73">
        <f t="shared" si="1209"/>
        <v>612.9027949008173</v>
      </c>
      <c r="DE145" s="73">
        <f t="shared" si="1210"/>
        <v>306.72614105027134</v>
      </c>
      <c r="DF145" s="73">
        <f t="shared" si="1211"/>
        <v>1393.5953537259752</v>
      </c>
      <c r="DG145" s="73">
        <f t="shared" si="1212"/>
        <v>4052.3359860896398</v>
      </c>
      <c r="DH145" s="72">
        <f t="shared" si="1240"/>
        <v>0.13137651118699961</v>
      </c>
      <c r="DI145" s="72">
        <f t="shared" si="1241"/>
        <v>0.18039302684380573</v>
      </c>
      <c r="DJ145" s="73">
        <f>SUM(AV136:AV145,BB136:BB145,BI136:BI145)</f>
        <v>846.83128778759101</v>
      </c>
      <c r="DK145" s="73">
        <f>SUM(AV142:AV145,BB142:BB145,BI142:BI145)</f>
        <v>846.83128778759101</v>
      </c>
      <c r="DL145" s="190"/>
    </row>
    <row r="146" spans="1:120" x14ac:dyDescent="0.25">
      <c r="A146" s="190"/>
      <c r="B146" s="188">
        <v>2010</v>
      </c>
      <c r="C146" s="61" t="s">
        <v>327</v>
      </c>
      <c r="D146" s="169">
        <v>0</v>
      </c>
      <c r="E146" s="169">
        <v>0</v>
      </c>
      <c r="F146" s="169">
        <v>0</v>
      </c>
      <c r="G146" s="169">
        <v>0</v>
      </c>
      <c r="H146" s="169">
        <v>0</v>
      </c>
      <c r="I146" s="169">
        <v>0</v>
      </c>
      <c r="J146" s="169">
        <v>0</v>
      </c>
      <c r="K146" s="169">
        <v>0</v>
      </c>
      <c r="L146" s="169">
        <v>0</v>
      </c>
      <c r="M146" s="169">
        <v>0</v>
      </c>
      <c r="N146" s="172">
        <f>pAIDS_NoCare_2010_2012</f>
        <v>6.9057483924386043E-2</v>
      </c>
      <c r="O146" s="172">
        <f>pAIDS_NoCare_AIDS_InCare_2010_2012</f>
        <v>0.46884042112291341</v>
      </c>
      <c r="P146" s="170">
        <f>pAIDS_NoCare_AIDS_ART1ear_2010_2012</f>
        <v>5.1587356649849515E-2</v>
      </c>
      <c r="Q146" s="169">
        <v>0</v>
      </c>
      <c r="R146" s="169">
        <v>0</v>
      </c>
      <c r="S146" s="169">
        <v>0</v>
      </c>
      <c r="T146" s="170">
        <f>pAIDS_NoCare_AIDS_Dead_2010_2012</f>
        <v>0.41051473830285101</v>
      </c>
      <c r="U146" s="61">
        <f t="shared" si="1213"/>
        <v>0.99999999999999989</v>
      </c>
      <c r="V146" s="190"/>
      <c r="W146" s="66">
        <v>10</v>
      </c>
      <c r="X146" s="66">
        <v>2014</v>
      </c>
      <c r="Y146" s="70">
        <f t="shared" ref="Y146:Y155" si="1334">MMULT($Y145:$AO145,D$202:D$218)</f>
        <v>0.16132420563685768</v>
      </c>
      <c r="Z146" s="70">
        <f t="shared" si="1282"/>
        <v>4.71038184743756E-2</v>
      </c>
      <c r="AA146" s="70">
        <f t="shared" si="1283"/>
        <v>4.5235269776561449E-2</v>
      </c>
      <c r="AB146" s="70">
        <f t="shared" si="1284"/>
        <v>6.4409540029590553E-3</v>
      </c>
      <c r="AC146" s="70">
        <f t="shared" si="1285"/>
        <v>0.13900077623788976</v>
      </c>
      <c r="AD146" s="70">
        <f t="shared" si="1286"/>
        <v>7.6174180760404872E-2</v>
      </c>
      <c r="AE146" s="70">
        <f t="shared" si="1287"/>
        <v>5.6759597073604617E-2</v>
      </c>
      <c r="AF146" s="70">
        <f t="shared" si="1288"/>
        <v>7.5893612305730114E-3</v>
      </c>
      <c r="AG146" s="70">
        <f t="shared" si="1289"/>
        <v>3.7159545159019869E-2</v>
      </c>
      <c r="AH146" s="70">
        <f t="shared" si="1290"/>
        <v>8.6501493740506214E-3</v>
      </c>
      <c r="AI146" s="70">
        <f t="shared" si="1291"/>
        <v>6.0549747625561666E-2</v>
      </c>
      <c r="AJ146" s="70">
        <f t="shared" si="1292"/>
        <v>9.0594426191087832E-2</v>
      </c>
      <c r="AK146" s="70">
        <f t="shared" si="1293"/>
        <v>5.0485938529922988E-2</v>
      </c>
      <c r="AL146" s="70">
        <f t="shared" si="1294"/>
        <v>2.9911611370230826E-2</v>
      </c>
      <c r="AM146" s="70">
        <f t="shared" si="1295"/>
        <v>1.5413424508965083E-3</v>
      </c>
      <c r="AN146" s="70">
        <f t="shared" si="1296"/>
        <v>1.3809606340603651E-2</v>
      </c>
      <c r="AO146" s="70">
        <f t="shared" si="1297"/>
        <v>6.9063584396026889E-2</v>
      </c>
      <c r="AP146" s="190"/>
      <c r="AQ146" s="66">
        <v>10</v>
      </c>
      <c r="AR146" s="66">
        <v>2014</v>
      </c>
      <c r="AS146" s="215">
        <f t="shared" si="1190"/>
        <v>1385.4587309775593</v>
      </c>
      <c r="AT146" s="215">
        <f t="shared" si="1191"/>
        <v>404.52947721067665</v>
      </c>
      <c r="AU146" s="215">
        <f t="shared" si="1192"/>
        <v>388.48230625190081</v>
      </c>
      <c r="AV146" s="215">
        <f t="shared" si="1193"/>
        <v>55.315170615572491</v>
      </c>
      <c r="AW146" s="215">
        <f t="shared" si="1194"/>
        <v>1193.7442263620469</v>
      </c>
      <c r="AX146" s="215">
        <f t="shared" si="1195"/>
        <v>654.1869113375875</v>
      </c>
      <c r="AY146" s="215">
        <f t="shared" si="1196"/>
        <v>487.45369005199944</v>
      </c>
      <c r="AZ146" s="215">
        <f t="shared" si="1197"/>
        <v>65.177737822610254</v>
      </c>
      <c r="BA146" s="215">
        <f t="shared" si="1198"/>
        <v>319.12766020746903</v>
      </c>
      <c r="BB146" s="215">
        <f t="shared" si="1199"/>
        <v>74.2878288303217</v>
      </c>
      <c r="BC146" s="215">
        <f t="shared" si="1200"/>
        <v>520.00365459822865</v>
      </c>
      <c r="BD146" s="215">
        <f t="shared" si="1201"/>
        <v>778.02855590611</v>
      </c>
      <c r="BE146" s="215">
        <f t="shared" si="1202"/>
        <v>433.57525953251985</v>
      </c>
      <c r="BF146" s="215">
        <f t="shared" si="1203"/>
        <v>256.88211491199718</v>
      </c>
      <c r="BG146" s="215">
        <f t="shared" si="1204"/>
        <v>13.23711062199725</v>
      </c>
      <c r="BH146" s="215">
        <f t="shared" si="1205"/>
        <v>118.59745163735779</v>
      </c>
      <c r="BI146" s="215">
        <f t="shared" si="1206"/>
        <v>593.1208253364548</v>
      </c>
      <c r="BJ146" s="194"/>
      <c r="BK146" s="66">
        <v>10</v>
      </c>
      <c r="BL146" s="66">
        <v>2014</v>
      </c>
      <c r="BM146" s="215">
        <f t="shared" si="1298"/>
        <v>231.38443611982507</v>
      </c>
      <c r="BN146" s="219">
        <f t="shared" si="1299"/>
        <v>82.732166789984859</v>
      </c>
      <c r="BO146" s="219">
        <f t="shared" si="1300"/>
        <v>4.711298382058585</v>
      </c>
      <c r="BP146" s="219">
        <f t="shared" si="1301"/>
        <v>0.29975891560052059</v>
      </c>
      <c r="BQ146" s="219">
        <f t="shared" si="1302"/>
        <v>46.352726546685659</v>
      </c>
      <c r="BR146" s="220">
        <f t="shared" si="1303"/>
        <v>9.3771174340924315</v>
      </c>
      <c r="BS146" s="219">
        <f t="shared" si="1304"/>
        <v>53.487175587849435</v>
      </c>
      <c r="BT146" s="219">
        <f t="shared" si="1305"/>
        <v>8.5132073383481472</v>
      </c>
      <c r="BU146" s="219">
        <f t="shared" si="1306"/>
        <v>0.50127882785052602</v>
      </c>
      <c r="BV146" s="219">
        <f t="shared" si="1307"/>
        <v>0.36594590253158416</v>
      </c>
      <c r="BW146" s="219">
        <f t="shared" si="1308"/>
        <v>0</v>
      </c>
      <c r="BX146" s="220">
        <f t="shared" si="1309"/>
        <v>0</v>
      </c>
      <c r="BY146" s="195"/>
      <c r="BZ146" s="192">
        <v>10</v>
      </c>
      <c r="CA146" s="66">
        <v>2014</v>
      </c>
      <c r="CB146" s="218">
        <f t="shared" si="1310"/>
        <v>39.754205292246226</v>
      </c>
      <c r="CC146" s="218">
        <f t="shared" si="1311"/>
        <v>9.4517132182342465</v>
      </c>
      <c r="CD146" s="73">
        <f t="shared" si="1312"/>
        <v>6.1092521050920201</v>
      </c>
      <c r="CE146" s="73">
        <f t="shared" si="1313"/>
        <v>44.445271071126676</v>
      </c>
      <c r="CF146" s="73">
        <f t="shared" si="1314"/>
        <v>21.427831500311104</v>
      </c>
      <c r="CG146" s="73">
        <f t="shared" si="1315"/>
        <v>1.443008204700138</v>
      </c>
      <c r="CH146" s="73">
        <f t="shared" si="1316"/>
        <v>0.10537895211959421</v>
      </c>
      <c r="CI146" s="73">
        <f t="shared" si="1317"/>
        <v>5.7359775628875811</v>
      </c>
      <c r="CJ146" s="73">
        <f t="shared" si="1318"/>
        <v>1.0879055723672841</v>
      </c>
      <c r="CK146" s="73">
        <f t="shared" si="1319"/>
        <v>4.2455966809337199E-2</v>
      </c>
      <c r="CL146" s="73">
        <f t="shared" si="1320"/>
        <v>0</v>
      </c>
      <c r="CM146" s="73">
        <f t="shared" si="1321"/>
        <v>249.08254330856218</v>
      </c>
      <c r="CN146" s="73">
        <f t="shared" si="1322"/>
        <v>283.48644109053123</v>
      </c>
      <c r="CO146" s="73">
        <f t="shared" si="1323"/>
        <v>38.473818707344357</v>
      </c>
      <c r="CP146" s="73">
        <f t="shared" si="1324"/>
        <v>1.1956795808759493</v>
      </c>
      <c r="CQ146" s="73">
        <f t="shared" si="1325"/>
        <v>0</v>
      </c>
      <c r="CR146" s="73">
        <f t="shared" si="1326"/>
        <v>8.696829512964273</v>
      </c>
      <c r="CS146" s="73">
        <f t="shared" si="1327"/>
        <v>0</v>
      </c>
      <c r="CT146" s="73">
        <f t="shared" si="1328"/>
        <v>11.4490730873285</v>
      </c>
      <c r="CU146" s="73">
        <f t="shared" si="1329"/>
        <v>0.7364400488482804</v>
      </c>
      <c r="CV146" s="73">
        <f t="shared" si="1330"/>
        <v>0</v>
      </c>
      <c r="CW146" s="73">
        <f t="shared" si="1331"/>
        <v>0</v>
      </c>
      <c r="CX146" s="73">
        <f t="shared" si="1332"/>
        <v>0</v>
      </c>
      <c r="CY146" s="73">
        <f t="shared" si="1333"/>
        <v>0</v>
      </c>
      <c r="CZ146" s="190"/>
      <c r="DA146" s="66">
        <v>2014</v>
      </c>
      <c r="DB146" s="218">
        <f t="shared" si="1207"/>
        <v>1836.744944454374</v>
      </c>
      <c r="DC146" s="218">
        <f t="shared" si="1208"/>
        <v>7018.4848874300624</v>
      </c>
      <c r="DD146" s="73">
        <f t="shared" si="1209"/>
        <v>1256.325912941124</v>
      </c>
      <c r="DE146" s="73">
        <f t="shared" si="1210"/>
        <v>703.69448506651418</v>
      </c>
      <c r="DF146" s="73">
        <f t="shared" si="1211"/>
        <v>1416.6296621416966</v>
      </c>
      <c r="DG146" s="73">
        <f t="shared" si="1212"/>
        <v>3583.6884600488002</v>
      </c>
      <c r="DH146" s="72">
        <f t="shared" si="1240"/>
        <v>0.25957069878803424</v>
      </c>
      <c r="DI146" s="72">
        <f t="shared" si="1241"/>
        <v>0.33188061645812733</v>
      </c>
      <c r="DJ146" s="73">
        <f>SUM(AV136:AV146,BB136:BB146,BI136:BI146)</f>
        <v>1569.5551125699399</v>
      </c>
      <c r="DK146" s="73">
        <f>SUM(AV142:AV146,BB142:BB146,BI142:BI146)</f>
        <v>1569.5551125699399</v>
      </c>
      <c r="DL146" s="190"/>
    </row>
    <row r="147" spans="1:120" x14ac:dyDescent="0.25">
      <c r="A147" s="190"/>
      <c r="B147" s="188">
        <v>2010</v>
      </c>
      <c r="C147" s="61" t="s">
        <v>328</v>
      </c>
      <c r="D147" s="169">
        <v>0</v>
      </c>
      <c r="E147" s="169">
        <v>0</v>
      </c>
      <c r="F147" s="169">
        <v>0</v>
      </c>
      <c r="G147" s="169">
        <v>0</v>
      </c>
      <c r="H147" s="169">
        <v>0</v>
      </c>
      <c r="I147" s="169">
        <v>0</v>
      </c>
      <c r="J147" s="169">
        <v>0</v>
      </c>
      <c r="K147" s="169">
        <v>0</v>
      </c>
      <c r="L147" s="169">
        <v>0</v>
      </c>
      <c r="M147" s="169">
        <v>0</v>
      </c>
      <c r="N147" s="169">
        <v>0</v>
      </c>
      <c r="O147" s="172">
        <f>pAIDS_InCare_2010</f>
        <v>0.12310001975146179</v>
      </c>
      <c r="P147" s="172">
        <f>pAIDS_InCare_AIDS_ART1ear_2010</f>
        <v>0.43290702569058864</v>
      </c>
      <c r="Q147" s="169">
        <v>0</v>
      </c>
      <c r="R147" s="169">
        <v>0</v>
      </c>
      <c r="S147" s="170">
        <f>pAIDS_InCare_AIDS_LTFU_2004_2012</f>
        <v>5.8805476905872532E-2</v>
      </c>
      <c r="T147" s="170">
        <f>pAIDS_InCare_AIDS_Dead_2004_2012</f>
        <v>0.385187477652077</v>
      </c>
      <c r="U147" s="61">
        <f t="shared" si="1213"/>
        <v>1</v>
      </c>
      <c r="V147" s="190"/>
      <c r="W147" s="66">
        <v>11</v>
      </c>
      <c r="X147" s="66">
        <v>2015</v>
      </c>
      <c r="Y147" s="70">
        <f t="shared" si="1334"/>
        <v>0.10224084239936213</v>
      </c>
      <c r="Z147" s="70">
        <f t="shared" si="1282"/>
        <v>3.2580559631701374E-2</v>
      </c>
      <c r="AA147" s="70">
        <f t="shared" si="1283"/>
        <v>4.3877449826514398E-2</v>
      </c>
      <c r="AB147" s="70">
        <f t="shared" si="1284"/>
        <v>4.5600300961105844E-3</v>
      </c>
      <c r="AC147" s="70">
        <f t="shared" si="1285"/>
        <v>9.8249200376616691E-2</v>
      </c>
      <c r="AD147" s="70">
        <f t="shared" si="1286"/>
        <v>5.594564639296358E-2</v>
      </c>
      <c r="AE147" s="70">
        <f t="shared" si="1287"/>
        <v>7.8683751021691631E-2</v>
      </c>
      <c r="AF147" s="70">
        <f t="shared" si="1288"/>
        <v>1.431376414662134E-2</v>
      </c>
      <c r="AG147" s="70">
        <f t="shared" si="1289"/>
        <v>3.8679570672292926E-2</v>
      </c>
      <c r="AH147" s="70">
        <f t="shared" si="1290"/>
        <v>7.2315968732316049E-3</v>
      </c>
      <c r="AI147" s="70">
        <f t="shared" si="1291"/>
        <v>4.588164609464479E-2</v>
      </c>
      <c r="AJ147" s="70">
        <f t="shared" si="1292"/>
        <v>7.6112426945225728E-2</v>
      </c>
      <c r="AK147" s="70">
        <f t="shared" si="1293"/>
        <v>5.2051084604865697E-2</v>
      </c>
      <c r="AL147" s="70">
        <f t="shared" si="1294"/>
        <v>6.9326340098585723E-2</v>
      </c>
      <c r="AM147" s="70">
        <f t="shared" si="1295"/>
        <v>5.4769104364028025E-3</v>
      </c>
      <c r="AN147" s="70">
        <f t="shared" si="1296"/>
        <v>1.8229495521526532E-2</v>
      </c>
      <c r="AO147" s="70">
        <f t="shared" si="1297"/>
        <v>7.3799111719232813E-2</v>
      </c>
      <c r="AP147" s="190"/>
      <c r="AQ147" s="66">
        <v>11</v>
      </c>
      <c r="AR147" s="66">
        <v>2015</v>
      </c>
      <c r="AS147" s="215">
        <f t="shared" si="1190"/>
        <v>878.04844415941795</v>
      </c>
      <c r="AT147" s="215">
        <f t="shared" si="1191"/>
        <v>279.80314933943669</v>
      </c>
      <c r="AU147" s="215">
        <f t="shared" si="1192"/>
        <v>376.82129420809872</v>
      </c>
      <c r="AV147" s="215">
        <f t="shared" si="1193"/>
        <v>39.161720866601549</v>
      </c>
      <c r="AW147" s="215">
        <f t="shared" si="1194"/>
        <v>843.7680628023993</v>
      </c>
      <c r="AX147" s="215">
        <f t="shared" si="1195"/>
        <v>480.46344904862701</v>
      </c>
      <c r="AY147" s="215">
        <f t="shared" si="1196"/>
        <v>675.7392011243287</v>
      </c>
      <c r="AZ147" s="215">
        <f t="shared" si="1197"/>
        <v>122.92717904174994</v>
      </c>
      <c r="BA147" s="215">
        <f t="shared" si="1198"/>
        <v>332.18170011647857</v>
      </c>
      <c r="BB147" s="215">
        <f t="shared" si="1199"/>
        <v>62.105243211187961</v>
      </c>
      <c r="BC147" s="215">
        <f t="shared" si="1200"/>
        <v>394.03341192665329</v>
      </c>
      <c r="BD147" s="215">
        <f t="shared" si="1201"/>
        <v>653.65656710267638</v>
      </c>
      <c r="BE147" s="215">
        <f t="shared" si="1202"/>
        <v>447.01679662997083</v>
      </c>
      <c r="BF147" s="215">
        <f t="shared" si="1203"/>
        <v>595.37738182025817</v>
      </c>
      <c r="BG147" s="215">
        <f t="shared" si="1204"/>
        <v>47.035925904244728</v>
      </c>
      <c r="BH147" s="215">
        <f t="shared" si="1205"/>
        <v>156.55563671869072</v>
      </c>
      <c r="BI147" s="215">
        <f t="shared" si="1206"/>
        <v>633.7897234092402</v>
      </c>
      <c r="BJ147" s="194"/>
      <c r="BK147" s="66">
        <v>11</v>
      </c>
      <c r="BL147" s="66">
        <v>2015</v>
      </c>
      <c r="BM147" s="215">
        <f t="shared" si="1298"/>
        <v>211.57595450064349</v>
      </c>
      <c r="BN147" s="219">
        <f t="shared" si="1299"/>
        <v>110.65930483406522</v>
      </c>
      <c r="BO147" s="219">
        <f t="shared" si="1300"/>
        <v>8.889392333092097</v>
      </c>
      <c r="BP147" s="219">
        <f t="shared" si="1301"/>
        <v>1.0570484486777949</v>
      </c>
      <c r="BQ147" s="219">
        <f t="shared" si="1302"/>
        <v>52.477437737848376</v>
      </c>
      <c r="BR147" s="220">
        <f t="shared" si="1303"/>
        <v>21.24789442757919</v>
      </c>
      <c r="BS147" s="219">
        <f t="shared" si="1304"/>
        <v>63.381103790109165</v>
      </c>
      <c r="BT147" s="219">
        <f t="shared" si="1305"/>
        <v>14.981774942863737</v>
      </c>
      <c r="BU147" s="219">
        <f t="shared" si="1306"/>
        <v>2.8464524291748958</v>
      </c>
      <c r="BV147" s="219">
        <f t="shared" si="1307"/>
        <v>1.1856097628139688</v>
      </c>
      <c r="BW147" s="219">
        <f t="shared" si="1308"/>
        <v>0.36330665755449837</v>
      </c>
      <c r="BX147" s="220">
        <f t="shared" si="1309"/>
        <v>7.2056970746889798E-2</v>
      </c>
      <c r="BY147" s="195"/>
      <c r="BZ147" s="192">
        <v>11</v>
      </c>
      <c r="CA147" s="66">
        <v>2015</v>
      </c>
      <c r="CB147" s="218">
        <f t="shared" si="1310"/>
        <v>25.194628555281223</v>
      </c>
      <c r="CC147" s="218">
        <f t="shared" si="1311"/>
        <v>6.9025243184436187</v>
      </c>
      <c r="CD147" s="73">
        <f t="shared" si="1312"/>
        <v>7.0645679928767064</v>
      </c>
      <c r="CE147" s="73">
        <f t="shared" si="1313"/>
        <v>33.291780456807118</v>
      </c>
      <c r="CF147" s="73">
        <f t="shared" si="1314"/>
        <v>17.118708419802445</v>
      </c>
      <c r="CG147" s="73">
        <f t="shared" si="1315"/>
        <v>2.4651358087848432</v>
      </c>
      <c r="CH147" s="73">
        <f t="shared" si="1316"/>
        <v>0.32961485105378319</v>
      </c>
      <c r="CI147" s="73">
        <f t="shared" si="1317"/>
        <v>6.4529734915652259</v>
      </c>
      <c r="CJ147" s="73">
        <f t="shared" si="1318"/>
        <v>2.307279124508856</v>
      </c>
      <c r="CK147" s="73">
        <f t="shared" si="1319"/>
        <v>0.13139122094856123</v>
      </c>
      <c r="CL147" s="73">
        <f t="shared" si="1320"/>
        <v>8.3598377171262249E-3</v>
      </c>
      <c r="CM147" s="73">
        <f t="shared" si="1321"/>
        <v>213.46916418391797</v>
      </c>
      <c r="CN147" s="73">
        <f t="shared" si="1322"/>
        <v>299.68685699076246</v>
      </c>
      <c r="CO147" s="73">
        <f t="shared" si="1323"/>
        <v>64.084553712736707</v>
      </c>
      <c r="CP147" s="73">
        <f t="shared" si="1324"/>
        <v>6.6160493432169503</v>
      </c>
      <c r="CQ147" s="73">
        <f t="shared" si="1325"/>
        <v>1.2470973563110965</v>
      </c>
      <c r="CR147" s="73">
        <f t="shared" si="1326"/>
        <v>19.028477407936279</v>
      </c>
      <c r="CS147" s="73">
        <f t="shared" si="1327"/>
        <v>3.8494449094915564</v>
      </c>
      <c r="CT147" s="73">
        <f t="shared" si="1328"/>
        <v>21.957273889004654</v>
      </c>
      <c r="CU147" s="73">
        <f t="shared" si="1329"/>
        <v>3.4947970826199004</v>
      </c>
      <c r="CV147" s="73">
        <f t="shared" si="1330"/>
        <v>0.20578234683181859</v>
      </c>
      <c r="CW147" s="73">
        <f t="shared" si="1331"/>
        <v>0.15022618641075389</v>
      </c>
      <c r="CX147" s="73">
        <f t="shared" si="1332"/>
        <v>0</v>
      </c>
      <c r="CY147" s="73">
        <f t="shared" si="1333"/>
        <v>0</v>
      </c>
      <c r="CZ147" s="190"/>
      <c r="DA147" s="66">
        <v>2015</v>
      </c>
      <c r="DB147" s="218">
        <f t="shared" si="1207"/>
        <v>1413.9231654907401</v>
      </c>
      <c r="DC147" s="218">
        <f t="shared" si="1208"/>
        <v>6283.4281999430304</v>
      </c>
      <c r="DD147" s="73">
        <f t="shared" si="1209"/>
        <v>1888.0964845205522</v>
      </c>
      <c r="DE147" s="73">
        <f t="shared" si="1210"/>
        <v>1089.4301043544738</v>
      </c>
      <c r="DF147" s="73">
        <f t="shared" si="1211"/>
        <v>1204.2456157480203</v>
      </c>
      <c r="DG147" s="73">
        <f t="shared" si="1212"/>
        <v>2860.6588277155251</v>
      </c>
      <c r="DH147" s="72">
        <f t="shared" si="1240"/>
        <v>0.39759818318191931</v>
      </c>
      <c r="DI147" s="72">
        <f t="shared" si="1241"/>
        <v>0.47497128508898029</v>
      </c>
      <c r="DJ147" s="73">
        <f>SUM(AV136:AV147,BB136:BB147,BI136:BI147)</f>
        <v>2304.6118000569695</v>
      </c>
      <c r="DK147" s="73">
        <f>SUM(AV142:AV147,BB142:BB147,BI142:BI147)</f>
        <v>2304.6118000569695</v>
      </c>
      <c r="DL147" s="190"/>
    </row>
    <row r="148" spans="1:120" x14ac:dyDescent="0.25">
      <c r="A148" s="190"/>
      <c r="B148" s="188">
        <v>2010</v>
      </c>
      <c r="C148" s="61" t="s">
        <v>329</v>
      </c>
      <c r="D148" s="169">
        <v>0</v>
      </c>
      <c r="E148" s="169">
        <v>0</v>
      </c>
      <c r="F148" s="169">
        <v>0</v>
      </c>
      <c r="G148" s="169">
        <v>0</v>
      </c>
      <c r="H148" s="169">
        <v>0</v>
      </c>
      <c r="I148" s="169">
        <v>0</v>
      </c>
      <c r="J148" s="169">
        <v>0</v>
      </c>
      <c r="K148" s="169">
        <v>0</v>
      </c>
      <c r="L148" s="169">
        <v>0</v>
      </c>
      <c r="M148" s="169">
        <v>0</v>
      </c>
      <c r="N148" s="169">
        <v>0</v>
      </c>
      <c r="O148" s="169">
        <v>0</v>
      </c>
      <c r="P148" s="169">
        <v>0</v>
      </c>
      <c r="Q148" s="172">
        <f>pAIDS_ART1ear_AIDS_ART1late_2004_2012</f>
        <v>0.82048978572958342</v>
      </c>
      <c r="R148" s="169">
        <v>0</v>
      </c>
      <c r="S148" s="170">
        <f>pAIDS_ART1ear_AIDS_LTFU_2004_2012</f>
        <v>3.1705300812410298E-2</v>
      </c>
      <c r="T148" s="170">
        <f>pAIDS_ART1ear_AIDS_Dead_2004_2012</f>
        <v>0.14780491345800628</v>
      </c>
      <c r="U148" s="61">
        <f t="shared" si="1213"/>
        <v>1</v>
      </c>
      <c r="V148" s="190"/>
      <c r="W148" s="66">
        <v>12</v>
      </c>
      <c r="X148" s="66">
        <v>2016</v>
      </c>
      <c r="Y148" s="70">
        <f t="shared" si="1334"/>
        <v>6.4796165047057069E-2</v>
      </c>
      <c r="Z148" s="70">
        <f t="shared" si="1282"/>
        <v>2.1843525905788905E-2</v>
      </c>
      <c r="AA148" s="70">
        <f t="shared" si="1283"/>
        <v>3.8538500027702011E-2</v>
      </c>
      <c r="AB148" s="70">
        <f t="shared" si="1284"/>
        <v>3.2130927710022853E-3</v>
      </c>
      <c r="AC148" s="70">
        <f t="shared" si="1285"/>
        <v>6.708755215141908E-2</v>
      </c>
      <c r="AD148" s="70">
        <f t="shared" si="1286"/>
        <v>3.9104686877750108E-2</v>
      </c>
      <c r="AE148" s="70">
        <f t="shared" si="1287"/>
        <v>9.6908713206105154E-2</v>
      </c>
      <c r="AF148" s="70">
        <f t="shared" si="1288"/>
        <v>2.1358327752981344E-2</v>
      </c>
      <c r="AG148" s="70">
        <f t="shared" si="1289"/>
        <v>3.573414655183127E-2</v>
      </c>
      <c r="AH148" s="70">
        <f t="shared" si="1290"/>
        <v>5.7530283195878947E-3</v>
      </c>
      <c r="AI148" s="70">
        <f t="shared" si="1291"/>
        <v>3.2643231150590313E-2</v>
      </c>
      <c r="AJ148" s="70">
        <f t="shared" si="1292"/>
        <v>5.7361820503332731E-2</v>
      </c>
      <c r="AK148" s="70">
        <f t="shared" si="1293"/>
        <v>4.4162155736806041E-2</v>
      </c>
      <c r="AL148" s="70">
        <f t="shared" si="1294"/>
        <v>0.10737868337860562</v>
      </c>
      <c r="AM148" s="70">
        <f t="shared" si="1295"/>
        <v>1.1166275395504594E-2</v>
      </c>
      <c r="AN148" s="70">
        <f t="shared" si="1296"/>
        <v>1.8967749751596541E-2</v>
      </c>
      <c r="AO148" s="70">
        <f t="shared" si="1297"/>
        <v>6.5631033641354378E-2</v>
      </c>
      <c r="AP148" s="190"/>
      <c r="AQ148" s="66">
        <v>12</v>
      </c>
      <c r="AR148" s="66">
        <v>2016</v>
      </c>
      <c r="AS148" s="215">
        <f t="shared" si="1190"/>
        <v>556.4720572707281</v>
      </c>
      <c r="AT148" s="215">
        <f t="shared" si="1191"/>
        <v>187.59307421995138</v>
      </c>
      <c r="AU148" s="215">
        <f t="shared" si="1192"/>
        <v>330.97017977790603</v>
      </c>
      <c r="AV148" s="215">
        <f t="shared" si="1193"/>
        <v>27.594169241078468</v>
      </c>
      <c r="AW148" s="215">
        <f t="shared" si="1194"/>
        <v>576.15058137847313</v>
      </c>
      <c r="AX148" s="215">
        <f t="shared" si="1195"/>
        <v>335.83261509359306</v>
      </c>
      <c r="AY148" s="215">
        <f t="shared" si="1196"/>
        <v>832.25590536255936</v>
      </c>
      <c r="AZ148" s="215">
        <f t="shared" si="1197"/>
        <v>183.4261730757139</v>
      </c>
      <c r="BA148" s="215">
        <f t="shared" si="1198"/>
        <v>306.88627995298907</v>
      </c>
      <c r="BB148" s="215">
        <f t="shared" si="1199"/>
        <v>49.407237329753627</v>
      </c>
      <c r="BC148" s="215">
        <f t="shared" si="1200"/>
        <v>280.34137485051565</v>
      </c>
      <c r="BD148" s="215">
        <f t="shared" si="1201"/>
        <v>492.62560895544169</v>
      </c>
      <c r="BE148" s="215">
        <f t="shared" si="1202"/>
        <v>379.26635995391979</v>
      </c>
      <c r="BF148" s="215">
        <f t="shared" si="1203"/>
        <v>922.1724280028003</v>
      </c>
      <c r="BG148" s="215">
        <f t="shared" si="1204"/>
        <v>95.896419747609286</v>
      </c>
      <c r="BH148" s="215">
        <f t="shared" si="1205"/>
        <v>162.89579357670118</v>
      </c>
      <c r="BI148" s="215">
        <f t="shared" si="1206"/>
        <v>563.64194215329712</v>
      </c>
      <c r="BJ148" s="194"/>
      <c r="BK148" s="66">
        <v>12</v>
      </c>
      <c r="BL148" s="66">
        <v>2016</v>
      </c>
      <c r="BM148" s="215">
        <f t="shared" si="1298"/>
        <v>171.98003337414139</v>
      </c>
      <c r="BN148" s="219">
        <f t="shared" si="1299"/>
        <v>119.45406692780395</v>
      </c>
      <c r="BO148" s="219">
        <f t="shared" si="1300"/>
        <v>13.262649516553754</v>
      </c>
      <c r="BP148" s="219">
        <f t="shared" si="1301"/>
        <v>2.1895301344899436</v>
      </c>
      <c r="BQ148" s="219">
        <f t="shared" si="1302"/>
        <v>46.05228894851993</v>
      </c>
      <c r="BR148" s="220">
        <f t="shared" si="1303"/>
        <v>29.683380612978709</v>
      </c>
      <c r="BS148" s="219">
        <f t="shared" si="1304"/>
        <v>60.054943173270004</v>
      </c>
      <c r="BT148" s="219">
        <f t="shared" si="1305"/>
        <v>16.346436743626438</v>
      </c>
      <c r="BU148" s="219">
        <f t="shared" si="1306"/>
        <v>6.8416574114267474</v>
      </c>
      <c r="BV148" s="219">
        <f t="shared" si="1307"/>
        <v>2.3088739920085377</v>
      </c>
      <c r="BW148" s="219">
        <f t="shared" si="1308"/>
        <v>1.3436617308766126</v>
      </c>
      <c r="BX148" s="220">
        <f t="shared" si="1309"/>
        <v>0.2645509639942053</v>
      </c>
      <c r="BY148" s="195"/>
      <c r="BZ148" s="192">
        <v>12</v>
      </c>
      <c r="CA148" s="66">
        <v>2016</v>
      </c>
      <c r="CB148" s="218">
        <f t="shared" si="1310"/>
        <v>15.967349953852533</v>
      </c>
      <c r="CC148" s="218">
        <f t="shared" si="1311"/>
        <v>4.7743073162669383</v>
      </c>
      <c r="CD148" s="73">
        <f t="shared" si="1312"/>
        <v>6.8525119709590001</v>
      </c>
      <c r="CE148" s="73">
        <f t="shared" si="1313"/>
        <v>23.531457143788042</v>
      </c>
      <c r="CF148" s="73">
        <f t="shared" si="1314"/>
        <v>12.572727378202861</v>
      </c>
      <c r="CG148" s="73">
        <f t="shared" si="1315"/>
        <v>3.4173275043082487</v>
      </c>
      <c r="CH148" s="73">
        <f t="shared" si="1316"/>
        <v>0.6216635489955924</v>
      </c>
      <c r="CI148" s="73">
        <f t="shared" si="1317"/>
        <v>5.900543911856845</v>
      </c>
      <c r="CJ148" s="73">
        <f t="shared" si="1318"/>
        <v>3.0861261572470817</v>
      </c>
      <c r="CK148" s="73">
        <f t="shared" si="1319"/>
        <v>0.24791215020123641</v>
      </c>
      <c r="CL148" s="73">
        <f t="shared" si="1320"/>
        <v>2.9479535153719538E-2</v>
      </c>
      <c r="CM148" s="73">
        <f t="shared" si="1321"/>
        <v>161.75652297964956</v>
      </c>
      <c r="CN148" s="73">
        <f t="shared" si="1322"/>
        <v>251.78032433299552</v>
      </c>
      <c r="CO148" s="73">
        <f t="shared" si="1323"/>
        <v>66.071278940168028</v>
      </c>
      <c r="CP148" s="73">
        <f t="shared" si="1324"/>
        <v>15.334061451913797</v>
      </c>
      <c r="CQ148" s="73">
        <f t="shared" si="1325"/>
        <v>4.4313582111605632</v>
      </c>
      <c r="CR148" s="73">
        <f t="shared" si="1326"/>
        <v>21.542761619756984</v>
      </c>
      <c r="CS148" s="73">
        <f t="shared" si="1327"/>
        <v>8.7225738204242784</v>
      </c>
      <c r="CT148" s="73">
        <f t="shared" si="1328"/>
        <v>26.018877235742501</v>
      </c>
      <c r="CU148" s="73">
        <f t="shared" si="1329"/>
        <v>6.1502394199819177</v>
      </c>
      <c r="CV148" s="73">
        <f t="shared" si="1330"/>
        <v>1.168510674054247</v>
      </c>
      <c r="CW148" s="73">
        <f t="shared" si="1331"/>
        <v>0.48671028151088164</v>
      </c>
      <c r="CX148" s="73">
        <f t="shared" si="1332"/>
        <v>0.14914273744966841</v>
      </c>
      <c r="CY148" s="73">
        <f t="shared" si="1333"/>
        <v>2.9580448489055656E-2</v>
      </c>
      <c r="CZ148" s="190"/>
      <c r="DA148" s="66">
        <v>2016</v>
      </c>
      <c r="DB148" s="218">
        <f t="shared" si="1207"/>
        <v>1016.0512982689861</v>
      </c>
      <c r="DC148" s="218">
        <f t="shared" si="1208"/>
        <v>5642.7848512189021</v>
      </c>
      <c r="DD148" s="73">
        <f t="shared" si="1209"/>
        <v>2413.0172861426026</v>
      </c>
      <c r="DE148" s="73">
        <f t="shared" si="1210"/>
        <v>1397.3352077043294</v>
      </c>
      <c r="DF148" s="73">
        <f t="shared" si="1211"/>
        <v>935.86277738265858</v>
      </c>
      <c r="DG148" s="73">
        <f t="shared" si="1212"/>
        <v>2154.7322538077142</v>
      </c>
      <c r="DH148" s="72">
        <f t="shared" si="1240"/>
        <v>0.52827267892819907</v>
      </c>
      <c r="DI148" s="72">
        <f t="shared" si="1241"/>
        <v>0.5988926857624699</v>
      </c>
      <c r="DJ148" s="73">
        <f>SUM(AV136:AV148,BB136:BB148,BI136:BI148)</f>
        <v>2945.2551487810988</v>
      </c>
      <c r="DK148" s="73">
        <f>SUM(AV142:AV148,BB142:BB148,BI142:BI148)</f>
        <v>2945.2551487810988</v>
      </c>
      <c r="DL148" s="190"/>
    </row>
    <row r="149" spans="1:120" x14ac:dyDescent="0.25">
      <c r="A149" s="190"/>
      <c r="B149" s="188">
        <v>2010</v>
      </c>
      <c r="C149" s="61" t="s">
        <v>330</v>
      </c>
      <c r="D149" s="169">
        <v>0</v>
      </c>
      <c r="E149" s="169">
        <v>0</v>
      </c>
      <c r="F149" s="169">
        <v>0</v>
      </c>
      <c r="G149" s="169">
        <v>0</v>
      </c>
      <c r="H149" s="169">
        <v>0</v>
      </c>
      <c r="I149" s="169">
        <v>0</v>
      </c>
      <c r="J149" s="169">
        <v>0</v>
      </c>
      <c r="K149" s="169">
        <v>0</v>
      </c>
      <c r="L149" s="169">
        <v>0</v>
      </c>
      <c r="M149" s="169">
        <v>0</v>
      </c>
      <c r="N149" s="169">
        <v>0</v>
      </c>
      <c r="O149" s="169">
        <v>0</v>
      </c>
      <c r="P149" s="169">
        <v>0</v>
      </c>
      <c r="Q149" s="172">
        <f>pAIDS_ART1late_2004_2012</f>
        <v>0.93285322767942069</v>
      </c>
      <c r="R149" s="170">
        <f>pAIDS_ART1late_AIDS_ART2_2004_2012</f>
        <v>3.0593921587134254E-2</v>
      </c>
      <c r="S149" s="170">
        <f>pAIDS_ART1late_AIDS_LTFU_2004_2012</f>
        <v>1.0797654247759469E-2</v>
      </c>
      <c r="T149" s="170">
        <f>pAIDS_ART1late_AIDS_Dead_2004_2012</f>
        <v>2.5755196485685583E-2</v>
      </c>
      <c r="U149" s="61">
        <f t="shared" si="1213"/>
        <v>1</v>
      </c>
      <c r="V149" s="190"/>
      <c r="W149" s="66">
        <v>13</v>
      </c>
      <c r="X149" s="66">
        <v>2017</v>
      </c>
      <c r="Y149" s="70">
        <f t="shared" si="1334"/>
        <v>4.1065223117054975E-2</v>
      </c>
      <c r="Z149" s="70">
        <f t="shared" si="1282"/>
        <v>1.4367251330038267E-2</v>
      </c>
      <c r="AA149" s="70">
        <f t="shared" si="1283"/>
        <v>3.1771361808522275E-2</v>
      </c>
      <c r="AB149" s="70">
        <f t="shared" si="1284"/>
        <v>2.2518636000584537E-3</v>
      </c>
      <c r="AC149" s="70">
        <f t="shared" si="1285"/>
        <v>4.4806027409578501E-2</v>
      </c>
      <c r="AD149" s="70">
        <f t="shared" si="1286"/>
        <v>2.6497177148528745E-2</v>
      </c>
      <c r="AE149" s="70">
        <f t="shared" si="1287"/>
        <v>0.11087314249807359</v>
      </c>
      <c r="AF149" s="70">
        <f t="shared" si="1288"/>
        <v>2.7918066183536934E-2</v>
      </c>
      <c r="AG149" s="70">
        <f t="shared" si="1289"/>
        <v>3.0782940845336247E-2</v>
      </c>
      <c r="AH149" s="70">
        <f t="shared" si="1290"/>
        <v>4.4889314057581838E-3</v>
      </c>
      <c r="AI149" s="70">
        <f t="shared" si="1291"/>
        <v>2.2380525055847634E-2</v>
      </c>
      <c r="AJ149" s="70">
        <f t="shared" si="1292"/>
        <v>4.0718872740305043E-2</v>
      </c>
      <c r="AK149" s="70">
        <f t="shared" si="1293"/>
        <v>3.4019689964297564E-2</v>
      </c>
      <c r="AL149" s="70">
        <f t="shared" si="1294"/>
        <v>0.1364031490715473</v>
      </c>
      <c r="AM149" s="70">
        <f t="shared" si="1295"/>
        <v>1.7499148905059603E-2</v>
      </c>
      <c r="AN149" s="70">
        <f t="shared" si="1296"/>
        <v>1.7581096979051532E-2</v>
      </c>
      <c r="AO149" s="70">
        <f t="shared" si="1297"/>
        <v>5.3627065374475952E-2</v>
      </c>
      <c r="AP149" s="190"/>
      <c r="AQ149" s="66">
        <v>13</v>
      </c>
      <c r="AR149" s="66">
        <v>2017</v>
      </c>
      <c r="AS149" s="215">
        <f t="shared" si="1190"/>
        <v>352.66977873819286</v>
      </c>
      <c r="AT149" s="215">
        <f t="shared" si="1191"/>
        <v>123.38652911242185</v>
      </c>
      <c r="AU149" s="215">
        <f t="shared" si="1192"/>
        <v>272.85372606606165</v>
      </c>
      <c r="AV149" s="215">
        <f t="shared" si="1193"/>
        <v>19.339094671846006</v>
      </c>
      <c r="AW149" s="215">
        <f t="shared" si="1194"/>
        <v>384.79595563455661</v>
      </c>
      <c r="AX149" s="215">
        <f t="shared" si="1195"/>
        <v>227.55881723865082</v>
      </c>
      <c r="AY149" s="215">
        <f t="shared" si="1196"/>
        <v>952.18298269915601</v>
      </c>
      <c r="AZ149" s="215">
        <f t="shared" si="1197"/>
        <v>239.76146910686256</v>
      </c>
      <c r="BA149" s="215">
        <f t="shared" si="1198"/>
        <v>264.36512729738155</v>
      </c>
      <c r="BB149" s="215">
        <f t="shared" si="1199"/>
        <v>38.551122469907519</v>
      </c>
      <c r="BC149" s="215">
        <f t="shared" si="1200"/>
        <v>192.20484440062174</v>
      </c>
      <c r="BD149" s="215">
        <f t="shared" si="1201"/>
        <v>349.69530784864935</v>
      </c>
      <c r="BE149" s="215">
        <f t="shared" si="1202"/>
        <v>292.16245820098607</v>
      </c>
      <c r="BF149" s="215">
        <f t="shared" si="1203"/>
        <v>1171.4357003524112</v>
      </c>
      <c r="BG149" s="215">
        <f t="shared" si="1204"/>
        <v>150.28339076260809</v>
      </c>
      <c r="BH149" s="215">
        <f t="shared" si="1205"/>
        <v>150.98716409997374</v>
      </c>
      <c r="BI149" s="215">
        <f t="shared" si="1206"/>
        <v>460.5513825186145</v>
      </c>
      <c r="BJ149" s="194"/>
      <c r="BK149" s="66">
        <v>13</v>
      </c>
      <c r="BL149" s="66">
        <v>2017</v>
      </c>
      <c r="BM149" s="215">
        <f t="shared" si="1298"/>
        <v>129.80949331405327</v>
      </c>
      <c r="BN149" s="219">
        <f t="shared" si="1299"/>
        <v>113.78792689731958</v>
      </c>
      <c r="BO149" s="219">
        <f t="shared" si="1300"/>
        <v>17.256654301079585</v>
      </c>
      <c r="BP149" s="219">
        <f t="shared" si="1301"/>
        <v>3.5110527849291051</v>
      </c>
      <c r="BQ149" s="219">
        <f t="shared" si="1302"/>
        <v>35.650592264519354</v>
      </c>
      <c r="BR149" s="220">
        <f t="shared" si="1303"/>
        <v>33.021357314836031</v>
      </c>
      <c r="BS149" s="219">
        <f t="shared" si="1304"/>
        <v>50.054176898789258</v>
      </c>
      <c r="BT149" s="219">
        <f t="shared" si="1305"/>
        <v>14.396381083131843</v>
      </c>
      <c r="BU149" s="219">
        <f t="shared" si="1306"/>
        <v>10.949922690370189</v>
      </c>
      <c r="BV149" s="219">
        <f t="shared" si="1307"/>
        <v>3.5231000986735244</v>
      </c>
      <c r="BW149" s="219">
        <f t="shared" si="1308"/>
        <v>2.826925311022594</v>
      </c>
      <c r="BX149" s="220">
        <f t="shared" si="1309"/>
        <v>0.56470843863092279</v>
      </c>
      <c r="BY149" s="195"/>
      <c r="BZ149" s="192">
        <v>13</v>
      </c>
      <c r="CA149" s="66">
        <v>2017</v>
      </c>
      <c r="CB149" s="218">
        <f t="shared" si="1310"/>
        <v>10.11946907609207</v>
      </c>
      <c r="CC149" s="218">
        <f t="shared" si="1311"/>
        <v>3.2009181770960398</v>
      </c>
      <c r="CD149" s="73">
        <f t="shared" si="1312"/>
        <v>6.0187074186578959</v>
      </c>
      <c r="CE149" s="73">
        <f t="shared" si="1313"/>
        <v>16.067997014543501</v>
      </c>
      <c r="CF149" s="73">
        <f t="shared" si="1314"/>
        <v>8.7880398033219489</v>
      </c>
      <c r="CG149" s="73">
        <f t="shared" si="1315"/>
        <v>4.2088589670190748</v>
      </c>
      <c r="CH149" s="73">
        <f t="shared" si="1316"/>
        <v>0.92761720086491295</v>
      </c>
      <c r="CI149" s="73">
        <f t="shared" si="1317"/>
        <v>4.7962715861628817</v>
      </c>
      <c r="CJ149" s="73">
        <f t="shared" si="1318"/>
        <v>3.3313992084825972</v>
      </c>
      <c r="CK149" s="73">
        <f t="shared" si="1319"/>
        <v>0.36987589655304792</v>
      </c>
      <c r="CL149" s="73">
        <f t="shared" si="1320"/>
        <v>6.1062792959548917E-2</v>
      </c>
      <c r="CM149" s="73">
        <f t="shared" si="1321"/>
        <v>115.08426613222089</v>
      </c>
      <c r="CN149" s="73">
        <f t="shared" si="1322"/>
        <v>189.75321574036502</v>
      </c>
      <c r="CO149" s="73">
        <f t="shared" si="1323"/>
        <v>56.057431510522171</v>
      </c>
      <c r="CP149" s="73">
        <f t="shared" si="1324"/>
        <v>23.750732076893865</v>
      </c>
      <c r="CQ149" s="73">
        <f t="shared" si="1325"/>
        <v>9.0346129878378534</v>
      </c>
      <c r="CR149" s="73">
        <f t="shared" si="1326"/>
        <v>18.905143345948936</v>
      </c>
      <c r="CS149" s="73">
        <f t="shared" si="1327"/>
        <v>12.185465224280875</v>
      </c>
      <c r="CT149" s="73">
        <f t="shared" si="1328"/>
        <v>24.653439280567525</v>
      </c>
      <c r="CU149" s="73">
        <f t="shared" si="1329"/>
        <v>6.7104532019939152</v>
      </c>
      <c r="CV149" s="73">
        <f t="shared" si="1330"/>
        <v>2.8086012018096125</v>
      </c>
      <c r="CW149" s="73">
        <f t="shared" si="1331"/>
        <v>0.94782680260364383</v>
      </c>
      <c r="CX149" s="73">
        <f t="shared" si="1332"/>
        <v>0.55159294381836843</v>
      </c>
      <c r="CY149" s="73">
        <f t="shared" si="1333"/>
        <v>0.10860206975184815</v>
      </c>
      <c r="CZ149" s="190"/>
      <c r="DA149" s="66">
        <v>2017</v>
      </c>
      <c r="DB149" s="218">
        <f t="shared" si="1207"/>
        <v>700.64065419972201</v>
      </c>
      <c r="DC149" s="218">
        <f t="shared" si="1208"/>
        <v>5124.3432515585337</v>
      </c>
      <c r="DD149" s="73">
        <f t="shared" si="1209"/>
        <v>2805.8260011220241</v>
      </c>
      <c r="DE149" s="73">
        <f t="shared" si="1210"/>
        <v>1613.8815493160055</v>
      </c>
      <c r="DF149" s="73">
        <f t="shared" si="1211"/>
        <v>692.88731634924477</v>
      </c>
      <c r="DG149" s="73">
        <f t="shared" si="1212"/>
        <v>1569.6072165198339</v>
      </c>
      <c r="DH149" s="72">
        <f t="shared" si="1240"/>
        <v>0.64126815827261685</v>
      </c>
      <c r="DI149" s="72">
        <f t="shared" si="1241"/>
        <v>0.6996286335131271</v>
      </c>
      <c r="DJ149" s="73">
        <f>SUM(AV136:AV149,BB136:BB149,BI136:BI149)</f>
        <v>3463.6967484414672</v>
      </c>
      <c r="DK149" s="73">
        <f>SUM(AV142:AV149,BB142:BB149,BI142:BI149)</f>
        <v>3463.6967484414672</v>
      </c>
      <c r="DL149" s="190"/>
    </row>
    <row r="150" spans="1:120" x14ac:dyDescent="0.25">
      <c r="A150" s="190"/>
      <c r="B150" s="188">
        <v>2010</v>
      </c>
      <c r="C150" s="61" t="s">
        <v>331</v>
      </c>
      <c r="D150" s="169">
        <v>0</v>
      </c>
      <c r="E150" s="169">
        <v>0</v>
      </c>
      <c r="F150" s="169">
        <v>0</v>
      </c>
      <c r="G150" s="169">
        <v>0</v>
      </c>
      <c r="H150" s="169">
        <v>0</v>
      </c>
      <c r="I150" s="169">
        <v>0</v>
      </c>
      <c r="J150" s="169">
        <v>0</v>
      </c>
      <c r="K150" s="169">
        <v>0</v>
      </c>
      <c r="L150" s="169">
        <v>0</v>
      </c>
      <c r="M150" s="169">
        <v>0</v>
      </c>
      <c r="N150" s="169">
        <v>0</v>
      </c>
      <c r="O150" s="169">
        <v>0</v>
      </c>
      <c r="P150" s="169">
        <v>0</v>
      </c>
      <c r="Q150" s="169">
        <v>0</v>
      </c>
      <c r="R150" s="172">
        <f>pAIDS_ART2_2004_2012</f>
        <v>0.87834172729587623</v>
      </c>
      <c r="S150" s="170">
        <f>pAIDS_ART2_AIDS_LTFU_2004_2012</f>
        <v>2.7446069457994882E-2</v>
      </c>
      <c r="T150" s="171">
        <f>pAIDS_ART2_AIDS_Dead_2004_2012</f>
        <v>9.4212203246128889E-2</v>
      </c>
      <c r="U150" s="61">
        <f t="shared" si="1213"/>
        <v>1</v>
      </c>
      <c r="V150" s="190"/>
      <c r="W150" s="66">
        <v>14</v>
      </c>
      <c r="X150" s="66">
        <v>2018</v>
      </c>
      <c r="Y150" s="70">
        <f t="shared" si="1334"/>
        <v>2.6025499324363141E-2</v>
      </c>
      <c r="Z150" s="70">
        <f t="shared" si="1282"/>
        <v>9.3348436493219857E-3</v>
      </c>
      <c r="AA150" s="70">
        <f t="shared" si="1283"/>
        <v>2.5075551257826709E-2</v>
      </c>
      <c r="AB150" s="70">
        <f t="shared" si="1284"/>
        <v>1.5696862854475498E-3</v>
      </c>
      <c r="AC150" s="70">
        <f t="shared" si="1285"/>
        <v>2.9482688499825917E-2</v>
      </c>
      <c r="AD150" s="70">
        <f t="shared" si="1286"/>
        <v>1.7592969099059799E-2</v>
      </c>
      <c r="AE150" s="70">
        <f t="shared" si="1287"/>
        <v>0.12085284815233331</v>
      </c>
      <c r="AF150" s="70">
        <f t="shared" si="1288"/>
        <v>3.3621107184826873E-2</v>
      </c>
      <c r="AG150" s="70">
        <f t="shared" si="1289"/>
        <v>2.5451256003643848E-2</v>
      </c>
      <c r="AH150" s="70">
        <f t="shared" si="1290"/>
        <v>3.5033323140700183E-3</v>
      </c>
      <c r="AI150" s="70">
        <f t="shared" si="1291"/>
        <v>1.4987350972137069E-2</v>
      </c>
      <c r="AJ150" s="70">
        <f t="shared" si="1292"/>
        <v>2.7877042345714864E-2</v>
      </c>
      <c r="AK150" s="70">
        <f t="shared" si="1293"/>
        <v>2.486923765102184E-2</v>
      </c>
      <c r="AL150" s="70">
        <f t="shared" si="1294"/>
        <v>0.15515692600642345</v>
      </c>
      <c r="AM150" s="70">
        <f t="shared" si="1295"/>
        <v>2.3627428750644566E-2</v>
      </c>
      <c r="AN150" s="70">
        <f t="shared" si="1296"/>
        <v>1.5376670254706268E-2</v>
      </c>
      <c r="AO150" s="70">
        <f t="shared" si="1297"/>
        <v>4.2279235305411E-2</v>
      </c>
      <c r="AP150" s="190"/>
      <c r="AQ150" s="66">
        <v>14</v>
      </c>
      <c r="AR150" s="66">
        <v>2018</v>
      </c>
      <c r="AS150" s="215">
        <f t="shared" si="1190"/>
        <v>223.50802921760365</v>
      </c>
      <c r="AT150" s="215">
        <f t="shared" si="1191"/>
        <v>80.168010654123194</v>
      </c>
      <c r="AU150" s="215">
        <f t="shared" si="1192"/>
        <v>215.34983722426611</v>
      </c>
      <c r="AV150" s="215">
        <f t="shared" si="1193"/>
        <v>13.480528606874977</v>
      </c>
      <c r="AW150" s="215">
        <f t="shared" si="1194"/>
        <v>253.19850814404498</v>
      </c>
      <c r="AX150" s="215">
        <f t="shared" si="1195"/>
        <v>151.08912234148951</v>
      </c>
      <c r="AY150" s="215">
        <f t="shared" si="1196"/>
        <v>1037.8890940461647</v>
      </c>
      <c r="AZ150" s="215">
        <f t="shared" si="1197"/>
        <v>288.73941334758064</v>
      </c>
      <c r="BA150" s="215">
        <f t="shared" si="1198"/>
        <v>218.57640460953354</v>
      </c>
      <c r="BB150" s="215">
        <f t="shared" si="1199"/>
        <v>30.086758046525883</v>
      </c>
      <c r="BC150" s="215">
        <f t="shared" si="1200"/>
        <v>128.71196964275205</v>
      </c>
      <c r="BD150" s="215">
        <f t="shared" si="1201"/>
        <v>239.4091547466931</v>
      </c>
      <c r="BE150" s="215">
        <f t="shared" si="1202"/>
        <v>213.57800771648161</v>
      </c>
      <c r="BF150" s="215">
        <f t="shared" si="1203"/>
        <v>1332.493886820205</v>
      </c>
      <c r="BG150" s="215">
        <f t="shared" si="1204"/>
        <v>202.91330320768557</v>
      </c>
      <c r="BH150" s="215">
        <f t="shared" si="1205"/>
        <v>132.05545921422762</v>
      </c>
      <c r="BI150" s="215">
        <f t="shared" si="1206"/>
        <v>363.09576397228193</v>
      </c>
      <c r="BJ150" s="194"/>
      <c r="BK150" s="66">
        <v>14</v>
      </c>
      <c r="BL150" s="66">
        <v>2018</v>
      </c>
      <c r="BM150" s="215">
        <f t="shared" si="1298"/>
        <v>93.248128569706736</v>
      </c>
      <c r="BN150" s="219">
        <f t="shared" si="1299"/>
        <v>99.907085134653684</v>
      </c>
      <c r="BO150" s="219">
        <f t="shared" si="1300"/>
        <v>20.573193166039523</v>
      </c>
      <c r="BP150" s="219">
        <f t="shared" si="1301"/>
        <v>4.847997739133592</v>
      </c>
      <c r="BQ150" s="219">
        <f t="shared" si="1302"/>
        <v>25.736374858141879</v>
      </c>
      <c r="BR150" s="220">
        <f t="shared" si="1303"/>
        <v>32.143604358071933</v>
      </c>
      <c r="BS150" s="219">
        <f t="shared" si="1304"/>
        <v>38.46612889218207</v>
      </c>
      <c r="BT150" s="219">
        <f t="shared" si="1305"/>
        <v>11.35180134029358</v>
      </c>
      <c r="BU150" s="219">
        <f t="shared" si="1306"/>
        <v>14.237430064983212</v>
      </c>
      <c r="BV150" s="219">
        <f t="shared" si="1307"/>
        <v>4.6593575741952291</v>
      </c>
      <c r="BW150" s="219">
        <f t="shared" si="1308"/>
        <v>4.5348335798015356</v>
      </c>
      <c r="BX150" s="220">
        <f t="shared" si="1309"/>
        <v>0.92592854655819412</v>
      </c>
      <c r="BY150" s="195"/>
      <c r="BZ150" s="192">
        <v>14</v>
      </c>
      <c r="CA150" s="66">
        <v>2018</v>
      </c>
      <c r="CB150" s="218">
        <f t="shared" si="1310"/>
        <v>6.4133155894961869</v>
      </c>
      <c r="CC150" s="218">
        <f t="shared" si="1311"/>
        <v>2.1053558906000167</v>
      </c>
      <c r="CD150" s="73">
        <f t="shared" si="1312"/>
        <v>4.9618571267787726</v>
      </c>
      <c r="CE150" s="73">
        <f t="shared" si="1313"/>
        <v>10.731396385215003</v>
      </c>
      <c r="CF150" s="73">
        <f t="shared" si="1314"/>
        <v>5.9547401104350923</v>
      </c>
      <c r="CG150" s="73">
        <f t="shared" si="1315"/>
        <v>4.8153504939450817</v>
      </c>
      <c r="CH150" s="73">
        <f t="shared" si="1316"/>
        <v>1.2125143272566832</v>
      </c>
      <c r="CI150" s="73">
        <f t="shared" si="1317"/>
        <v>3.6201969041483366</v>
      </c>
      <c r="CJ150" s="73">
        <f t="shared" si="1318"/>
        <v>3.1733788505477296</v>
      </c>
      <c r="CK150" s="73">
        <f t="shared" si="1319"/>
        <v>0.48126284820775178</v>
      </c>
      <c r="CL150" s="73">
        <f t="shared" si="1320"/>
        <v>9.7918126770206504E-2</v>
      </c>
      <c r="CM150" s="73">
        <f t="shared" si="1321"/>
        <v>78.902921399661437</v>
      </c>
      <c r="CN150" s="73">
        <f t="shared" si="1322"/>
        <v>134.69825357698781</v>
      </c>
      <c r="CO150" s="73">
        <f t="shared" si="1323"/>
        <v>43.183046850075122</v>
      </c>
      <c r="CP150" s="73">
        <f t="shared" si="1324"/>
        <v>30.170556632923052</v>
      </c>
      <c r="CQ150" s="73">
        <f t="shared" si="1325"/>
        <v>14.158529355044243</v>
      </c>
      <c r="CR150" s="73">
        <f t="shared" si="1326"/>
        <v>14.635093553810806</v>
      </c>
      <c r="CS150" s="73">
        <f t="shared" si="1327"/>
        <v>13.555753856504849</v>
      </c>
      <c r="CT150" s="73">
        <f t="shared" si="1328"/>
        <v>20.547977330571083</v>
      </c>
      <c r="CU150" s="73">
        <f t="shared" si="1329"/>
        <v>5.9099266128499828</v>
      </c>
      <c r="CV150" s="73">
        <f t="shared" si="1330"/>
        <v>4.4951046476737684</v>
      </c>
      <c r="CW150" s="73">
        <f t="shared" si="1331"/>
        <v>1.4462845150217105</v>
      </c>
      <c r="CX150" s="73">
        <f t="shared" si="1332"/>
        <v>1.1604945042561459</v>
      </c>
      <c r="CY150" s="73">
        <f t="shared" si="1333"/>
        <v>0.23182113690198486</v>
      </c>
      <c r="CZ150" s="190"/>
      <c r="DA150" s="66">
        <v>2018</v>
      </c>
      <c r="DB150" s="218">
        <f t="shared" si="1207"/>
        <v>470.66628774230583</v>
      </c>
      <c r="DC150" s="218">
        <f t="shared" si="1208"/>
        <v>4717.6802009328521</v>
      </c>
      <c r="DD150" s="73">
        <f t="shared" si="1209"/>
        <v>3075.6137051381179</v>
      </c>
      <c r="DE150" s="73">
        <f t="shared" si="1210"/>
        <v>1748.9851977443723</v>
      </c>
      <c r="DF150" s="73">
        <f t="shared" si="1211"/>
        <v>500.17658360367284</v>
      </c>
      <c r="DG150" s="73">
        <f t="shared" si="1212"/>
        <v>1123.0406186987409</v>
      </c>
      <c r="DH150" s="72">
        <f t="shared" si="1240"/>
        <v>0.73252367733086632</v>
      </c>
      <c r="DI150" s="72">
        <f t="shared" si="1241"/>
        <v>0.77761644904712468</v>
      </c>
      <c r="DJ150" s="73">
        <f>SUM(AV136:AV150,BB136:BB150,BI136:BI150)</f>
        <v>3870.3597990671497</v>
      </c>
      <c r="DK150" s="73">
        <f>SUM(AV142:AV150,BB142:BB150,BI142:BI150)</f>
        <v>3870.3597990671497</v>
      </c>
      <c r="DL150" s="190"/>
    </row>
    <row r="151" spans="1:120" x14ac:dyDescent="0.25">
      <c r="A151" s="190"/>
      <c r="B151" s="188">
        <v>2010</v>
      </c>
      <c r="C151" s="61" t="s">
        <v>332</v>
      </c>
      <c r="D151" s="169">
        <v>0</v>
      </c>
      <c r="E151" s="169">
        <v>0</v>
      </c>
      <c r="F151" s="169">
        <v>0</v>
      </c>
      <c r="G151" s="169">
        <v>0</v>
      </c>
      <c r="H151" s="169">
        <v>0</v>
      </c>
      <c r="I151" s="169">
        <v>0</v>
      </c>
      <c r="J151" s="169">
        <v>0</v>
      </c>
      <c r="K151" s="169">
        <v>0</v>
      </c>
      <c r="L151" s="169">
        <v>0</v>
      </c>
      <c r="M151" s="169">
        <v>0</v>
      </c>
      <c r="N151" s="169">
        <v>0</v>
      </c>
      <c r="O151" s="169">
        <v>0</v>
      </c>
      <c r="P151" s="171">
        <f>pAIDS_LTFU_AIDS_ART1ear_2004_2012</f>
        <v>0.18179999999999999</v>
      </c>
      <c r="Q151" s="169">
        <v>0</v>
      </c>
      <c r="R151" s="171">
        <f>pAIDS_LTFU_AIDS_ART2_2004_2012</f>
        <v>0.19189999999999999</v>
      </c>
      <c r="S151" s="172">
        <f>pAIDS_LTFU_2004_2012</f>
        <v>0.21578526169714907</v>
      </c>
      <c r="T151" s="170">
        <f>pAIDS_LTFU_AIDS_Dead_2004_2012</f>
        <v>0.41051473830285101</v>
      </c>
      <c r="U151" s="61">
        <f t="shared" si="1213"/>
        <v>1</v>
      </c>
      <c r="V151" s="190"/>
      <c r="W151" s="66">
        <v>15</v>
      </c>
      <c r="X151" s="66">
        <v>2019</v>
      </c>
      <c r="Y151" s="70">
        <f t="shared" si="1334"/>
        <v>1.6493922683720252E-2</v>
      </c>
      <c r="Z151" s="70">
        <f t="shared" si="1282"/>
        <v>6.0165843106862226E-3</v>
      </c>
      <c r="AA151" s="70">
        <f t="shared" si="1283"/>
        <v>1.9175907309662951E-2</v>
      </c>
      <c r="AB151" s="70">
        <f t="shared" si="1284"/>
        <v>1.0885561849707627E-3</v>
      </c>
      <c r="AC151" s="70">
        <f t="shared" si="1285"/>
        <v>1.9200678610970398E-2</v>
      </c>
      <c r="AD151" s="70">
        <f t="shared" si="1286"/>
        <v>1.1521981388494302E-2</v>
      </c>
      <c r="AE151" s="70">
        <f t="shared" si="1287"/>
        <v>0.12747628032773398</v>
      </c>
      <c r="AF151" s="70">
        <f t="shared" si="1288"/>
        <v>3.8384262265503462E-2</v>
      </c>
      <c r="AG151" s="70">
        <f t="shared" si="1289"/>
        <v>2.058843059001958E-2</v>
      </c>
      <c r="AH151" s="70">
        <f t="shared" si="1290"/>
        <v>2.7735996444758718E-3</v>
      </c>
      <c r="AI151" s="70">
        <f t="shared" si="1291"/>
        <v>9.8797952987752635E-3</v>
      </c>
      <c r="AJ151" s="70">
        <f t="shared" si="1292"/>
        <v>1.8646268206401223E-2</v>
      </c>
      <c r="AK151" s="70">
        <f t="shared" si="1293"/>
        <v>1.7668491317609638E-2</v>
      </c>
      <c r="AL151" s="70">
        <f t="shared" si="1294"/>
        <v>0.16514359469345416</v>
      </c>
      <c r="AM151" s="70">
        <f t="shared" si="1295"/>
        <v>2.9071815908510976E-2</v>
      </c>
      <c r="AN151" s="70">
        <f t="shared" si="1296"/>
        <v>1.3100599803729313E-2</v>
      </c>
      <c r="AO151" s="70">
        <f t="shared" si="1297"/>
        <v>3.3100650607131299E-2</v>
      </c>
      <c r="AP151" s="190"/>
      <c r="AQ151" s="66">
        <v>15</v>
      </c>
      <c r="AR151" s="66">
        <v>2019</v>
      </c>
      <c r="AS151" s="215">
        <f t="shared" si="1190"/>
        <v>141.65046776469688</v>
      </c>
      <c r="AT151" s="215">
        <f t="shared" si="1191"/>
        <v>51.670666723545715</v>
      </c>
      <c r="AU151" s="215">
        <f t="shared" si="1192"/>
        <v>164.68345901167783</v>
      </c>
      <c r="AV151" s="215">
        <f t="shared" si="1193"/>
        <v>9.3485640587763097</v>
      </c>
      <c r="AW151" s="215">
        <f t="shared" si="1194"/>
        <v>164.89619593815823</v>
      </c>
      <c r="AX151" s="215">
        <f t="shared" si="1195"/>
        <v>98.95123704364461</v>
      </c>
      <c r="AY151" s="215">
        <f t="shared" si="1196"/>
        <v>1094.7713945057926</v>
      </c>
      <c r="AZ151" s="215">
        <f t="shared" si="1197"/>
        <v>329.64557970663441</v>
      </c>
      <c r="BA151" s="215">
        <f t="shared" si="1198"/>
        <v>176.81426544431176</v>
      </c>
      <c r="BB151" s="215">
        <f t="shared" si="1199"/>
        <v>23.819784690744569</v>
      </c>
      <c r="BC151" s="215">
        <f t="shared" si="1200"/>
        <v>84.848077217693927</v>
      </c>
      <c r="BD151" s="215">
        <f t="shared" si="1201"/>
        <v>160.13489720730198</v>
      </c>
      <c r="BE151" s="215">
        <f t="shared" si="1202"/>
        <v>151.73771017528429</v>
      </c>
      <c r="BF151" s="215">
        <f t="shared" si="1203"/>
        <v>1418.2597969711721</v>
      </c>
      <c r="BG151" s="215">
        <f t="shared" si="1204"/>
        <v>249.66991789492863</v>
      </c>
      <c r="BH151" s="215">
        <f t="shared" si="1205"/>
        <v>112.5084751384195</v>
      </c>
      <c r="BI151" s="215">
        <f t="shared" si="1206"/>
        <v>284.26971144006791</v>
      </c>
      <c r="BJ151" s="194"/>
      <c r="BK151" s="66">
        <v>15</v>
      </c>
      <c r="BL151" s="66">
        <v>2019</v>
      </c>
      <c r="BM151" s="215">
        <f t="shared" si="1298"/>
        <v>64.725707622138316</v>
      </c>
      <c r="BN151" s="219">
        <f t="shared" si="1299"/>
        <v>82.875786003374969</v>
      </c>
      <c r="BO151" s="219">
        <f t="shared" si="1300"/>
        <v>23.127523811263167</v>
      </c>
      <c r="BP151" s="219">
        <f t="shared" si="1301"/>
        <v>6.0852480075353199</v>
      </c>
      <c r="BQ151" s="219">
        <f t="shared" si="1302"/>
        <v>17.812538201940562</v>
      </c>
      <c r="BR151" s="220">
        <f t="shared" si="1303"/>
        <v>28.679535874489869</v>
      </c>
      <c r="BS151" s="219">
        <f t="shared" si="1304"/>
        <v>27.996140526715191</v>
      </c>
      <c r="BT151" s="219">
        <f t="shared" si="1305"/>
        <v>8.418534049756877</v>
      </c>
      <c r="BU151" s="219">
        <f t="shared" si="1306"/>
        <v>16.45344954401066</v>
      </c>
      <c r="BV151" s="219">
        <f t="shared" si="1307"/>
        <v>5.6214516075754135</v>
      </c>
      <c r="BW151" s="219">
        <f t="shared" si="1308"/>
        <v>6.227110130467838</v>
      </c>
      <c r="BX151" s="220">
        <f t="shared" si="1309"/>
        <v>1.2997152034630846</v>
      </c>
      <c r="BY151" s="195"/>
      <c r="BZ151" s="192">
        <v>15</v>
      </c>
      <c r="CA151" s="66">
        <v>2019</v>
      </c>
      <c r="CB151" s="218">
        <f t="shared" si="1310"/>
        <v>4.064503437996434</v>
      </c>
      <c r="CC151" s="218">
        <f t="shared" si="1311"/>
        <v>1.3679142665125115</v>
      </c>
      <c r="CD151" s="73">
        <f t="shared" si="1312"/>
        <v>3.9161463542673642</v>
      </c>
      <c r="CE151" s="73">
        <f t="shared" si="1313"/>
        <v>7.061336054216107</v>
      </c>
      <c r="CF151" s="73">
        <f t="shared" si="1314"/>
        <v>3.953687525602454</v>
      </c>
      <c r="CG151" s="73">
        <f t="shared" si="1315"/>
        <v>5.2487808041980903</v>
      </c>
      <c r="CH151" s="73">
        <f t="shared" si="1316"/>
        <v>1.460204080462945</v>
      </c>
      <c r="CI151" s="73">
        <f t="shared" si="1317"/>
        <v>2.6005539174932752</v>
      </c>
      <c r="CJ151" s="73">
        <f t="shared" si="1318"/>
        <v>2.7862624764424795</v>
      </c>
      <c r="CK151" s="73">
        <f t="shared" si="1319"/>
        <v>0.57375626625359333</v>
      </c>
      <c r="CL151" s="73">
        <f t="shared" si="1320"/>
        <v>0.13520356607562162</v>
      </c>
      <c r="CM151" s="73">
        <f t="shared" si="1321"/>
        <v>52.838160534338861</v>
      </c>
      <c r="CN151" s="73">
        <f t="shared" si="1322"/>
        <v>92.217408443694495</v>
      </c>
      <c r="CO151" s="73">
        <f t="shared" si="1323"/>
        <v>31.56787894706796</v>
      </c>
      <c r="CP151" s="73">
        <f t="shared" si="1324"/>
        <v>34.318641871029264</v>
      </c>
      <c r="CQ151" s="73">
        <f t="shared" si="1325"/>
        <v>19.116909363145851</v>
      </c>
      <c r="CR151" s="73">
        <f t="shared" si="1326"/>
        <v>10.565161189754187</v>
      </c>
      <c r="CS151" s="73">
        <f t="shared" si="1327"/>
        <v>13.195423331164282</v>
      </c>
      <c r="CT151" s="73">
        <f t="shared" si="1328"/>
        <v>15.790912835697858</v>
      </c>
      <c r="CU151" s="73">
        <f t="shared" si="1329"/>
        <v>4.660081756476572</v>
      </c>
      <c r="CV151" s="73">
        <f t="shared" si="1330"/>
        <v>5.8446748772317259</v>
      </c>
      <c r="CW151" s="73">
        <f t="shared" si="1331"/>
        <v>1.9127349552301611</v>
      </c>
      <c r="CX151" s="73">
        <f t="shared" si="1332"/>
        <v>1.8616160202592085</v>
      </c>
      <c r="CY151" s="73">
        <f t="shared" si="1333"/>
        <v>0.38010731497747624</v>
      </c>
      <c r="CZ151" s="190"/>
      <c r="DA151" s="66">
        <v>2019</v>
      </c>
      <c r="DB151" s="218">
        <f t="shared" si="1207"/>
        <v>310.75680097449231</v>
      </c>
      <c r="DC151" s="218">
        <f t="shared" si="1208"/>
        <v>4400.2421407432621</v>
      </c>
      <c r="DD151" s="73">
        <f t="shared" si="1209"/>
        <v>3244.0843992538121</v>
      </c>
      <c r="DE151" s="73">
        <f t="shared" si="1210"/>
        <v>1819.6674250413851</v>
      </c>
      <c r="DF151" s="73">
        <f t="shared" si="1211"/>
        <v>357.49144956341542</v>
      </c>
      <c r="DG151" s="73">
        <f t="shared" si="1212"/>
        <v>798.15314798953</v>
      </c>
      <c r="DH151" s="72">
        <f t="shared" si="1240"/>
        <v>0.80254669878719986</v>
      </c>
      <c r="DI151" s="72">
        <f t="shared" si="1241"/>
        <v>0.83579909866324864</v>
      </c>
      <c r="DJ151" s="73">
        <f>SUM(AV136:AV151,BB136:BB151,BI136:BI151)</f>
        <v>4187.7978592567388</v>
      </c>
      <c r="DK151" s="73">
        <f>SUM(AV142:AV151,BB142:BB151,BI142:BI151)</f>
        <v>4187.7978592567388</v>
      </c>
      <c r="DL151" s="190"/>
    </row>
    <row r="152" spans="1:120" x14ac:dyDescent="0.25">
      <c r="A152" s="190"/>
      <c r="B152" s="191">
        <v>2010</v>
      </c>
      <c r="C152" s="179" t="s">
        <v>333</v>
      </c>
      <c r="D152" s="180">
        <v>0</v>
      </c>
      <c r="E152" s="180">
        <v>0</v>
      </c>
      <c r="F152" s="180">
        <v>0</v>
      </c>
      <c r="G152" s="180">
        <v>0</v>
      </c>
      <c r="H152" s="180">
        <v>0</v>
      </c>
      <c r="I152" s="180">
        <v>0</v>
      </c>
      <c r="J152" s="180">
        <v>0</v>
      </c>
      <c r="K152" s="180">
        <v>0</v>
      </c>
      <c r="L152" s="180">
        <v>0</v>
      </c>
      <c r="M152" s="180">
        <v>0</v>
      </c>
      <c r="N152" s="180">
        <v>0</v>
      </c>
      <c r="O152" s="180">
        <v>0</v>
      </c>
      <c r="P152" s="180">
        <v>0</v>
      </c>
      <c r="Q152" s="180">
        <v>0</v>
      </c>
      <c r="R152" s="180">
        <v>0</v>
      </c>
      <c r="S152" s="180">
        <v>0</v>
      </c>
      <c r="T152" s="180">
        <v>0</v>
      </c>
      <c r="U152" s="179">
        <f t="shared" si="1213"/>
        <v>0</v>
      </c>
      <c r="V152" s="190"/>
      <c r="W152" s="66">
        <v>16</v>
      </c>
      <c r="X152" s="66">
        <v>2020</v>
      </c>
      <c r="Y152" s="70">
        <f t="shared" si="1334"/>
        <v>1.0453189854531204E-2</v>
      </c>
      <c r="Z152" s="70">
        <f t="shared" si="1282"/>
        <v>3.8571186779537067E-3</v>
      </c>
      <c r="AA152" s="70">
        <f t="shared" si="1283"/>
        <v>1.4320074305601961E-2</v>
      </c>
      <c r="AB152" s="70">
        <f t="shared" si="1284"/>
        <v>7.5131898365581864E-4</v>
      </c>
      <c r="AC152" s="70">
        <f t="shared" si="1285"/>
        <v>1.2413442091801759E-2</v>
      </c>
      <c r="AD152" s="70">
        <f t="shared" si="1286"/>
        <v>7.4751372520230532E-3</v>
      </c>
      <c r="AE152" s="70">
        <f t="shared" si="1287"/>
        <v>0.13144715425317957</v>
      </c>
      <c r="AF152" s="70">
        <f t="shared" si="1288"/>
        <v>4.2277235575456526E-2</v>
      </c>
      <c r="AG152" s="70">
        <f t="shared" si="1289"/>
        <v>1.6526891381644697E-2</v>
      </c>
      <c r="AH152" s="70">
        <f t="shared" si="1290"/>
        <v>2.2499511391618084E-3</v>
      </c>
      <c r="AI152" s="70">
        <f t="shared" si="1291"/>
        <v>6.4424773883125178E-3</v>
      </c>
      <c r="AJ152" s="70">
        <f t="shared" si="1292"/>
        <v>1.2279167104441326E-2</v>
      </c>
      <c r="AK152" s="70">
        <f t="shared" si="1293"/>
        <v>1.2385866595114547E-2</v>
      </c>
      <c r="AL152" s="70">
        <f t="shared" si="1294"/>
        <v>0.1685515519957213</v>
      </c>
      <c r="AM152" s="70">
        <f t="shared" si="1295"/>
        <v>3.3630648521784601E-2</v>
      </c>
      <c r="AN152" s="70">
        <f t="shared" si="1296"/>
        <v>1.1087572306316899E-2</v>
      </c>
      <c r="AO152" s="70">
        <f t="shared" si="1297"/>
        <v>2.6219815288570432E-2</v>
      </c>
      <c r="AP152" s="190"/>
      <c r="AQ152" s="66">
        <v>16</v>
      </c>
      <c r="AR152" s="66">
        <v>2020</v>
      </c>
      <c r="AS152" s="215">
        <f t="shared" si="1190"/>
        <v>89.772412598308179</v>
      </c>
      <c r="AT152" s="215">
        <f t="shared" si="1191"/>
        <v>33.125089491013554</v>
      </c>
      <c r="AU152" s="215">
        <f t="shared" si="1192"/>
        <v>122.98137093948188</v>
      </c>
      <c r="AV152" s="215">
        <f t="shared" si="1193"/>
        <v>6.4523574843955176</v>
      </c>
      <c r="AW152" s="215">
        <f t="shared" si="1194"/>
        <v>106.60713722207718</v>
      </c>
      <c r="AX152" s="215">
        <f t="shared" si="1195"/>
        <v>64.196777725864067</v>
      </c>
      <c r="AY152" s="215">
        <f t="shared" si="1196"/>
        <v>1128.8734186124764</v>
      </c>
      <c r="AZ152" s="215">
        <f t="shared" si="1197"/>
        <v>363.07859021144372</v>
      </c>
      <c r="BA152" s="215">
        <f t="shared" si="1198"/>
        <v>141.93360426121993</v>
      </c>
      <c r="BB152" s="215">
        <f t="shared" si="1199"/>
        <v>19.322670381167178</v>
      </c>
      <c r="BC152" s="215">
        <f t="shared" si="1200"/>
        <v>55.328253509923442</v>
      </c>
      <c r="BD152" s="215">
        <f t="shared" si="1201"/>
        <v>105.4539782596263</v>
      </c>
      <c r="BE152" s="215">
        <f t="shared" si="1202"/>
        <v>106.37031775350755</v>
      </c>
      <c r="BF152" s="215">
        <f t="shared" si="1203"/>
        <v>1447.5274706013345</v>
      </c>
      <c r="BG152" s="215">
        <f t="shared" si="1204"/>
        <v>288.82135473102704</v>
      </c>
      <c r="BH152" s="215">
        <f t="shared" si="1205"/>
        <v>95.220514469541797</v>
      </c>
      <c r="BI152" s="215">
        <f t="shared" si="1206"/>
        <v>225.17682249085445</v>
      </c>
      <c r="BJ152" s="194"/>
      <c r="BK152" s="66">
        <v>16</v>
      </c>
      <c r="BL152" s="66">
        <v>2020</v>
      </c>
      <c r="BM152" s="215">
        <f t="shared" si="1298"/>
        <v>43.846663175032326</v>
      </c>
      <c r="BN152" s="219">
        <f t="shared" si="1299"/>
        <v>65.956757357235375</v>
      </c>
      <c r="BO152" s="219">
        <f t="shared" si="1300"/>
        <v>24.96352340955168</v>
      </c>
      <c r="BP152" s="219">
        <f t="shared" si="1301"/>
        <v>7.1666603194005791</v>
      </c>
      <c r="BQ152" s="219">
        <f t="shared" si="1302"/>
        <v>12.001145766067278</v>
      </c>
      <c r="BR152" s="220">
        <f t="shared" si="1303"/>
        <v>24.08291448694613</v>
      </c>
      <c r="BS152" s="219">
        <f t="shared" si="1304"/>
        <v>19.620792189458697</v>
      </c>
      <c r="BT152" s="219">
        <f t="shared" si="1305"/>
        <v>6.0322949614090557</v>
      </c>
      <c r="BU152" s="219">
        <f t="shared" si="1306"/>
        <v>17.701031954105883</v>
      </c>
      <c r="BV152" s="219">
        <f t="shared" si="1307"/>
        <v>6.3750551345469137</v>
      </c>
      <c r="BW152" s="219">
        <f t="shared" si="1308"/>
        <v>7.7559198110119842</v>
      </c>
      <c r="BX152" s="220">
        <f t="shared" si="1309"/>
        <v>1.651360165995849</v>
      </c>
      <c r="BY152" s="195"/>
      <c r="BZ152" s="192">
        <v>16</v>
      </c>
      <c r="CA152" s="66">
        <v>2020</v>
      </c>
      <c r="CB152" s="218">
        <f t="shared" si="1310"/>
        <v>2.575920047430976</v>
      </c>
      <c r="CC152" s="218">
        <f t="shared" si="1311"/>
        <v>0.88166142074171827</v>
      </c>
      <c r="CD152" s="73">
        <f t="shared" si="1312"/>
        <v>2.994776016222823</v>
      </c>
      <c r="CE152" s="73">
        <f t="shared" si="1313"/>
        <v>4.5987137211676563</v>
      </c>
      <c r="CF152" s="73">
        <f t="shared" si="1314"/>
        <v>2.589347700744161</v>
      </c>
      <c r="CG152" s="73">
        <f t="shared" si="1315"/>
        <v>5.5364442245614258</v>
      </c>
      <c r="CH152" s="73">
        <f t="shared" si="1316"/>
        <v>1.667073486828617</v>
      </c>
      <c r="CI152" s="73">
        <f t="shared" si="1317"/>
        <v>1.8051053152605434</v>
      </c>
      <c r="CJ152" s="73">
        <f t="shared" si="1318"/>
        <v>2.311284454307295</v>
      </c>
      <c r="CK152" s="73">
        <f t="shared" si="1319"/>
        <v>0.64499281188618274</v>
      </c>
      <c r="CL152" s="73">
        <f t="shared" si="1320"/>
        <v>0.16970866641129734</v>
      </c>
      <c r="CM152" s="73">
        <f t="shared" si="1321"/>
        <v>34.831386214521714</v>
      </c>
      <c r="CN152" s="73">
        <f t="shared" si="1322"/>
        <v>61.681957139355276</v>
      </c>
      <c r="CO152" s="73">
        <f t="shared" si="1323"/>
        <v>22.427579120773935</v>
      </c>
      <c r="CP152" s="73">
        <f t="shared" si="1324"/>
        <v>36.527559738741083</v>
      </c>
      <c r="CQ152" s="73">
        <f t="shared" si="1325"/>
        <v>23.521953049161329</v>
      </c>
      <c r="CR152" s="73">
        <f t="shared" si="1326"/>
        <v>7.3123094584791666</v>
      </c>
      <c r="CS152" s="73">
        <f t="shared" si="1327"/>
        <v>11.773372164163435</v>
      </c>
      <c r="CT152" s="73">
        <f t="shared" si="1328"/>
        <v>11.492828301814328</v>
      </c>
      <c r="CU152" s="73">
        <f t="shared" si="1329"/>
        <v>3.4559323023295847</v>
      </c>
      <c r="CV152" s="73">
        <f t="shared" si="1330"/>
        <v>6.7543835337386993</v>
      </c>
      <c r="CW152" s="73">
        <f t="shared" si="1331"/>
        <v>2.3076887355659621</v>
      </c>
      <c r="CX152" s="73">
        <f t="shared" si="1332"/>
        <v>2.5563204855920367</v>
      </c>
      <c r="CY152" s="73">
        <f t="shared" si="1333"/>
        <v>0.53355224661788492</v>
      </c>
      <c r="CZ152" s="190"/>
      <c r="DA152" s="66">
        <v>2020</v>
      </c>
      <c r="DB152" s="218">
        <f t="shared" si="1207"/>
        <v>202.77584547650392</v>
      </c>
      <c r="DC152" s="218">
        <f t="shared" si="1208"/>
        <v>4149.2902903868453</v>
      </c>
      <c r="DD152" s="73">
        <f t="shared" si="1209"/>
        <v>3334.6711519097889</v>
      </c>
      <c r="DE152" s="73">
        <f t="shared" si="1210"/>
        <v>1842.7191430858691</v>
      </c>
      <c r="DF152" s="73">
        <f t="shared" si="1211"/>
        <v>256.00274623909155</v>
      </c>
      <c r="DG152" s="73">
        <f t="shared" si="1212"/>
        <v>568.74026544825279</v>
      </c>
      <c r="DH152" s="72">
        <f t="shared" si="1240"/>
        <v>0.85429661272211088</v>
      </c>
      <c r="DI152" s="72">
        <f t="shared" si="1241"/>
        <v>0.8780196902022912</v>
      </c>
      <c r="DJ152" s="73">
        <f>SUM(AV136:AV152,BB136:BB152,BI136:BI152)</f>
        <v>4438.7497096131565</v>
      </c>
      <c r="DK152" s="73">
        <f>SUM(AV142:AV152,BB142:BB152,BI142:BI152)</f>
        <v>4438.7497096131565</v>
      </c>
      <c r="DL152" s="190"/>
    </row>
    <row r="153" spans="1:120" x14ac:dyDescent="0.25">
      <c r="A153" s="190"/>
      <c r="B153" s="178"/>
      <c r="C153" s="182"/>
      <c r="D153" s="183"/>
      <c r="E153" s="183"/>
      <c r="F153" s="183"/>
      <c r="G153" s="183"/>
      <c r="H153" s="183"/>
      <c r="I153" s="183"/>
      <c r="J153" s="183"/>
      <c r="K153" s="183"/>
      <c r="L153" s="183"/>
      <c r="M153" s="183"/>
      <c r="N153" s="183"/>
      <c r="O153" s="183"/>
      <c r="P153" s="183"/>
      <c r="Q153" s="183"/>
      <c r="R153" s="183"/>
      <c r="S153" s="183"/>
      <c r="T153" s="183"/>
      <c r="U153" s="178"/>
      <c r="V153" s="190"/>
      <c r="W153" s="66">
        <v>17</v>
      </c>
      <c r="X153" s="66">
        <v>2021</v>
      </c>
      <c r="Y153" s="70">
        <f t="shared" si="1334"/>
        <v>6.6248144986592187E-3</v>
      </c>
      <c r="Z153" s="70">
        <f t="shared" si="1282"/>
        <v>2.4637869892602132E-3</v>
      </c>
      <c r="AA153" s="70">
        <f t="shared" si="1283"/>
        <v>1.0498768398968758E-2</v>
      </c>
      <c r="AB153" s="70">
        <f t="shared" si="1284"/>
        <v>5.1631728589202888E-4</v>
      </c>
      <c r="AC153" s="70">
        <f t="shared" si="1285"/>
        <v>7.9833606209102244E-3</v>
      </c>
      <c r="AD153" s="70">
        <f t="shared" si="1286"/>
        <v>4.8177893990965469E-3</v>
      </c>
      <c r="AE153" s="70">
        <f t="shared" si="1287"/>
        <v>0.13341060856879222</v>
      </c>
      <c r="AF153" s="70">
        <f t="shared" si="1288"/>
        <v>4.5431549473186179E-2</v>
      </c>
      <c r="AG153" s="70">
        <f t="shared" si="1289"/>
        <v>1.3312089106588786E-2</v>
      </c>
      <c r="AH153" s="70">
        <f t="shared" si="1290"/>
        <v>1.8812659791974903E-3</v>
      </c>
      <c r="AI153" s="70">
        <f t="shared" si="1291"/>
        <v>4.1689339062171401E-3</v>
      </c>
      <c r="AJ153" s="70">
        <f t="shared" si="1292"/>
        <v>7.9998477358549022E-3</v>
      </c>
      <c r="AK153" s="70">
        <f t="shared" si="1293"/>
        <v>8.6650493894807473E-3</v>
      </c>
      <c r="AL153" s="70">
        <f t="shared" si="1294"/>
        <v>0.16739633633828507</v>
      </c>
      <c r="AM153" s="70">
        <f t="shared" si="1295"/>
        <v>3.7271497924609084E-2</v>
      </c>
      <c r="AN153" s="70">
        <f t="shared" si="1296"/>
        <v>9.4391987477863218E-3</v>
      </c>
      <c r="AO153" s="70">
        <f t="shared" si="1297"/>
        <v>2.1266312941098743E-2</v>
      </c>
      <c r="AP153" s="190"/>
      <c r="AQ153" s="66">
        <v>17</v>
      </c>
      <c r="AR153" s="66">
        <v>2021</v>
      </c>
      <c r="AS153" s="215">
        <f t="shared" si="1190"/>
        <v>56.894171907065321</v>
      </c>
      <c r="AT153" s="215">
        <f t="shared" si="1191"/>
        <v>21.159101215246285</v>
      </c>
      <c r="AU153" s="215">
        <f t="shared" si="1192"/>
        <v>90.163842961079652</v>
      </c>
      <c r="AV153" s="215">
        <f t="shared" si="1193"/>
        <v>4.4341535039321798</v>
      </c>
      <c r="AW153" s="215">
        <f t="shared" si="1194"/>
        <v>68.561420346801853</v>
      </c>
      <c r="AX153" s="215">
        <f t="shared" si="1195"/>
        <v>41.375368071017114</v>
      </c>
      <c r="AY153" s="215">
        <f t="shared" si="1196"/>
        <v>1145.7356428131304</v>
      </c>
      <c r="AZ153" s="215">
        <f t="shared" si="1197"/>
        <v>390.16796413770186</v>
      </c>
      <c r="BA153" s="215">
        <f t="shared" si="1198"/>
        <v>114.32475373094877</v>
      </c>
      <c r="BB153" s="215">
        <f t="shared" si="1199"/>
        <v>16.156387479987217</v>
      </c>
      <c r="BC153" s="215">
        <f t="shared" si="1200"/>
        <v>35.802971143949051</v>
      </c>
      <c r="BD153" s="215">
        <f t="shared" si="1201"/>
        <v>68.703012349431347</v>
      </c>
      <c r="BE153" s="215">
        <f t="shared" si="1202"/>
        <v>74.415790758836238</v>
      </c>
      <c r="BF153" s="215">
        <f t="shared" si="1203"/>
        <v>1437.606432326646</v>
      </c>
      <c r="BG153" s="215">
        <f t="shared" si="1204"/>
        <v>320.08911503645982</v>
      </c>
      <c r="BH153" s="215">
        <f t="shared" si="1205"/>
        <v>81.064216413938851</v>
      </c>
      <c r="BI153" s="215">
        <f t="shared" si="1206"/>
        <v>182.63594619067368</v>
      </c>
      <c r="BJ153" s="194"/>
      <c r="BK153" s="66">
        <v>17</v>
      </c>
      <c r="BL153" s="66">
        <v>2021</v>
      </c>
      <c r="BM153" s="215">
        <f t="shared" si="1298"/>
        <v>29.18534485925629</v>
      </c>
      <c r="BN153" s="219">
        <f t="shared" si="1299"/>
        <v>50.875318487226956</v>
      </c>
      <c r="BO153" s="219">
        <f t="shared" si="1300"/>
        <v>26.185613290166941</v>
      </c>
      <c r="BP153" s="219">
        <f t="shared" si="1301"/>
        <v>8.0784770942985826</v>
      </c>
      <c r="BQ153" s="219">
        <f t="shared" si="1302"/>
        <v>7.9424608573143409</v>
      </c>
      <c r="BR153" s="220">
        <f t="shared" si="1303"/>
        <v>19.348964289715394</v>
      </c>
      <c r="BS153" s="219">
        <f t="shared" si="1304"/>
        <v>13.386683617251332</v>
      </c>
      <c r="BT153" s="219">
        <f t="shared" si="1305"/>
        <v>4.2477000149970507</v>
      </c>
      <c r="BU153" s="219">
        <f t="shared" si="1306"/>
        <v>18.198059995058067</v>
      </c>
      <c r="BV153" s="219">
        <f t="shared" si="1307"/>
        <v>6.9257351338528066</v>
      </c>
      <c r="BW153" s="219">
        <f t="shared" si="1308"/>
        <v>9.0522806183827225</v>
      </c>
      <c r="BX153" s="220">
        <f t="shared" si="1309"/>
        <v>1.9623318873671582</v>
      </c>
      <c r="BY153" s="195"/>
      <c r="BZ153" s="192">
        <v>17</v>
      </c>
      <c r="CA153" s="66">
        <v>2021</v>
      </c>
      <c r="CB153" s="218">
        <f t="shared" si="1310"/>
        <v>1.6325153101672991</v>
      </c>
      <c r="CC153" s="218">
        <f t="shared" si="1311"/>
        <v>0.56521650125205658</v>
      </c>
      <c r="CD153" s="73">
        <f t="shared" si="1312"/>
        <v>2.236421692512824</v>
      </c>
      <c r="CE153" s="73">
        <f t="shared" si="1313"/>
        <v>2.9731171294056558</v>
      </c>
      <c r="CF153" s="73">
        <f t="shared" si="1314"/>
        <v>1.679895914048368</v>
      </c>
      <c r="CG153" s="73">
        <f t="shared" si="1315"/>
        <v>5.7089039320024799</v>
      </c>
      <c r="CH153" s="73">
        <f t="shared" si="1316"/>
        <v>1.8361498792590312</v>
      </c>
      <c r="CI153" s="73">
        <f t="shared" si="1317"/>
        <v>1.2228193041279076</v>
      </c>
      <c r="CJ153" s="73">
        <f t="shared" si="1318"/>
        <v>1.8394374917914913</v>
      </c>
      <c r="CK153" s="73">
        <f t="shared" si="1319"/>
        <v>0.69619615527849599</v>
      </c>
      <c r="CL153" s="73">
        <f t="shared" si="1320"/>
        <v>0.19986767407378755</v>
      </c>
      <c r="CM153" s="73">
        <f t="shared" si="1321"/>
        <v>22.713063510380021</v>
      </c>
      <c r="CN153" s="73">
        <f t="shared" si="1322"/>
        <v>40.619551894202417</v>
      </c>
      <c r="CO153" s="73">
        <f t="shared" si="1323"/>
        <v>15.722055610057813</v>
      </c>
      <c r="CP153" s="73">
        <f t="shared" si="1324"/>
        <v>37.281354423764832</v>
      </c>
      <c r="CQ153" s="73">
        <f t="shared" si="1325"/>
        <v>27.210496173741809</v>
      </c>
      <c r="CR153" s="73">
        <f t="shared" si="1326"/>
        <v>4.9266472134914769</v>
      </c>
      <c r="CS153" s="73">
        <f t="shared" si="1327"/>
        <v>9.8863913381786297</v>
      </c>
      <c r="CT153" s="73">
        <f t="shared" si="1328"/>
        <v>8.0546243709502612</v>
      </c>
      <c r="CU153" s="73">
        <f t="shared" si="1329"/>
        <v>2.4763459874484455</v>
      </c>
      <c r="CV153" s="73">
        <f t="shared" si="1330"/>
        <v>7.26653450033018</v>
      </c>
      <c r="CW153" s="73">
        <f t="shared" si="1331"/>
        <v>2.617054090224773</v>
      </c>
      <c r="CX153" s="73">
        <f t="shared" si="1332"/>
        <v>3.1839193915154822</v>
      </c>
      <c r="CY153" s="73">
        <f t="shared" si="1333"/>
        <v>0.67790768638753851</v>
      </c>
      <c r="CZ153" s="190"/>
      <c r="DA153" s="66">
        <v>2021</v>
      </c>
      <c r="DB153" s="218">
        <f t="shared" si="1207"/>
        <v>131.23748163569473</v>
      </c>
      <c r="DC153" s="218">
        <f t="shared" si="1208"/>
        <v>3946.0638032122524</v>
      </c>
      <c r="DD153" s="73">
        <f t="shared" si="1209"/>
        <v>3368.014945072774</v>
      </c>
      <c r="DE153" s="73">
        <f t="shared" si="1210"/>
        <v>1832.111338121942</v>
      </c>
      <c r="DF153" s="73">
        <f t="shared" si="1211"/>
        <v>185.57019990731925</v>
      </c>
      <c r="DG153" s="73">
        <f t="shared" si="1212"/>
        <v>409.83174205608702</v>
      </c>
      <c r="DH153" s="72">
        <f t="shared" si="1240"/>
        <v>0.89151710590787459</v>
      </c>
      <c r="DI153" s="72">
        <f t="shared" si="1241"/>
        <v>0.90802800322563693</v>
      </c>
      <c r="DJ153" s="73">
        <f>SUM(AV136:AV153,BB136:BB153,BI136:BI153)</f>
        <v>4641.9761967877494</v>
      </c>
      <c r="DK153" s="73">
        <f>SUM(AV142:AV153,BB142:BB153,BI142:BI153)</f>
        <v>4641.9761967877494</v>
      </c>
      <c r="DL153" s="190"/>
    </row>
    <row r="154" spans="1:120" s="127" customFormat="1" x14ac:dyDescent="0.25">
      <c r="A154" s="190"/>
      <c r="B154" s="178"/>
      <c r="C154" s="182"/>
      <c r="D154" s="183"/>
      <c r="E154" s="183"/>
      <c r="F154" s="183"/>
      <c r="G154" s="183"/>
      <c r="H154" s="183"/>
      <c r="I154" s="183"/>
      <c r="J154" s="183"/>
      <c r="K154" s="183"/>
      <c r="L154" s="183"/>
      <c r="M154" s="183"/>
      <c r="N154" s="183"/>
      <c r="O154" s="183"/>
      <c r="P154" s="183"/>
      <c r="Q154" s="183"/>
      <c r="R154" s="183"/>
      <c r="S154" s="183"/>
      <c r="T154" s="183"/>
      <c r="U154" s="178"/>
      <c r="V154" s="190"/>
      <c r="W154" s="66">
        <v>18</v>
      </c>
      <c r="X154" s="66">
        <v>2022</v>
      </c>
      <c r="Y154" s="70">
        <f t="shared" si="1334"/>
        <v>4.1985430048054606E-3</v>
      </c>
      <c r="Z154" s="70">
        <f t="shared" si="1282"/>
        <v>1.5699056032151791E-3</v>
      </c>
      <c r="AA154" s="70">
        <f t="shared" si="1283"/>
        <v>7.5854841375757945E-3</v>
      </c>
      <c r="AB154" s="70">
        <f t="shared" si="1284"/>
        <v>3.534329434198572E-4</v>
      </c>
      <c r="AC154" s="70">
        <f t="shared" si="1285"/>
        <v>5.1147038600619964E-3</v>
      </c>
      <c r="AD154" s="70">
        <f t="shared" si="1286"/>
        <v>3.0906585495681254E-3</v>
      </c>
      <c r="AE154" s="70">
        <f t="shared" si="1287"/>
        <v>0.13390333060665358</v>
      </c>
      <c r="AF154" s="70">
        <f t="shared" si="1288"/>
        <v>4.7989561419724748E-2</v>
      </c>
      <c r="AG154" s="70">
        <f t="shared" si="1289"/>
        <v>1.0855628587387582E-2</v>
      </c>
      <c r="AH154" s="70">
        <f t="shared" si="1290"/>
        <v>1.6244055167096429E-3</v>
      </c>
      <c r="AI154" s="70">
        <f t="shared" si="1291"/>
        <v>2.6829042724834857E-3</v>
      </c>
      <c r="AJ154" s="70">
        <f t="shared" si="1292"/>
        <v>5.1726665739265897E-3</v>
      </c>
      <c r="AK154" s="70">
        <f t="shared" si="1293"/>
        <v>6.1090918805012809E-3</v>
      </c>
      <c r="AL154" s="70">
        <f t="shared" si="1294"/>
        <v>0.16326579717179046</v>
      </c>
      <c r="AM154" s="70">
        <f t="shared" si="1295"/>
        <v>4.0051148123023614E-2</v>
      </c>
      <c r="AN154" s="70">
        <f t="shared" si="1296"/>
        <v>8.1450963143657532E-3</v>
      </c>
      <c r="AO154" s="70">
        <f t="shared" si="1297"/>
        <v>1.7771272532482275E-2</v>
      </c>
      <c r="AP154" s="190"/>
      <c r="AQ154" s="66">
        <v>18</v>
      </c>
      <c r="AR154" s="66">
        <v>2022</v>
      </c>
      <c r="AS154" s="215">
        <f t="shared" si="1190"/>
        <v>36.057255266989493</v>
      </c>
      <c r="AT154" s="215">
        <f t="shared" si="1191"/>
        <v>13.482412116636088</v>
      </c>
      <c r="AU154" s="215">
        <f t="shared" si="1192"/>
        <v>65.144441192866438</v>
      </c>
      <c r="AV154" s="215">
        <f t="shared" si="1193"/>
        <v>3.0352962554074705</v>
      </c>
      <c r="AW154" s="215">
        <f t="shared" si="1194"/>
        <v>43.92528133836683</v>
      </c>
      <c r="AX154" s="215">
        <f t="shared" si="1195"/>
        <v>26.542699250033046</v>
      </c>
      <c r="AY154" s="215">
        <f t="shared" si="1196"/>
        <v>1149.9671593831654</v>
      </c>
      <c r="AZ154" s="215">
        <f t="shared" si="1197"/>
        <v>412.13627305505298</v>
      </c>
      <c r="BA154" s="215">
        <f t="shared" si="1198"/>
        <v>93.228572533628054</v>
      </c>
      <c r="BB154" s="215">
        <f t="shared" si="1199"/>
        <v>13.950459553723084</v>
      </c>
      <c r="BC154" s="215">
        <f t="shared" si="1200"/>
        <v>23.040889208259077</v>
      </c>
      <c r="BD154" s="215">
        <f t="shared" si="1201"/>
        <v>44.423067443544511</v>
      </c>
      <c r="BE154" s="215">
        <f t="shared" si="1202"/>
        <v>52.465125433420226</v>
      </c>
      <c r="BF154" s="215">
        <f t="shared" si="1203"/>
        <v>1402.1331967432236</v>
      </c>
      <c r="BG154" s="215">
        <f t="shared" si="1204"/>
        <v>343.96086212645173</v>
      </c>
      <c r="BH154" s="215">
        <f t="shared" si="1205"/>
        <v>69.950412951625665</v>
      </c>
      <c r="BI154" s="215">
        <f t="shared" si="1206"/>
        <v>152.62039935985908</v>
      </c>
      <c r="BJ154" s="194"/>
      <c r="BK154" s="66">
        <v>18</v>
      </c>
      <c r="BL154" s="66">
        <v>2022</v>
      </c>
      <c r="BM154" s="215">
        <f t="shared" si="1298"/>
        <v>19.179066783545018</v>
      </c>
      <c r="BN154" s="219">
        <f t="shared" si="1299"/>
        <v>38.30293956237395</v>
      </c>
      <c r="BO154" s="219">
        <f t="shared" si="1300"/>
        <v>26.915100538056386</v>
      </c>
      <c r="BP154" s="219">
        <f t="shared" si="1301"/>
        <v>8.831465649652694</v>
      </c>
      <c r="BQ154" s="219">
        <f t="shared" si="1302"/>
        <v>5.1924474180811737</v>
      </c>
      <c r="BR154" s="220">
        <f t="shared" si="1303"/>
        <v>15.03681519241616</v>
      </c>
      <c r="BS154" s="219">
        <f t="shared" si="1304"/>
        <v>8.9578735214284748</v>
      </c>
      <c r="BT154" s="219">
        <f t="shared" si="1305"/>
        <v>2.9756536994891158</v>
      </c>
      <c r="BU154" s="219">
        <f t="shared" si="1306"/>
        <v>18.163047497381562</v>
      </c>
      <c r="BV154" s="219">
        <f t="shared" si="1307"/>
        <v>7.299400412582699</v>
      </c>
      <c r="BW154" s="219">
        <f t="shared" si="1308"/>
        <v>10.098540586512877</v>
      </c>
      <c r="BX154" s="220">
        <f t="shared" si="1309"/>
        <v>2.2266346237336228</v>
      </c>
      <c r="BY154" s="195"/>
      <c r="BZ154" s="192">
        <v>18</v>
      </c>
      <c r="CA154" s="66">
        <v>2022</v>
      </c>
      <c r="CB154" s="218">
        <f t="shared" si="1310"/>
        <v>1.0346230429739478</v>
      </c>
      <c r="CC154" s="218">
        <f t="shared" si="1311"/>
        <v>0.36103972373460624</v>
      </c>
      <c r="CD154" s="73">
        <f t="shared" si="1312"/>
        <v>1.6396334886989166</v>
      </c>
      <c r="CE154" s="73">
        <f t="shared" si="1313"/>
        <v>1.9120777328897707</v>
      </c>
      <c r="CF154" s="73">
        <f t="shared" si="1314"/>
        <v>1.0827071735836633</v>
      </c>
      <c r="CG154" s="73">
        <f t="shared" si="1315"/>
        <v>5.7941790536009163</v>
      </c>
      <c r="CH154" s="73">
        <f t="shared" si="1316"/>
        <v>1.9731454278947542</v>
      </c>
      <c r="CI154" s="73">
        <f t="shared" si="1317"/>
        <v>0.81393658051157891</v>
      </c>
      <c r="CJ154" s="73">
        <f t="shared" si="1318"/>
        <v>1.4188382204021772</v>
      </c>
      <c r="CK154" s="73">
        <f t="shared" si="1319"/>
        <v>0.73027845457297613</v>
      </c>
      <c r="CL154" s="73">
        <f t="shared" si="1320"/>
        <v>0.22529691026724638</v>
      </c>
      <c r="CM154" s="73">
        <f t="shared" si="1321"/>
        <v>14.697647329622772</v>
      </c>
      <c r="CN154" s="73">
        <f t="shared" si="1322"/>
        <v>26.463540033976958</v>
      </c>
      <c r="CO154" s="73">
        <f t="shared" si="1323"/>
        <v>10.999019513018894</v>
      </c>
      <c r="CP154" s="73">
        <f t="shared" si="1324"/>
        <v>37.025836133658224</v>
      </c>
      <c r="CQ154" s="73">
        <f t="shared" si="1325"/>
        <v>30.156300762688485</v>
      </c>
      <c r="CR154" s="73">
        <f t="shared" si="1326"/>
        <v>3.2604972403210342</v>
      </c>
      <c r="CS154" s="73">
        <f t="shared" si="1327"/>
        <v>7.9430350118237243</v>
      </c>
      <c r="CT154" s="73">
        <f t="shared" si="1328"/>
        <v>5.4954309218789934</v>
      </c>
      <c r="CU154" s="73">
        <f t="shared" si="1329"/>
        <v>1.7437434600455306</v>
      </c>
      <c r="CV154" s="73">
        <f t="shared" si="1330"/>
        <v>7.4705718364908442</v>
      </c>
      <c r="CW154" s="73">
        <f t="shared" si="1331"/>
        <v>2.8431163460284457</v>
      </c>
      <c r="CX154" s="73">
        <f t="shared" si="1332"/>
        <v>3.7160946090993536</v>
      </c>
      <c r="CY154" s="73">
        <f t="shared" si="1333"/>
        <v>0.80556616120586866</v>
      </c>
      <c r="CZ154" s="190"/>
      <c r="DA154" s="66">
        <v>2022</v>
      </c>
      <c r="DB154" s="218">
        <f t="shared" si="1207"/>
        <v>84.448178810213648</v>
      </c>
      <c r="DC154" s="218">
        <f t="shared" si="1208"/>
        <v>3776.4576480432638</v>
      </c>
      <c r="DD154" s="73">
        <f t="shared" si="1209"/>
        <v>3360.6626167413142</v>
      </c>
      <c r="DE154" s="73">
        <f t="shared" si="1210"/>
        <v>1798.5591843030957</v>
      </c>
      <c r="DF154" s="73">
        <f t="shared" si="1211"/>
        <v>137.41436960342924</v>
      </c>
      <c r="DG154" s="73">
        <f t="shared" si="1212"/>
        <v>301.11092272545716</v>
      </c>
      <c r="DH154" s="72">
        <f t="shared" si="1240"/>
        <v>0.91776910300976577</v>
      </c>
      <c r="DI154" s="72">
        <f t="shared" si="1241"/>
        <v>0.92902053371227811</v>
      </c>
      <c r="DJ154" s="73">
        <f>SUM(AV136:AV154,BB136:BB154,BI136:BI154)</f>
        <v>4811.5823519567393</v>
      </c>
      <c r="DK154" s="73">
        <f>SUM(AV142:AV154,BB142:BB154,BI142:BI154)</f>
        <v>4811.5823519567393</v>
      </c>
      <c r="DL154" s="190"/>
      <c r="DM154"/>
      <c r="DN154"/>
      <c r="DO154"/>
      <c r="DP154"/>
    </row>
    <row r="155" spans="1:120" s="127" customFormat="1" x14ac:dyDescent="0.25">
      <c r="A155" s="190"/>
      <c r="B155" s="178"/>
      <c r="C155" s="182"/>
      <c r="D155" s="183"/>
      <c r="E155" s="183"/>
      <c r="F155" s="183"/>
      <c r="G155" s="183"/>
      <c r="H155" s="183"/>
      <c r="I155" s="183"/>
      <c r="J155" s="183"/>
      <c r="K155" s="183"/>
      <c r="L155" s="183"/>
      <c r="M155" s="183"/>
      <c r="N155" s="183"/>
      <c r="O155" s="183"/>
      <c r="P155" s="183"/>
      <c r="Q155" s="183"/>
      <c r="R155" s="183"/>
      <c r="S155" s="183"/>
      <c r="T155" s="183"/>
      <c r="U155" s="178"/>
      <c r="V155" s="190"/>
      <c r="W155" s="66">
        <v>19</v>
      </c>
      <c r="X155" s="66">
        <v>2023</v>
      </c>
      <c r="Y155" s="70">
        <f t="shared" si="1334"/>
        <v>2.6608689747869181E-3</v>
      </c>
      <c r="Z155" s="70">
        <f t="shared" si="1282"/>
        <v>9.986483254093145E-4</v>
      </c>
      <c r="AA155" s="70">
        <f t="shared" si="1283"/>
        <v>5.4161105439317339E-3</v>
      </c>
      <c r="AB155" s="70">
        <f t="shared" si="1284"/>
        <v>2.4108050314083148E-4</v>
      </c>
      <c r="AC155" s="70">
        <f t="shared" si="1285"/>
        <v>3.2676839410285545E-3</v>
      </c>
      <c r="AD155" s="70">
        <f t="shared" si="1286"/>
        <v>1.976098081815311E-3</v>
      </c>
      <c r="AE155" s="70">
        <f t="shared" si="1287"/>
        <v>0.13334689795233229</v>
      </c>
      <c r="AF155" s="70">
        <f t="shared" si="1288"/>
        <v>5.0080332539152221E-2</v>
      </c>
      <c r="AG155" s="70">
        <f t="shared" si="1289"/>
        <v>9.0229418387064372E-3</v>
      </c>
      <c r="AH155" s="70">
        <f t="shared" si="1290"/>
        <v>1.4461284468471154E-3</v>
      </c>
      <c r="AI155" s="70">
        <f t="shared" si="1291"/>
        <v>1.7196857766862939E-3</v>
      </c>
      <c r="AJ155" s="70">
        <f t="shared" si="1292"/>
        <v>3.326644767373297E-3</v>
      </c>
      <c r="AK155" s="70">
        <f t="shared" si="1293"/>
        <v>4.3803311801582376E-3</v>
      </c>
      <c r="AL155" s="70">
        <f t="shared" si="1294"/>
        <v>0.15731547334939319</v>
      </c>
      <c r="AM155" s="70">
        <f t="shared" si="1295"/>
        <v>4.2065641492921434E-2</v>
      </c>
      <c r="AN155" s="70">
        <f t="shared" si="1296"/>
        <v>7.1512487843377413E-3</v>
      </c>
      <c r="AO155" s="70">
        <f t="shared" si="1297"/>
        <v>1.5318703607062693E-2</v>
      </c>
      <c r="AP155" s="190"/>
      <c r="AQ155" s="66">
        <v>19</v>
      </c>
      <c r="AR155" s="66">
        <v>2023</v>
      </c>
      <c r="AS155" s="215">
        <f t="shared" si="1190"/>
        <v>22.851649190229047</v>
      </c>
      <c r="AT155" s="215">
        <f t="shared" si="1191"/>
        <v>8.5764317645482109</v>
      </c>
      <c r="AU155" s="215">
        <f t="shared" si="1192"/>
        <v>46.513773995707496</v>
      </c>
      <c r="AV155" s="215">
        <f t="shared" si="1193"/>
        <v>2.0704090041935865</v>
      </c>
      <c r="AW155" s="215">
        <f t="shared" si="1194"/>
        <v>28.063000392910869</v>
      </c>
      <c r="AX155" s="215">
        <f t="shared" si="1195"/>
        <v>16.970809370553166</v>
      </c>
      <c r="AY155" s="215">
        <f t="shared" si="1196"/>
        <v>1145.1884934905479</v>
      </c>
      <c r="AZ155" s="215">
        <f t="shared" si="1197"/>
        <v>430.09189905954088</v>
      </c>
      <c r="BA155" s="215">
        <f t="shared" si="1198"/>
        <v>77.489385428484439</v>
      </c>
      <c r="BB155" s="215">
        <f t="shared" si="1199"/>
        <v>12.419408946660901</v>
      </c>
      <c r="BC155" s="215">
        <f t="shared" si="1200"/>
        <v>14.768730237612962</v>
      </c>
      <c r="BD155" s="215">
        <f t="shared" si="1201"/>
        <v>28.569358327992571</v>
      </c>
      <c r="BE155" s="215">
        <f t="shared" si="1202"/>
        <v>37.618459388446155</v>
      </c>
      <c r="BF155" s="215">
        <f t="shared" si="1203"/>
        <v>1351.0315777435228</v>
      </c>
      <c r="BG155" s="215">
        <f t="shared" si="1204"/>
        <v>361.261411766869</v>
      </c>
      <c r="BH155" s="215">
        <f t="shared" si="1205"/>
        <v>61.415210609843903</v>
      </c>
      <c r="BI155" s="215">
        <f t="shared" si="1206"/>
        <v>131.5576393255987</v>
      </c>
      <c r="BJ155" s="194"/>
      <c r="BK155" s="66">
        <v>19</v>
      </c>
      <c r="BL155" s="66">
        <v>2023</v>
      </c>
      <c r="BM155" s="215">
        <f t="shared" si="1298"/>
        <v>12.485393971125916</v>
      </c>
      <c r="BN155" s="219">
        <f t="shared" si="1299"/>
        <v>28.289866580829344</v>
      </c>
      <c r="BO155" s="219">
        <f t="shared" si="1300"/>
        <v>27.266621552086971</v>
      </c>
      <c r="BP155" s="219">
        <f t="shared" si="1301"/>
        <v>9.4475033244422146</v>
      </c>
      <c r="BQ155" s="219">
        <f t="shared" si="1302"/>
        <v>3.3656672591403671</v>
      </c>
      <c r="BR155" s="220">
        <f t="shared" si="1303"/>
        <v>11.388998770226795</v>
      </c>
      <c r="BS155" s="219">
        <f t="shared" si="1304"/>
        <v>5.9099785279445589</v>
      </c>
      <c r="BT155" s="219">
        <f t="shared" si="1305"/>
        <v>2.0951460797378942</v>
      </c>
      <c r="BU155" s="219">
        <f t="shared" si="1306"/>
        <v>17.774939967114381</v>
      </c>
      <c r="BV155" s="219">
        <f t="shared" si="1307"/>
        <v>7.5289701272388765</v>
      </c>
      <c r="BW155" s="219">
        <f t="shared" si="1308"/>
        <v>10.905523116507897</v>
      </c>
      <c r="BX155" s="220">
        <f t="shared" si="1309"/>
        <v>2.4459867619331384</v>
      </c>
      <c r="BY155" s="195"/>
      <c r="BZ155" s="192">
        <v>19</v>
      </c>
      <c r="CA155" s="66">
        <v>2023</v>
      </c>
      <c r="CB155" s="218">
        <f t="shared" si="1310"/>
        <v>0.65570278844305185</v>
      </c>
      <c r="CC155" s="218">
        <f t="shared" si="1311"/>
        <v>0.2300516593946329</v>
      </c>
      <c r="CD155" s="73">
        <f t="shared" si="1312"/>
        <v>1.1846545563559017</v>
      </c>
      <c r="CE155" s="73">
        <f t="shared" si="1313"/>
        <v>1.2250118497133435</v>
      </c>
      <c r="CF155" s="73">
        <f t="shared" si="1314"/>
        <v>0.69456713557105632</v>
      </c>
      <c r="CG155" s="73">
        <f t="shared" si="1315"/>
        <v>5.8155785490507235</v>
      </c>
      <c r="CH155" s="73">
        <f t="shared" si="1316"/>
        <v>2.0842428840753251</v>
      </c>
      <c r="CI155" s="73">
        <f t="shared" si="1317"/>
        <v>0.53487612054893607</v>
      </c>
      <c r="CJ155" s="73">
        <f t="shared" si="1318"/>
        <v>1.0682129610352245</v>
      </c>
      <c r="CK155" s="73">
        <f t="shared" si="1319"/>
        <v>0.75062278694037743</v>
      </c>
      <c r="CL155" s="73">
        <f t="shared" si="1320"/>
        <v>0.24629665972591688</v>
      </c>
      <c r="CM155" s="73">
        <f t="shared" si="1321"/>
        <v>9.45862460359346</v>
      </c>
      <c r="CN155" s="73">
        <f t="shared" si="1322"/>
        <v>17.11120929814701</v>
      </c>
      <c r="CO155" s="73">
        <f t="shared" si="1323"/>
        <v>7.7546033242501204</v>
      </c>
      <c r="CP155" s="73">
        <f t="shared" si="1324"/>
        <v>36.112215981224168</v>
      </c>
      <c r="CQ155" s="73">
        <f t="shared" si="1325"/>
        <v>32.405310651370989</v>
      </c>
      <c r="CR155" s="73">
        <f t="shared" si="1326"/>
        <v>2.1315761929849075</v>
      </c>
      <c r="CS155" s="73">
        <f t="shared" si="1327"/>
        <v>6.172834253623054</v>
      </c>
      <c r="CT155" s="73">
        <f t="shared" si="1328"/>
        <v>3.6773391043992487</v>
      </c>
      <c r="CU155" s="73">
        <f t="shared" si="1329"/>
        <v>1.2215496997256849</v>
      </c>
      <c r="CV155" s="73">
        <f t="shared" si="1330"/>
        <v>7.4561986901698454</v>
      </c>
      <c r="CW155" s="73">
        <f t="shared" si="1331"/>
        <v>2.9965114501391095</v>
      </c>
      <c r="CX155" s="73">
        <f t="shared" si="1332"/>
        <v>4.1455997461130529</v>
      </c>
      <c r="CY155" s="73">
        <f t="shared" si="1333"/>
        <v>0.91406632985807523</v>
      </c>
      <c r="CZ155" s="190"/>
      <c r="DA155" s="66">
        <v>2023</v>
      </c>
      <c r="DB155" s="218">
        <f t="shared" si="1207"/>
        <v>54.116599463093948</v>
      </c>
      <c r="DC155" s="218">
        <f t="shared" si="1208"/>
        <v>3630.4101907668096</v>
      </c>
      <c r="DD155" s="73">
        <f t="shared" si="1209"/>
        <v>3325.1918414489269</v>
      </c>
      <c r="DE155" s="73">
        <f t="shared" si="1210"/>
        <v>1749.911448898838</v>
      </c>
      <c r="DF155" s="73">
        <f t="shared" si="1211"/>
        <v>104.75329917544943</v>
      </c>
      <c r="DG155" s="73">
        <f t="shared" si="1212"/>
        <v>227.2764943673979</v>
      </c>
      <c r="DH155" s="72">
        <f t="shared" si="1240"/>
        <v>0.93602293591867536</v>
      </c>
      <c r="DI155" s="72">
        <f t="shared" si="1241"/>
        <v>0.94351901103193148</v>
      </c>
      <c r="DJ155" s="73">
        <f>SUM(AV136:AV155,BB136:BB155,BI136:BI155)</f>
        <v>4957.6298092331926</v>
      </c>
      <c r="DK155" s="73">
        <f>SUM(AV142:AV155,BB142:BB155,BI142:BI155)</f>
        <v>4957.6298092331926</v>
      </c>
      <c r="DL155" s="190"/>
    </row>
    <row r="156" spans="1:120" s="127" customFormat="1" x14ac:dyDescent="0.25">
      <c r="A156" s="190"/>
      <c r="B156" s="190" t="s">
        <v>576</v>
      </c>
      <c r="C156" s="182"/>
      <c r="D156" s="183"/>
      <c r="E156" s="183"/>
      <c r="F156" s="183"/>
      <c r="G156" s="183"/>
      <c r="H156" s="183"/>
      <c r="I156" s="183"/>
      <c r="J156" s="183"/>
      <c r="K156" s="183"/>
      <c r="L156" s="183"/>
      <c r="M156" s="183"/>
      <c r="N156" s="183"/>
      <c r="O156" s="183"/>
      <c r="P156" s="183"/>
      <c r="Q156" s="183"/>
      <c r="R156" s="183"/>
      <c r="S156" s="183"/>
      <c r="T156" s="183"/>
      <c r="U156" s="178"/>
      <c r="V156" s="190"/>
      <c r="W156" s="197" t="s">
        <v>582</v>
      </c>
      <c r="X156" s="190"/>
      <c r="Y156" s="190"/>
      <c r="Z156" s="190"/>
      <c r="AA156" s="190"/>
      <c r="AB156" s="190"/>
      <c r="AC156" s="190"/>
      <c r="AD156" s="190"/>
      <c r="AE156" s="190"/>
      <c r="AF156" s="190"/>
      <c r="AG156" s="190"/>
      <c r="AH156" s="190"/>
      <c r="AI156" s="190"/>
      <c r="AJ156" s="190"/>
      <c r="AK156" s="190"/>
      <c r="AL156" s="190"/>
      <c r="AM156" s="190"/>
      <c r="AN156" s="190"/>
      <c r="AO156" s="190"/>
      <c r="AP156" s="190"/>
      <c r="AQ156" s="193" t="s">
        <v>90</v>
      </c>
      <c r="AR156" s="25"/>
      <c r="AS156" s="216"/>
      <c r="AT156" s="216"/>
      <c r="AU156" s="216"/>
      <c r="AV156" s="216"/>
      <c r="AW156" s="216"/>
      <c r="AX156" s="216"/>
      <c r="AY156" s="216"/>
      <c r="AZ156" s="216"/>
      <c r="BA156" s="216"/>
      <c r="BB156" s="216"/>
      <c r="BC156" s="216"/>
      <c r="BD156" s="216"/>
      <c r="BE156" s="216"/>
      <c r="BF156" s="216"/>
      <c r="BG156" s="216"/>
      <c r="BH156" s="216"/>
      <c r="BI156" s="216"/>
      <c r="BJ156" s="194"/>
      <c r="BK156" s="25"/>
      <c r="BL156" s="25"/>
      <c r="BM156" s="348" t="s">
        <v>570</v>
      </c>
      <c r="BN156" s="349"/>
      <c r="BO156" s="349"/>
      <c r="BP156" s="349"/>
      <c r="BQ156" s="350" t="s">
        <v>570</v>
      </c>
      <c r="BR156" s="350"/>
      <c r="BS156" s="350"/>
      <c r="BT156" s="350"/>
      <c r="BU156" s="350"/>
      <c r="BV156" s="350"/>
      <c r="BW156" s="350"/>
      <c r="BX156" s="351"/>
      <c r="BY156" s="199"/>
      <c r="BZ156" s="25"/>
      <c r="CA156" s="25"/>
      <c r="CB156" s="350" t="s">
        <v>302</v>
      </c>
      <c r="CC156" s="350"/>
      <c r="CD156" s="350"/>
      <c r="CE156" s="350" t="s">
        <v>302</v>
      </c>
      <c r="CF156" s="350"/>
      <c r="CG156" s="350"/>
      <c r="CH156" s="350"/>
      <c r="CI156" s="350"/>
      <c r="CJ156" s="350"/>
      <c r="CK156" s="350"/>
      <c r="CL156" s="350"/>
      <c r="CM156" s="350" t="s">
        <v>302</v>
      </c>
      <c r="CN156" s="350"/>
      <c r="CO156" s="350"/>
      <c r="CP156" s="350"/>
      <c r="CQ156" s="350"/>
      <c r="CR156" s="350"/>
      <c r="CS156" s="350"/>
      <c r="CT156" s="350"/>
      <c r="CU156" s="350"/>
      <c r="CV156" s="350"/>
      <c r="CW156" s="350"/>
      <c r="CX156" s="350"/>
      <c r="CY156" s="350"/>
      <c r="CZ156" s="190"/>
      <c r="DA156" s="190" t="s">
        <v>100</v>
      </c>
      <c r="DB156" s="217"/>
      <c r="DC156" s="217"/>
      <c r="DD156" s="217"/>
      <c r="DE156" s="217"/>
      <c r="DF156" s="217"/>
      <c r="DG156" s="217"/>
      <c r="DH156" s="222"/>
      <c r="DI156" s="222"/>
      <c r="DJ156" s="217"/>
      <c r="DK156" s="217"/>
      <c r="DL156" s="190"/>
    </row>
    <row r="157" spans="1:120" x14ac:dyDescent="0.25">
      <c r="A157" s="190"/>
      <c r="B157" s="188">
        <v>2011</v>
      </c>
      <c r="C157" s="187"/>
      <c r="D157" s="181" t="s">
        <v>320</v>
      </c>
      <c r="E157" s="181" t="s">
        <v>319</v>
      </c>
      <c r="F157" s="181" t="s">
        <v>318</v>
      </c>
      <c r="G157" s="181" t="s">
        <v>317</v>
      </c>
      <c r="H157" s="181" t="s">
        <v>321</v>
      </c>
      <c r="I157" s="181" t="s">
        <v>322</v>
      </c>
      <c r="J157" s="181" t="s">
        <v>323</v>
      </c>
      <c r="K157" s="181" t="s">
        <v>324</v>
      </c>
      <c r="L157" s="181" t="s">
        <v>325</v>
      </c>
      <c r="M157" s="181" t="s">
        <v>326</v>
      </c>
      <c r="N157" s="181" t="s">
        <v>327</v>
      </c>
      <c r="O157" s="181" t="s">
        <v>328</v>
      </c>
      <c r="P157" s="181" t="s">
        <v>329</v>
      </c>
      <c r="Q157" s="181" t="s">
        <v>330</v>
      </c>
      <c r="R157" s="181" t="s">
        <v>331</v>
      </c>
      <c r="S157" s="181" t="s">
        <v>332</v>
      </c>
      <c r="T157" s="181" t="s">
        <v>333</v>
      </c>
      <c r="U157" s="181" t="s">
        <v>87</v>
      </c>
      <c r="V157" s="190"/>
      <c r="W157" s="66" t="s">
        <v>88</v>
      </c>
      <c r="X157" s="66" t="s">
        <v>89</v>
      </c>
      <c r="Y157" s="61" t="s">
        <v>320</v>
      </c>
      <c r="Z157" s="61" t="s">
        <v>319</v>
      </c>
      <c r="AA157" s="61" t="s">
        <v>318</v>
      </c>
      <c r="AB157" s="61" t="s">
        <v>317</v>
      </c>
      <c r="AC157" s="61" t="s">
        <v>321</v>
      </c>
      <c r="AD157" s="61" t="s">
        <v>322</v>
      </c>
      <c r="AE157" s="61" t="s">
        <v>323</v>
      </c>
      <c r="AF157" s="61" t="s">
        <v>324</v>
      </c>
      <c r="AG157" s="61" t="s">
        <v>325</v>
      </c>
      <c r="AH157" s="61" t="s">
        <v>326</v>
      </c>
      <c r="AI157" s="61" t="s">
        <v>327</v>
      </c>
      <c r="AJ157" s="61" t="s">
        <v>328</v>
      </c>
      <c r="AK157" s="61" t="s">
        <v>329</v>
      </c>
      <c r="AL157" s="61" t="s">
        <v>330</v>
      </c>
      <c r="AM157" s="61" t="s">
        <v>331</v>
      </c>
      <c r="AN157" s="61" t="s">
        <v>332</v>
      </c>
      <c r="AO157" s="61" t="s">
        <v>333</v>
      </c>
      <c r="AP157" s="190"/>
      <c r="AQ157" s="66" t="s">
        <v>88</v>
      </c>
      <c r="AR157" s="66" t="s">
        <v>89</v>
      </c>
      <c r="AS157" s="214" t="s">
        <v>320</v>
      </c>
      <c r="AT157" s="214" t="s">
        <v>319</v>
      </c>
      <c r="AU157" s="214" t="s">
        <v>318</v>
      </c>
      <c r="AV157" s="214" t="s">
        <v>317</v>
      </c>
      <c r="AW157" s="214" t="s">
        <v>321</v>
      </c>
      <c r="AX157" s="214" t="s">
        <v>322</v>
      </c>
      <c r="AY157" s="214" t="s">
        <v>323</v>
      </c>
      <c r="AZ157" s="214" t="s">
        <v>324</v>
      </c>
      <c r="BA157" s="214" t="s">
        <v>325</v>
      </c>
      <c r="BB157" s="214" t="s">
        <v>326</v>
      </c>
      <c r="BC157" s="214" t="s">
        <v>327</v>
      </c>
      <c r="BD157" s="214" t="s">
        <v>328</v>
      </c>
      <c r="BE157" s="214" t="s">
        <v>329</v>
      </c>
      <c r="BF157" s="214" t="s">
        <v>330</v>
      </c>
      <c r="BG157" s="214" t="s">
        <v>331</v>
      </c>
      <c r="BH157" s="214" t="s">
        <v>332</v>
      </c>
      <c r="BI157" s="214" t="s">
        <v>333</v>
      </c>
      <c r="BJ157" s="189"/>
      <c r="BK157" s="66" t="s">
        <v>88</v>
      </c>
      <c r="BL157" s="66" t="s">
        <v>89</v>
      </c>
      <c r="BM157" s="122" t="s">
        <v>627</v>
      </c>
      <c r="BN157" s="122" t="s">
        <v>715</v>
      </c>
      <c r="BO157" s="122" t="s">
        <v>628</v>
      </c>
      <c r="BP157" s="122" t="s">
        <v>629</v>
      </c>
      <c r="BQ157" s="122" t="s">
        <v>627</v>
      </c>
      <c r="BR157" s="122" t="s">
        <v>716</v>
      </c>
      <c r="BS157" s="122" t="s">
        <v>717</v>
      </c>
      <c r="BT157" s="122" t="s">
        <v>721</v>
      </c>
      <c r="BU157" s="122" t="s">
        <v>720</v>
      </c>
      <c r="BV157" s="122" t="s">
        <v>719</v>
      </c>
      <c r="BW157" s="122" t="s">
        <v>629</v>
      </c>
      <c r="BX157" s="122" t="s">
        <v>722</v>
      </c>
      <c r="BY157" s="182"/>
      <c r="BZ157" s="192" t="s">
        <v>88</v>
      </c>
      <c r="CA157" s="66" t="s">
        <v>89</v>
      </c>
      <c r="CB157" s="218" t="s">
        <v>124</v>
      </c>
      <c r="CC157" s="218" t="s">
        <v>630</v>
      </c>
      <c r="CD157" s="218" t="s">
        <v>570</v>
      </c>
      <c r="CE157" s="218" t="s">
        <v>124</v>
      </c>
      <c r="CF157" s="218" t="s">
        <v>630</v>
      </c>
      <c r="CG157" s="218" t="s">
        <v>631</v>
      </c>
      <c r="CH157" s="218" t="s">
        <v>632</v>
      </c>
      <c r="CI157" s="227" t="s">
        <v>624</v>
      </c>
      <c r="CJ157" s="227" t="s">
        <v>725</v>
      </c>
      <c r="CK157" s="227" t="s">
        <v>625</v>
      </c>
      <c r="CL157" s="227" t="s">
        <v>626</v>
      </c>
      <c r="CM157" s="218" t="s">
        <v>124</v>
      </c>
      <c r="CN157" s="218" t="s">
        <v>633</v>
      </c>
      <c r="CO157" s="218" t="s">
        <v>634</v>
      </c>
      <c r="CP157" s="218" t="s">
        <v>635</v>
      </c>
      <c r="CQ157" s="218" t="s">
        <v>632</v>
      </c>
      <c r="CR157" s="122" t="s">
        <v>624</v>
      </c>
      <c r="CS157" s="122" t="s">
        <v>726</v>
      </c>
      <c r="CT157" s="122" t="s">
        <v>727</v>
      </c>
      <c r="CU157" s="122" t="s">
        <v>637</v>
      </c>
      <c r="CV157" s="122" t="s">
        <v>638</v>
      </c>
      <c r="CW157" s="122" t="s">
        <v>728</v>
      </c>
      <c r="CX157" s="122" t="s">
        <v>626</v>
      </c>
      <c r="CY157" s="122" t="s">
        <v>729</v>
      </c>
      <c r="CZ157" s="190"/>
      <c r="DA157" s="67" t="s">
        <v>89</v>
      </c>
      <c r="DB157" s="219" t="s">
        <v>91</v>
      </c>
      <c r="DC157" s="219" t="s">
        <v>99</v>
      </c>
      <c r="DD157" s="215" t="s">
        <v>92</v>
      </c>
      <c r="DE157" s="215" t="s">
        <v>97</v>
      </c>
      <c r="DF157" s="215" t="s">
        <v>93</v>
      </c>
      <c r="DG157" s="215" t="s">
        <v>94</v>
      </c>
      <c r="DH157" s="223" t="s">
        <v>96</v>
      </c>
      <c r="DI157" s="223" t="s">
        <v>98</v>
      </c>
      <c r="DJ157" s="219" t="s">
        <v>95</v>
      </c>
      <c r="DK157" s="219" t="s">
        <v>102</v>
      </c>
      <c r="DL157" s="190"/>
      <c r="DM157" s="127"/>
      <c r="DN157" s="127"/>
      <c r="DO157" s="127"/>
      <c r="DP157" s="127"/>
    </row>
    <row r="158" spans="1:120" x14ac:dyDescent="0.25">
      <c r="A158" s="190"/>
      <c r="B158" s="188">
        <v>2011</v>
      </c>
      <c r="C158" s="61" t="s">
        <v>320</v>
      </c>
      <c r="D158" s="172">
        <f>pAsympt_NoCare_2010_2012</f>
        <v>0.63376008575865694</v>
      </c>
      <c r="E158" s="172">
        <f>pAsympt_NoCare_Asympt_InCare_2010_2012</f>
        <v>7.4027434914144222E-2</v>
      </c>
      <c r="F158" s="169">
        <v>0</v>
      </c>
      <c r="G158" s="170">
        <f>pAsympt_NoCare_Asympt_Dead_2010_2012</f>
        <v>1.818504441305463E-2</v>
      </c>
      <c r="H158" s="170">
        <f>pAsympt_NoCare_Int_NoCare_2010_2012</f>
        <v>0.2</v>
      </c>
      <c r="I158" s="172">
        <f>pAsympt_NoCare_Int_InCare_2010_2012</f>
        <v>7.4027434914144222E-2</v>
      </c>
      <c r="J158" s="171">
        <f>pAsympt_NoCare_Int_ART1_2010_2012</f>
        <v>0</v>
      </c>
      <c r="K158" s="169">
        <v>0</v>
      </c>
      <c r="L158" s="169">
        <v>0</v>
      </c>
      <c r="M158" s="169">
        <v>0</v>
      </c>
      <c r="N158" s="169">
        <v>0</v>
      </c>
      <c r="O158" s="169">
        <v>0</v>
      </c>
      <c r="P158" s="169">
        <v>0</v>
      </c>
      <c r="Q158" s="169">
        <v>0</v>
      </c>
      <c r="R158" s="169">
        <v>0</v>
      </c>
      <c r="S158" s="169">
        <v>0</v>
      </c>
      <c r="T158" s="169">
        <v>0</v>
      </c>
      <c r="U158" s="61">
        <f>SUM(D158:T158)</f>
        <v>0.99999999999999989</v>
      </c>
      <c r="V158" s="190"/>
      <c r="W158" s="66">
        <v>0</v>
      </c>
      <c r="X158" s="66">
        <v>2004</v>
      </c>
      <c r="Y158" s="69">
        <v>0</v>
      </c>
      <c r="Z158" s="69">
        <v>0</v>
      </c>
      <c r="AA158" s="69">
        <v>0</v>
      </c>
      <c r="AB158" s="69">
        <v>0</v>
      </c>
      <c r="AC158" s="69">
        <v>0</v>
      </c>
      <c r="AD158" s="69">
        <v>0</v>
      </c>
      <c r="AE158" s="69">
        <v>0</v>
      </c>
      <c r="AF158" s="69">
        <v>0</v>
      </c>
      <c r="AG158" s="69">
        <v>0</v>
      </c>
      <c r="AH158" s="69">
        <v>0</v>
      </c>
      <c r="AI158" s="69">
        <v>0</v>
      </c>
      <c r="AJ158" s="69">
        <v>0</v>
      </c>
      <c r="AK158" s="69">
        <v>0</v>
      </c>
      <c r="AL158" s="69">
        <v>0</v>
      </c>
      <c r="AM158" s="69">
        <v>0</v>
      </c>
      <c r="AN158" s="69">
        <v>0</v>
      </c>
      <c r="AO158" s="69">
        <v>0</v>
      </c>
      <c r="AP158" s="190"/>
      <c r="AQ158" s="66">
        <v>0</v>
      </c>
      <c r="AR158" s="66">
        <v>2004</v>
      </c>
      <c r="AS158" s="215">
        <f t="shared" ref="AS158:AS177" si="1335">Inc_2011*Y158</f>
        <v>0</v>
      </c>
      <c r="AT158" s="215">
        <f t="shared" ref="AT158:AT177" si="1336">Inc_2011*Z158</f>
        <v>0</v>
      </c>
      <c r="AU158" s="215">
        <f t="shared" ref="AU158:AU177" si="1337">Inc_2011*AA158</f>
        <v>0</v>
      </c>
      <c r="AV158" s="215">
        <f t="shared" ref="AV158:AV177" si="1338">Inc_2011*AB158</f>
        <v>0</v>
      </c>
      <c r="AW158" s="215">
        <f t="shared" ref="AW158:AW177" si="1339">Inc_2011*AC158</f>
        <v>0</v>
      </c>
      <c r="AX158" s="215">
        <f t="shared" ref="AX158:AX177" si="1340">Inc_2011*AD158</f>
        <v>0</v>
      </c>
      <c r="AY158" s="215">
        <f t="shared" ref="AY158:AY177" si="1341">Inc_2011*AE158</f>
        <v>0</v>
      </c>
      <c r="AZ158" s="215">
        <f t="shared" ref="AZ158:AZ177" si="1342">Inc_2011*AF158</f>
        <v>0</v>
      </c>
      <c r="BA158" s="215">
        <f t="shared" ref="BA158:BA177" si="1343">Inc_2011*AG158</f>
        <v>0</v>
      </c>
      <c r="BB158" s="215">
        <f t="shared" ref="BB158:BB177" si="1344">Inc_2011*AH158</f>
        <v>0</v>
      </c>
      <c r="BC158" s="215">
        <f t="shared" ref="BC158:BC177" si="1345">Inc_2011*AI158</f>
        <v>0</v>
      </c>
      <c r="BD158" s="215">
        <f t="shared" ref="BD158:BD177" si="1346">Inc_2011*AJ158</f>
        <v>0</v>
      </c>
      <c r="BE158" s="215">
        <f t="shared" ref="BE158:BE177" si="1347">Inc_2011*AK158</f>
        <v>0</v>
      </c>
      <c r="BF158" s="215">
        <f t="shared" ref="BF158:BF177" si="1348">Inc_2011*AL158</f>
        <v>0</v>
      </c>
      <c r="BG158" s="215">
        <f t="shared" ref="BG158:BG177" si="1349">Inc_2011*AM158</f>
        <v>0</v>
      </c>
      <c r="BH158" s="215">
        <f t="shared" ref="BH158:BH177" si="1350">Inc_2011*AN158</f>
        <v>0</v>
      </c>
      <c r="BI158" s="215">
        <f t="shared" ref="BI158:BI177" si="1351">Inc_2011*AO158</f>
        <v>0</v>
      </c>
      <c r="BJ158" s="194"/>
      <c r="BK158" s="66">
        <v>0</v>
      </c>
      <c r="BL158" s="66">
        <v>2004</v>
      </c>
      <c r="BM158" s="215">
        <f>BA158</f>
        <v>0</v>
      </c>
      <c r="BN158" s="219">
        <v>0</v>
      </c>
      <c r="BO158" s="219">
        <v>0</v>
      </c>
      <c r="BP158" s="219">
        <v>0</v>
      </c>
      <c r="BQ158" s="219">
        <f>BH158</f>
        <v>0</v>
      </c>
      <c r="BR158" s="219">
        <v>0</v>
      </c>
      <c r="BS158" s="219">
        <v>0</v>
      </c>
      <c r="BT158" s="219">
        <v>0</v>
      </c>
      <c r="BU158" s="219">
        <v>0</v>
      </c>
      <c r="BV158" s="219">
        <v>0</v>
      </c>
      <c r="BW158" s="219">
        <v>0</v>
      </c>
      <c r="BX158" s="219">
        <v>0</v>
      </c>
      <c r="BY158" s="195"/>
      <c r="BZ158" s="192">
        <v>0</v>
      </c>
      <c r="CA158" s="66">
        <v>2004</v>
      </c>
      <c r="CB158" s="218">
        <v>0</v>
      </c>
      <c r="CC158" s="218">
        <v>0</v>
      </c>
      <c r="CD158" s="218">
        <v>0</v>
      </c>
      <c r="CE158" s="218">
        <v>0</v>
      </c>
      <c r="CF158" s="218">
        <v>0</v>
      </c>
      <c r="CG158" s="218">
        <v>0</v>
      </c>
      <c r="CH158" s="218">
        <v>0</v>
      </c>
      <c r="CI158" s="218">
        <v>0</v>
      </c>
      <c r="CJ158" s="218">
        <v>0</v>
      </c>
      <c r="CK158" s="218">
        <v>0</v>
      </c>
      <c r="CL158" s="218">
        <v>0</v>
      </c>
      <c r="CM158" s="218">
        <v>0</v>
      </c>
      <c r="CN158" s="218">
        <v>0</v>
      </c>
      <c r="CO158" s="218">
        <v>0</v>
      </c>
      <c r="CP158" s="218">
        <v>0</v>
      </c>
      <c r="CQ158" s="218">
        <v>0</v>
      </c>
      <c r="CR158" s="218">
        <v>0</v>
      </c>
      <c r="CS158" s="218">
        <v>0</v>
      </c>
      <c r="CT158" s="218">
        <v>0</v>
      </c>
      <c r="CU158" s="218">
        <v>0</v>
      </c>
      <c r="CV158" s="218">
        <v>0</v>
      </c>
      <c r="CW158" s="218">
        <v>0</v>
      </c>
      <c r="CX158" s="218">
        <v>0</v>
      </c>
      <c r="CY158" s="218">
        <v>0</v>
      </c>
      <c r="CZ158" s="190"/>
      <c r="DA158" s="67">
        <v>2004</v>
      </c>
      <c r="DB158" s="218">
        <f t="shared" ref="DB158:DB177" si="1352">SUM(AT158,AX158,BD158)</f>
        <v>0</v>
      </c>
      <c r="DC158" s="218">
        <f t="shared" ref="DC158:DC177" si="1353">SUM(AS158:AU158,AW158:BA158,BC158:BH158)</f>
        <v>0</v>
      </c>
      <c r="DD158" s="73">
        <f t="shared" ref="DD158:DD177" si="1354">SUM(AY158:AZ158,BE158:BG158)</f>
        <v>0</v>
      </c>
      <c r="DE158" s="73">
        <f t="shared" ref="DE158:DE177" si="1355">SUM(BE158:BG158)</f>
        <v>0</v>
      </c>
      <c r="DF158" s="73">
        <f t="shared" ref="DF158:DF177" si="1356">SUM(BC158,BD158,BH158)</f>
        <v>0</v>
      </c>
      <c r="DG158" s="73">
        <f t="shared" ref="DG158:DG177" si="1357">SUM(BC158,BD158,BH158,AW158,AX158,BA158)</f>
        <v>0</v>
      </c>
      <c r="DH158" s="72" t="e">
        <f>DD158/(DD158+DG158)</f>
        <v>#DIV/0!</v>
      </c>
      <c r="DI158" s="72" t="e">
        <f>DE158/(DE158+DF158)</f>
        <v>#DIV/0!</v>
      </c>
      <c r="DJ158" s="73">
        <f>SUM(AV158,BB158,BI158)</f>
        <v>0</v>
      </c>
      <c r="DK158" s="73">
        <v>0</v>
      </c>
      <c r="DL158" s="190"/>
    </row>
    <row r="159" spans="1:120" x14ac:dyDescent="0.25">
      <c r="A159" s="190"/>
      <c r="B159" s="188">
        <v>2011</v>
      </c>
      <c r="C159" s="61" t="s">
        <v>319</v>
      </c>
      <c r="D159" s="169">
        <v>0</v>
      </c>
      <c r="E159" s="172">
        <f>pAsympt_InCare_2004_2012</f>
        <v>0.43814160225821164</v>
      </c>
      <c r="F159" s="170">
        <f>pAsympt_InCare_Asympt_LTFU_2004_2012</f>
        <v>0.30679530417926698</v>
      </c>
      <c r="G159" s="170">
        <f>pAsympt_InCare_Asympt_Dead_2004_2012</f>
        <v>1.7063093562521336E-2</v>
      </c>
      <c r="H159" s="169">
        <v>0</v>
      </c>
      <c r="I159" s="170">
        <f>pAsympt_InCare_Int_InCare_2004_2012</f>
        <v>0.2</v>
      </c>
      <c r="J159" s="170">
        <f>pAsympt_InCare_Int_ART1_2004_2012</f>
        <v>3.7999999999999999E-2</v>
      </c>
      <c r="K159" s="169">
        <v>0</v>
      </c>
      <c r="L159" s="169">
        <v>0</v>
      </c>
      <c r="M159" s="169">
        <v>0</v>
      </c>
      <c r="N159" s="169">
        <v>0</v>
      </c>
      <c r="O159" s="169">
        <v>0</v>
      </c>
      <c r="P159" s="169">
        <v>0</v>
      </c>
      <c r="Q159" s="169">
        <v>0</v>
      </c>
      <c r="R159" s="169">
        <v>0</v>
      </c>
      <c r="S159" s="169">
        <v>0</v>
      </c>
      <c r="T159" s="169">
        <v>0</v>
      </c>
      <c r="U159" s="61">
        <f t="shared" ref="U159:U174" si="1358">SUM(D159:T159)</f>
        <v>1</v>
      </c>
      <c r="V159" s="190"/>
      <c r="W159" s="66">
        <v>1</v>
      </c>
      <c r="X159" s="66">
        <v>2005</v>
      </c>
      <c r="Y159" s="69">
        <v>0</v>
      </c>
      <c r="Z159" s="69">
        <v>0</v>
      </c>
      <c r="AA159" s="69">
        <v>0</v>
      </c>
      <c r="AB159" s="69">
        <v>0</v>
      </c>
      <c r="AC159" s="69">
        <v>0</v>
      </c>
      <c r="AD159" s="69">
        <v>0</v>
      </c>
      <c r="AE159" s="69">
        <v>0</v>
      </c>
      <c r="AF159" s="69">
        <v>0</v>
      </c>
      <c r="AG159" s="69">
        <v>0</v>
      </c>
      <c r="AH159" s="69">
        <v>0</v>
      </c>
      <c r="AI159" s="69">
        <v>0</v>
      </c>
      <c r="AJ159" s="69">
        <v>0</v>
      </c>
      <c r="AK159" s="69">
        <v>0</v>
      </c>
      <c r="AL159" s="69">
        <v>0</v>
      </c>
      <c r="AM159" s="69">
        <v>0</v>
      </c>
      <c r="AN159" s="69">
        <v>0</v>
      </c>
      <c r="AO159" s="69">
        <v>0</v>
      </c>
      <c r="AP159" s="190"/>
      <c r="AQ159" s="66">
        <v>1</v>
      </c>
      <c r="AR159" s="66">
        <v>2005</v>
      </c>
      <c r="AS159" s="215">
        <f t="shared" si="1335"/>
        <v>0</v>
      </c>
      <c r="AT159" s="215">
        <f t="shared" si="1336"/>
        <v>0</v>
      </c>
      <c r="AU159" s="215">
        <f t="shared" si="1337"/>
        <v>0</v>
      </c>
      <c r="AV159" s="215">
        <f t="shared" si="1338"/>
        <v>0</v>
      </c>
      <c r="AW159" s="215">
        <f t="shared" si="1339"/>
        <v>0</v>
      </c>
      <c r="AX159" s="215">
        <f t="shared" si="1340"/>
        <v>0</v>
      </c>
      <c r="AY159" s="215">
        <f t="shared" si="1341"/>
        <v>0</v>
      </c>
      <c r="AZ159" s="215">
        <f t="shared" si="1342"/>
        <v>0</v>
      </c>
      <c r="BA159" s="215">
        <f t="shared" si="1343"/>
        <v>0</v>
      </c>
      <c r="BB159" s="215">
        <f t="shared" si="1344"/>
        <v>0</v>
      </c>
      <c r="BC159" s="215">
        <f t="shared" si="1345"/>
        <v>0</v>
      </c>
      <c r="BD159" s="215">
        <f t="shared" si="1346"/>
        <v>0</v>
      </c>
      <c r="BE159" s="215">
        <f t="shared" si="1347"/>
        <v>0</v>
      </c>
      <c r="BF159" s="215">
        <f t="shared" si="1348"/>
        <v>0</v>
      </c>
      <c r="BG159" s="215">
        <f t="shared" si="1349"/>
        <v>0</v>
      </c>
      <c r="BH159" s="215">
        <f t="shared" si="1350"/>
        <v>0</v>
      </c>
      <c r="BI159" s="215">
        <f t="shared" si="1351"/>
        <v>0</v>
      </c>
      <c r="BJ159" s="194"/>
      <c r="BK159" s="66">
        <v>1</v>
      </c>
      <c r="BL159" s="66">
        <v>2005</v>
      </c>
      <c r="BM159" s="215">
        <f t="shared" ref="BM159:BM166" si="1359">(AX158*pInt_InCare_Int_LTFU_2004_2012)+(BM158*pInt_LTFU_2004_2012)</f>
        <v>0</v>
      </c>
      <c r="BN159" s="219">
        <f t="shared" ref="BN159:BN166" si="1360">(AU158*pAsympt_LTFU_Int_LTFU_2004_2012)+(BN158*pInt_LTFU_2004_2012)</f>
        <v>0</v>
      </c>
      <c r="BO159" s="219">
        <f t="shared" ref="BO159:BO166" si="1361">(AY158*pInt_ART1_Int_LTFU_2004_2012)+(BO158*pInt_LTFU_2004_2012)</f>
        <v>0</v>
      </c>
      <c r="BP159" s="219">
        <v>0</v>
      </c>
      <c r="BQ159" s="219">
        <f t="shared" ref="BQ159:BQ166" si="1362">(BD158*pAIDS_InCare_AIDS_LTFU_2004_2012)+(BQ158*pAIDS_LTFU_2004_2012)</f>
        <v>0</v>
      </c>
      <c r="BR159" s="220">
        <f>(BN158*pInt_LTFU_AIDS_LTFU_2004_2012)</f>
        <v>0</v>
      </c>
      <c r="BS159" s="219">
        <f>(BM158*pInt_LTFU_AIDS_LTFU_2004_2012)</f>
        <v>0</v>
      </c>
      <c r="BT159" s="219">
        <f>(BE158*pAIDS_ART1ear_AIDS_LTFU_2004_2012)</f>
        <v>0</v>
      </c>
      <c r="BU159" s="219">
        <f>(BF158*pAIDS_ART1late_AIDS_LTFU_2004_2012)</f>
        <v>0</v>
      </c>
      <c r="BV159" s="219">
        <f>(BO158*pInt_LTFU_AIDS_LTFU_2004_2012)</f>
        <v>0</v>
      </c>
      <c r="BW159" s="219">
        <f>(BG158*pAIDS_ART2_AIDS_LTFU_2004_2012)</f>
        <v>0</v>
      </c>
      <c r="BX159" s="220">
        <f>(BP158*pInt_LTFU_AIDS_LTFU_2004_2012)</f>
        <v>0</v>
      </c>
      <c r="BY159" s="195"/>
      <c r="BZ159" s="192">
        <v>1</v>
      </c>
      <c r="CA159" s="66">
        <v>2005</v>
      </c>
      <c r="CB159" s="218">
        <f>pAsympt_NoCare_Asympt_Dead_2004_2006*AS158</f>
        <v>0</v>
      </c>
      <c r="CC159" s="218">
        <f t="shared" ref="CC159:CC166" si="1363">pAsympt_InCare_Asympt_Dead_2004_2012*AT158</f>
        <v>0</v>
      </c>
      <c r="CD159" s="73">
        <f t="shared" ref="CD159:CD166" si="1364">pAsympt_LTFU_Asympt_Dead_2004_2012*AU158</f>
        <v>0</v>
      </c>
      <c r="CE159" s="73">
        <f>pInt_NoCare_Int_Dead_2004_2006*AW158</f>
        <v>0</v>
      </c>
      <c r="CF159" s="73">
        <f t="shared" ref="CF159:CF166" si="1365">pInt_InCare_Int_Dead_2004_2012*AX158</f>
        <v>0</v>
      </c>
      <c r="CG159" s="73">
        <f t="shared" ref="CG159:CG166" si="1366">pInt_ART1_Int_Dead_2004_2012*AY158</f>
        <v>0</v>
      </c>
      <c r="CH159" s="73">
        <f t="shared" ref="CH159:CH166" si="1367">pInt_ART2_Int_Dead_2004_2012*AZ158</f>
        <v>0</v>
      </c>
      <c r="CI159" s="73">
        <f t="shared" ref="CI159:CI166" si="1368">(BM158*pInt_LTFU_Int_Dead_2004_2012)</f>
        <v>0</v>
      </c>
      <c r="CJ159" s="73">
        <f t="shared" ref="CJ159:CJ166" si="1369">(BN158*pInt_LTFU_Int_Dead_2004_2012)</f>
        <v>0</v>
      </c>
      <c r="CK159" s="73">
        <f t="shared" ref="CK159:CK166" si="1370">(BO158*pInt_LTFU_Int_Dead_2004_2012)</f>
        <v>0</v>
      </c>
      <c r="CL159" s="73">
        <f t="shared" ref="CL159:CL166" si="1371">(BP158*pInt_LTFU_Int_Dead_2004_2012)</f>
        <v>0</v>
      </c>
      <c r="CM159" s="73">
        <f t="shared" ref="CM159:CM160" si="1372">pAIDS_NoCare_AIDS_Dead_2004_2006*BC158</f>
        <v>0</v>
      </c>
      <c r="CN159" s="73">
        <f t="shared" ref="CN159:CN166" si="1373">pAIDS_InCare_AIDS_Dead_2004_2012*BD158</f>
        <v>0</v>
      </c>
      <c r="CO159" s="73">
        <f t="shared" ref="CO159:CO166" si="1374">pAIDS_ART1ear_AIDS_Dead_2004_2012*BE158</f>
        <v>0</v>
      </c>
      <c r="CP159" s="73">
        <f t="shared" ref="CP159:CP166" si="1375">pAIDS_ART1late_AIDS_Dead_2004_2012*BF158</f>
        <v>0</v>
      </c>
      <c r="CQ159" s="73">
        <f t="shared" ref="CQ159:CQ166" si="1376">pAIDS_ART2_AIDS_Dead_2004_2012*BG158</f>
        <v>0</v>
      </c>
      <c r="CR159" s="73">
        <f t="shared" ref="CR159:CR166" si="1377">(BQ158*pAIDS_LTFU_AIDS_Dead_2004_2012)</f>
        <v>0</v>
      </c>
      <c r="CS159" s="73">
        <f t="shared" ref="CS159:CS166" si="1378">(BR158*pAIDS_LTFU_AIDS_Dead_2004_2012)</f>
        <v>0</v>
      </c>
      <c r="CT159" s="73">
        <f t="shared" ref="CT159:CT166" si="1379">(BS158*pAIDS_LTFU_AIDS_Dead_2004_2012)</f>
        <v>0</v>
      </c>
      <c r="CU159" s="73">
        <f t="shared" ref="CU159:CU166" si="1380">(BT158*pAIDS_LTFU_AIDS_Dead_2004_2012)</f>
        <v>0</v>
      </c>
      <c r="CV159" s="73">
        <f t="shared" ref="CV159:CV166" si="1381">(BU158*pAIDS_LTFU_AIDS_Dead_2004_2012)</f>
        <v>0</v>
      </c>
      <c r="CW159" s="73">
        <f t="shared" ref="CW159:CW166" si="1382">(BV158*pAIDS_LTFU_AIDS_Dead_2004_2012)</f>
        <v>0</v>
      </c>
      <c r="CX159" s="73">
        <f t="shared" ref="CX159:CX166" si="1383">(BW158*pAIDS_LTFU_AIDS_Dead_2004_2012)</f>
        <v>0</v>
      </c>
      <c r="CY159" s="73">
        <f t="shared" ref="CY159:CY166" si="1384">(BX158*pAIDS_LTFU_AIDS_Dead_2004_2012)</f>
        <v>0</v>
      </c>
      <c r="CZ159" s="190"/>
      <c r="DA159" s="67">
        <v>2005</v>
      </c>
      <c r="DB159" s="218">
        <f t="shared" si="1352"/>
        <v>0</v>
      </c>
      <c r="DC159" s="218">
        <f t="shared" si="1353"/>
        <v>0</v>
      </c>
      <c r="DD159" s="73">
        <f t="shared" si="1354"/>
        <v>0</v>
      </c>
      <c r="DE159" s="73">
        <f t="shared" si="1355"/>
        <v>0</v>
      </c>
      <c r="DF159" s="73">
        <f t="shared" si="1356"/>
        <v>0</v>
      </c>
      <c r="DG159" s="73">
        <f t="shared" si="1357"/>
        <v>0</v>
      </c>
      <c r="DH159" s="72" t="e">
        <f t="shared" ref="DH159:DH177" si="1385">DD159/(DD159+DG159)</f>
        <v>#DIV/0!</v>
      </c>
      <c r="DI159" s="72" t="e">
        <f t="shared" ref="DI159:DI177" si="1386">DE159/(DE159+DF159)</f>
        <v>#DIV/0!</v>
      </c>
      <c r="DJ159" s="73">
        <f>SUM(AV158:AV159,BB158:BB159,BI158:BI159)</f>
        <v>0</v>
      </c>
      <c r="DK159" s="73">
        <v>0</v>
      </c>
      <c r="DL159" s="190"/>
    </row>
    <row r="160" spans="1:120" x14ac:dyDescent="0.25">
      <c r="A160" s="190"/>
      <c r="B160" s="188">
        <v>2011</v>
      </c>
      <c r="C160" s="61" t="s">
        <v>318</v>
      </c>
      <c r="D160" s="169">
        <v>0</v>
      </c>
      <c r="E160" s="169">
        <v>0</v>
      </c>
      <c r="F160" s="172">
        <f>pAsympt_LTFU_2004_2012</f>
        <v>0.66061495558694538</v>
      </c>
      <c r="G160" s="170">
        <f>pAsympt_LTFU_Asympt_Dead_2004_2012</f>
        <v>1.818504441305463E-2</v>
      </c>
      <c r="H160" s="169">
        <v>0</v>
      </c>
      <c r="I160" s="169">
        <v>0</v>
      </c>
      <c r="J160" s="171">
        <f>pAsympt_LTFU_Int_ART1_2004_2012</f>
        <v>0.1212</v>
      </c>
      <c r="K160" s="169">
        <v>0</v>
      </c>
      <c r="L160" s="170">
        <f>pAsympt_LTFU_Int_LTFU_2004_2012</f>
        <v>0.2</v>
      </c>
      <c r="M160" s="169">
        <v>0</v>
      </c>
      <c r="N160" s="169">
        <v>0</v>
      </c>
      <c r="O160" s="169">
        <v>0</v>
      </c>
      <c r="P160" s="169">
        <v>0</v>
      </c>
      <c r="Q160" s="169">
        <v>0</v>
      </c>
      <c r="R160" s="169">
        <v>0</v>
      </c>
      <c r="S160" s="169">
        <v>0</v>
      </c>
      <c r="T160" s="169">
        <v>0</v>
      </c>
      <c r="U160" s="61">
        <f t="shared" si="1358"/>
        <v>1</v>
      </c>
      <c r="V160" s="190"/>
      <c r="W160" s="66">
        <v>2</v>
      </c>
      <c r="X160" s="66">
        <v>2006</v>
      </c>
      <c r="Y160" s="69">
        <v>0</v>
      </c>
      <c r="Z160" s="69">
        <v>0</v>
      </c>
      <c r="AA160" s="69">
        <v>0</v>
      </c>
      <c r="AB160" s="69">
        <v>0</v>
      </c>
      <c r="AC160" s="69">
        <v>0</v>
      </c>
      <c r="AD160" s="69">
        <v>0</v>
      </c>
      <c r="AE160" s="69">
        <v>0</v>
      </c>
      <c r="AF160" s="69">
        <v>0</v>
      </c>
      <c r="AG160" s="69">
        <v>0</v>
      </c>
      <c r="AH160" s="69">
        <v>0</v>
      </c>
      <c r="AI160" s="69">
        <v>0</v>
      </c>
      <c r="AJ160" s="69">
        <v>0</v>
      </c>
      <c r="AK160" s="69">
        <v>0</v>
      </c>
      <c r="AL160" s="69">
        <v>0</v>
      </c>
      <c r="AM160" s="69">
        <v>0</v>
      </c>
      <c r="AN160" s="69">
        <v>0</v>
      </c>
      <c r="AO160" s="69">
        <v>0</v>
      </c>
      <c r="AP160" s="190"/>
      <c r="AQ160" s="66">
        <v>2</v>
      </c>
      <c r="AR160" s="66">
        <v>2006</v>
      </c>
      <c r="AS160" s="215">
        <f t="shared" si="1335"/>
        <v>0</v>
      </c>
      <c r="AT160" s="215">
        <f t="shared" si="1336"/>
        <v>0</v>
      </c>
      <c r="AU160" s="215">
        <f t="shared" si="1337"/>
        <v>0</v>
      </c>
      <c r="AV160" s="215">
        <f t="shared" si="1338"/>
        <v>0</v>
      </c>
      <c r="AW160" s="215">
        <f t="shared" si="1339"/>
        <v>0</v>
      </c>
      <c r="AX160" s="215">
        <f t="shared" si="1340"/>
        <v>0</v>
      </c>
      <c r="AY160" s="215">
        <f t="shared" si="1341"/>
        <v>0</v>
      </c>
      <c r="AZ160" s="215">
        <f t="shared" si="1342"/>
        <v>0</v>
      </c>
      <c r="BA160" s="215">
        <f t="shared" si="1343"/>
        <v>0</v>
      </c>
      <c r="BB160" s="215">
        <f t="shared" si="1344"/>
        <v>0</v>
      </c>
      <c r="BC160" s="215">
        <f t="shared" si="1345"/>
        <v>0</v>
      </c>
      <c r="BD160" s="215">
        <f t="shared" si="1346"/>
        <v>0</v>
      </c>
      <c r="BE160" s="215">
        <f t="shared" si="1347"/>
        <v>0</v>
      </c>
      <c r="BF160" s="215">
        <f t="shared" si="1348"/>
        <v>0</v>
      </c>
      <c r="BG160" s="215">
        <f t="shared" si="1349"/>
        <v>0</v>
      </c>
      <c r="BH160" s="215">
        <f t="shared" si="1350"/>
        <v>0</v>
      </c>
      <c r="BI160" s="215">
        <f t="shared" si="1351"/>
        <v>0</v>
      </c>
      <c r="BJ160" s="194"/>
      <c r="BK160" s="66">
        <v>2</v>
      </c>
      <c r="BL160" s="66">
        <v>2006</v>
      </c>
      <c r="BM160" s="215">
        <f t="shared" si="1359"/>
        <v>0</v>
      </c>
      <c r="BN160" s="219">
        <f t="shared" si="1360"/>
        <v>0</v>
      </c>
      <c r="BO160" s="219">
        <f t="shared" si="1361"/>
        <v>0</v>
      </c>
      <c r="BP160" s="219">
        <f t="shared" ref="BP160:BP166" si="1387">(AZ159*pInt_ART2_Int_LTFU_2004_2012)+(BP159*pInt_LTFU_2004_2012)</f>
        <v>0</v>
      </c>
      <c r="BQ160" s="219">
        <f t="shared" si="1362"/>
        <v>0</v>
      </c>
      <c r="BR160" s="220">
        <f t="shared" ref="BR160:BR166" si="1388">(BN159*pInt_LTFU_AIDS_LTFU_2004_2012)+(BR159*pAIDS_LTFU_2004_2012)</f>
        <v>0</v>
      </c>
      <c r="BS160" s="219">
        <f t="shared" ref="BS160:BS166" si="1389">(BM159*pInt_LTFU_AIDS_LTFU_2004_2012)+(BS159*pAIDS_LTFU_2004_2012)</f>
        <v>0</v>
      </c>
      <c r="BT160" s="219">
        <f t="shared" ref="BT160:BT166" si="1390">(BE159*pAIDS_ART1ear_AIDS_LTFU_2004_2012)+(BT159*pAIDS_LTFU_2004_2012)</f>
        <v>0</v>
      </c>
      <c r="BU160" s="219">
        <f t="shared" ref="BU160:BU166" si="1391">(BF159*pAIDS_ART1late_AIDS_LTFU_2004_2012)+(BU159*pAIDS_LTFU_2004_2012)</f>
        <v>0</v>
      </c>
      <c r="BV160" s="219">
        <f t="shared" ref="BV160:BV166" si="1392">(BO159*pInt_LTFU_AIDS_LTFU_2004_2012)+(BV159*pAIDS_LTFU_2004_2012)</f>
        <v>0</v>
      </c>
      <c r="BW160" s="219">
        <f t="shared" ref="BW160:BW166" si="1393">(BG159*pAIDS_ART2_AIDS_LTFU_2004_2012)+(BW159*pAIDS_LTFU_2004_2012)</f>
        <v>0</v>
      </c>
      <c r="BX160" s="220">
        <f t="shared" ref="BX160:BX166" si="1394">(BP159*pInt_LTFU_AIDS_LTFU_2004_2012)+(BX159*pAIDS_LTFU_2004_2012)</f>
        <v>0</v>
      </c>
      <c r="BY160" s="195"/>
      <c r="BZ160" s="192">
        <v>2</v>
      </c>
      <c r="CA160" s="66">
        <v>2006</v>
      </c>
      <c r="CB160" s="218">
        <f>pAsympt_NoCare_Asympt_Dead_2004_2006*AS159</f>
        <v>0</v>
      </c>
      <c r="CC160" s="218">
        <f t="shared" si="1363"/>
        <v>0</v>
      </c>
      <c r="CD160" s="73">
        <f t="shared" si="1364"/>
        <v>0</v>
      </c>
      <c r="CE160" s="73">
        <f>pInt_NoCare_Int_Dead_2004_2006*AW159</f>
        <v>0</v>
      </c>
      <c r="CF160" s="73">
        <f t="shared" si="1365"/>
        <v>0</v>
      </c>
      <c r="CG160" s="73">
        <f t="shared" si="1366"/>
        <v>0</v>
      </c>
      <c r="CH160" s="73">
        <f t="shared" si="1367"/>
        <v>0</v>
      </c>
      <c r="CI160" s="73">
        <f t="shared" si="1368"/>
        <v>0</v>
      </c>
      <c r="CJ160" s="73">
        <f t="shared" si="1369"/>
        <v>0</v>
      </c>
      <c r="CK160" s="73">
        <f t="shared" si="1370"/>
        <v>0</v>
      </c>
      <c r="CL160" s="73">
        <f t="shared" si="1371"/>
        <v>0</v>
      </c>
      <c r="CM160" s="73">
        <f t="shared" si="1372"/>
        <v>0</v>
      </c>
      <c r="CN160" s="73">
        <f t="shared" si="1373"/>
        <v>0</v>
      </c>
      <c r="CO160" s="73">
        <f t="shared" si="1374"/>
        <v>0</v>
      </c>
      <c r="CP160" s="73">
        <f t="shared" si="1375"/>
        <v>0</v>
      </c>
      <c r="CQ160" s="73">
        <f t="shared" si="1376"/>
        <v>0</v>
      </c>
      <c r="CR160" s="73">
        <f t="shared" si="1377"/>
        <v>0</v>
      </c>
      <c r="CS160" s="73">
        <f t="shared" si="1378"/>
        <v>0</v>
      </c>
      <c r="CT160" s="73">
        <f t="shared" si="1379"/>
        <v>0</v>
      </c>
      <c r="CU160" s="73">
        <f t="shared" si="1380"/>
        <v>0</v>
      </c>
      <c r="CV160" s="73">
        <f t="shared" si="1381"/>
        <v>0</v>
      </c>
      <c r="CW160" s="73">
        <f t="shared" si="1382"/>
        <v>0</v>
      </c>
      <c r="CX160" s="73">
        <f t="shared" si="1383"/>
        <v>0</v>
      </c>
      <c r="CY160" s="73">
        <f t="shared" si="1384"/>
        <v>0</v>
      </c>
      <c r="CZ160" s="190"/>
      <c r="DA160" s="66">
        <v>2006</v>
      </c>
      <c r="DB160" s="218">
        <f t="shared" si="1352"/>
        <v>0</v>
      </c>
      <c r="DC160" s="218">
        <f t="shared" si="1353"/>
        <v>0</v>
      </c>
      <c r="DD160" s="73">
        <f t="shared" si="1354"/>
        <v>0</v>
      </c>
      <c r="DE160" s="73">
        <f t="shared" si="1355"/>
        <v>0</v>
      </c>
      <c r="DF160" s="73">
        <f t="shared" si="1356"/>
        <v>0</v>
      </c>
      <c r="DG160" s="73">
        <f t="shared" si="1357"/>
        <v>0</v>
      </c>
      <c r="DH160" s="72" t="e">
        <f t="shared" si="1385"/>
        <v>#DIV/0!</v>
      </c>
      <c r="DI160" s="72" t="e">
        <f t="shared" si="1386"/>
        <v>#DIV/0!</v>
      </c>
      <c r="DJ160" s="73">
        <f>SUM(AV158:AV160,BB158:BB160,BI158:BI160)</f>
        <v>0</v>
      </c>
      <c r="DK160" s="73">
        <v>0</v>
      </c>
      <c r="DL160" s="190"/>
    </row>
    <row r="161" spans="1:120" x14ac:dyDescent="0.25">
      <c r="A161" s="190"/>
      <c r="B161" s="188">
        <v>2011</v>
      </c>
      <c r="C161" s="61" t="s">
        <v>317</v>
      </c>
      <c r="D161" s="169">
        <v>0</v>
      </c>
      <c r="E161" s="169">
        <v>0</v>
      </c>
      <c r="F161" s="169">
        <v>0</v>
      </c>
      <c r="G161" s="169">
        <v>0</v>
      </c>
      <c r="H161" s="169">
        <v>0</v>
      </c>
      <c r="I161" s="169">
        <v>0</v>
      </c>
      <c r="J161" s="169">
        <v>0</v>
      </c>
      <c r="K161" s="169">
        <v>0</v>
      </c>
      <c r="L161" s="169">
        <v>0</v>
      </c>
      <c r="M161" s="169">
        <v>0</v>
      </c>
      <c r="N161" s="169">
        <v>0</v>
      </c>
      <c r="O161" s="169">
        <v>0</v>
      </c>
      <c r="P161" s="169">
        <v>0</v>
      </c>
      <c r="Q161" s="169">
        <v>0</v>
      </c>
      <c r="R161" s="169">
        <v>0</v>
      </c>
      <c r="S161" s="169">
        <v>0</v>
      </c>
      <c r="T161" s="169">
        <v>0</v>
      </c>
      <c r="U161" s="61">
        <f t="shared" si="1358"/>
        <v>0</v>
      </c>
      <c r="V161" s="190"/>
      <c r="W161" s="66">
        <v>3</v>
      </c>
      <c r="X161" s="66">
        <v>2007</v>
      </c>
      <c r="Y161" s="69">
        <v>0</v>
      </c>
      <c r="Z161" s="69">
        <v>0</v>
      </c>
      <c r="AA161" s="69">
        <v>0</v>
      </c>
      <c r="AB161" s="69">
        <v>0</v>
      </c>
      <c r="AC161" s="69">
        <v>0</v>
      </c>
      <c r="AD161" s="69">
        <v>0</v>
      </c>
      <c r="AE161" s="69">
        <v>0</v>
      </c>
      <c r="AF161" s="69">
        <v>0</v>
      </c>
      <c r="AG161" s="69">
        <v>0</v>
      </c>
      <c r="AH161" s="69">
        <v>0</v>
      </c>
      <c r="AI161" s="69">
        <v>0</v>
      </c>
      <c r="AJ161" s="69">
        <v>0</v>
      </c>
      <c r="AK161" s="69">
        <v>0</v>
      </c>
      <c r="AL161" s="69">
        <v>0</v>
      </c>
      <c r="AM161" s="69">
        <v>0</v>
      </c>
      <c r="AN161" s="69">
        <v>0</v>
      </c>
      <c r="AO161" s="69">
        <v>0</v>
      </c>
      <c r="AP161" s="190"/>
      <c r="AQ161" s="66">
        <v>3</v>
      </c>
      <c r="AR161" s="66">
        <v>2007</v>
      </c>
      <c r="AS161" s="215">
        <f t="shared" si="1335"/>
        <v>0</v>
      </c>
      <c r="AT161" s="215">
        <f t="shared" si="1336"/>
        <v>0</v>
      </c>
      <c r="AU161" s="215">
        <f t="shared" si="1337"/>
        <v>0</v>
      </c>
      <c r="AV161" s="215">
        <f t="shared" si="1338"/>
        <v>0</v>
      </c>
      <c r="AW161" s="215">
        <f t="shared" si="1339"/>
        <v>0</v>
      </c>
      <c r="AX161" s="215">
        <f t="shared" si="1340"/>
        <v>0</v>
      </c>
      <c r="AY161" s="215">
        <f t="shared" si="1341"/>
        <v>0</v>
      </c>
      <c r="AZ161" s="215">
        <f t="shared" si="1342"/>
        <v>0</v>
      </c>
      <c r="BA161" s="215">
        <f t="shared" si="1343"/>
        <v>0</v>
      </c>
      <c r="BB161" s="215">
        <f t="shared" si="1344"/>
        <v>0</v>
      </c>
      <c r="BC161" s="215">
        <f t="shared" si="1345"/>
        <v>0</v>
      </c>
      <c r="BD161" s="215">
        <f t="shared" si="1346"/>
        <v>0</v>
      </c>
      <c r="BE161" s="215">
        <f t="shared" si="1347"/>
        <v>0</v>
      </c>
      <c r="BF161" s="215">
        <f t="shared" si="1348"/>
        <v>0</v>
      </c>
      <c r="BG161" s="215">
        <f t="shared" si="1349"/>
        <v>0</v>
      </c>
      <c r="BH161" s="215">
        <f t="shared" si="1350"/>
        <v>0</v>
      </c>
      <c r="BI161" s="215">
        <f t="shared" si="1351"/>
        <v>0</v>
      </c>
      <c r="BJ161" s="194"/>
      <c r="BK161" s="66">
        <v>3</v>
      </c>
      <c r="BL161" s="66">
        <v>2007</v>
      </c>
      <c r="BM161" s="215">
        <f t="shared" si="1359"/>
        <v>0</v>
      </c>
      <c r="BN161" s="219">
        <f t="shared" si="1360"/>
        <v>0</v>
      </c>
      <c r="BO161" s="219">
        <f t="shared" si="1361"/>
        <v>0</v>
      </c>
      <c r="BP161" s="219">
        <f t="shared" si="1387"/>
        <v>0</v>
      </c>
      <c r="BQ161" s="219">
        <f t="shared" si="1362"/>
        <v>0</v>
      </c>
      <c r="BR161" s="220">
        <f t="shared" si="1388"/>
        <v>0</v>
      </c>
      <c r="BS161" s="219">
        <f t="shared" si="1389"/>
        <v>0</v>
      </c>
      <c r="BT161" s="219">
        <f t="shared" si="1390"/>
        <v>0</v>
      </c>
      <c r="BU161" s="219">
        <f t="shared" si="1391"/>
        <v>0</v>
      </c>
      <c r="BV161" s="219">
        <f t="shared" si="1392"/>
        <v>0</v>
      </c>
      <c r="BW161" s="219">
        <f t="shared" si="1393"/>
        <v>0</v>
      </c>
      <c r="BX161" s="220">
        <f t="shared" si="1394"/>
        <v>0</v>
      </c>
      <c r="BY161" s="195"/>
      <c r="BZ161" s="192">
        <v>3</v>
      </c>
      <c r="CA161" s="66">
        <v>2007</v>
      </c>
      <c r="CB161" s="218">
        <f>pAsympt_NoCare_Asympt_Dead_2007_2009*AS160</f>
        <v>0</v>
      </c>
      <c r="CC161" s="218">
        <f t="shared" si="1363"/>
        <v>0</v>
      </c>
      <c r="CD161" s="73">
        <f t="shared" si="1364"/>
        <v>0</v>
      </c>
      <c r="CE161" s="73">
        <f>pInt_NoCare_Int_Dead_2007_2009*AW160</f>
        <v>0</v>
      </c>
      <c r="CF161" s="73">
        <f t="shared" si="1365"/>
        <v>0</v>
      </c>
      <c r="CG161" s="73">
        <f t="shared" si="1366"/>
        <v>0</v>
      </c>
      <c r="CH161" s="73">
        <f t="shared" si="1367"/>
        <v>0</v>
      </c>
      <c r="CI161" s="73">
        <f t="shared" si="1368"/>
        <v>0</v>
      </c>
      <c r="CJ161" s="73">
        <f t="shared" si="1369"/>
        <v>0</v>
      </c>
      <c r="CK161" s="73">
        <f t="shared" si="1370"/>
        <v>0</v>
      </c>
      <c r="CL161" s="73">
        <f t="shared" si="1371"/>
        <v>0</v>
      </c>
      <c r="CM161" s="73">
        <f>pAIDS_NoCare_AIDS_Dead_2007_2009*BC160</f>
        <v>0</v>
      </c>
      <c r="CN161" s="73">
        <f t="shared" si="1373"/>
        <v>0</v>
      </c>
      <c r="CO161" s="73">
        <f t="shared" si="1374"/>
        <v>0</v>
      </c>
      <c r="CP161" s="73">
        <f t="shared" si="1375"/>
        <v>0</v>
      </c>
      <c r="CQ161" s="73">
        <f t="shared" si="1376"/>
        <v>0</v>
      </c>
      <c r="CR161" s="73">
        <f t="shared" si="1377"/>
        <v>0</v>
      </c>
      <c r="CS161" s="73">
        <f t="shared" si="1378"/>
        <v>0</v>
      </c>
      <c r="CT161" s="73">
        <f t="shared" si="1379"/>
        <v>0</v>
      </c>
      <c r="CU161" s="73">
        <f t="shared" si="1380"/>
        <v>0</v>
      </c>
      <c r="CV161" s="73">
        <f t="shared" si="1381"/>
        <v>0</v>
      </c>
      <c r="CW161" s="73">
        <f t="shared" si="1382"/>
        <v>0</v>
      </c>
      <c r="CX161" s="73">
        <f t="shared" si="1383"/>
        <v>0</v>
      </c>
      <c r="CY161" s="73">
        <f t="shared" si="1384"/>
        <v>0</v>
      </c>
      <c r="CZ161" s="190"/>
      <c r="DA161" s="66">
        <v>2007</v>
      </c>
      <c r="DB161" s="218">
        <f t="shared" si="1352"/>
        <v>0</v>
      </c>
      <c r="DC161" s="218">
        <f t="shared" si="1353"/>
        <v>0</v>
      </c>
      <c r="DD161" s="73">
        <f t="shared" si="1354"/>
        <v>0</v>
      </c>
      <c r="DE161" s="73">
        <f t="shared" si="1355"/>
        <v>0</v>
      </c>
      <c r="DF161" s="73">
        <f t="shared" si="1356"/>
        <v>0</v>
      </c>
      <c r="DG161" s="73">
        <f t="shared" si="1357"/>
        <v>0</v>
      </c>
      <c r="DH161" s="72" t="e">
        <f t="shared" si="1385"/>
        <v>#DIV/0!</v>
      </c>
      <c r="DI161" s="72" t="e">
        <f t="shared" si="1386"/>
        <v>#DIV/0!</v>
      </c>
      <c r="DJ161" s="73">
        <f>SUM(AV158:AV161,BB158:BB161,BI158:BI161)</f>
        <v>0</v>
      </c>
      <c r="DK161" s="218">
        <v>0</v>
      </c>
      <c r="DL161" s="190"/>
    </row>
    <row r="162" spans="1:120" x14ac:dyDescent="0.25">
      <c r="A162" s="190"/>
      <c r="B162" s="188">
        <v>2011</v>
      </c>
      <c r="C162" s="61" t="s">
        <v>321</v>
      </c>
      <c r="D162" s="169">
        <v>0</v>
      </c>
      <c r="E162" s="169">
        <v>0</v>
      </c>
      <c r="F162" s="169">
        <v>0</v>
      </c>
      <c r="G162" s="169">
        <v>0</v>
      </c>
      <c r="H162" s="172">
        <f>pInt_NoCare_2010_2012</f>
        <v>0.47470496953425423</v>
      </c>
      <c r="I162" s="172">
        <f>pInt_NoCare_Int_InCare_2010_2012</f>
        <v>9.8703246552192314E-2</v>
      </c>
      <c r="J162" s="170">
        <f>pInt_NoCare_Int_ART1_2010_2012</f>
        <v>0</v>
      </c>
      <c r="K162" s="169">
        <v>0</v>
      </c>
      <c r="L162" s="169">
        <v>0</v>
      </c>
      <c r="M162" s="170">
        <f>pInt_NoCare_Int_Dead_2010_2012</f>
        <v>2.7888537361361161E-2</v>
      </c>
      <c r="N162" s="170">
        <f>pInt_NoCare_AIDS_NoCare_2010_2012</f>
        <v>0.3</v>
      </c>
      <c r="O162" s="172">
        <f>pInt_NoCare_AIDS_InCare_2010_2012</f>
        <v>9.8703246552192314E-2</v>
      </c>
      <c r="P162" s="171">
        <f>pInt_NoCare_AIDS_ART1ear_2010_2012</f>
        <v>0</v>
      </c>
      <c r="Q162" s="169">
        <v>0</v>
      </c>
      <c r="R162" s="169">
        <v>0</v>
      </c>
      <c r="S162" s="169">
        <v>0</v>
      </c>
      <c r="T162" s="169">
        <v>0</v>
      </c>
      <c r="U162" s="61">
        <f t="shared" si="1358"/>
        <v>1</v>
      </c>
      <c r="V162" s="190"/>
      <c r="W162" s="66">
        <v>4</v>
      </c>
      <c r="X162" s="66">
        <v>2008</v>
      </c>
      <c r="Y162" s="69">
        <v>0</v>
      </c>
      <c r="Z162" s="69">
        <v>0</v>
      </c>
      <c r="AA162" s="69">
        <v>0</v>
      </c>
      <c r="AB162" s="69">
        <v>0</v>
      </c>
      <c r="AC162" s="69">
        <v>0</v>
      </c>
      <c r="AD162" s="69">
        <v>0</v>
      </c>
      <c r="AE162" s="69">
        <v>0</v>
      </c>
      <c r="AF162" s="69">
        <v>0</v>
      </c>
      <c r="AG162" s="69">
        <v>0</v>
      </c>
      <c r="AH162" s="69">
        <v>0</v>
      </c>
      <c r="AI162" s="69">
        <v>0</v>
      </c>
      <c r="AJ162" s="69">
        <v>0</v>
      </c>
      <c r="AK162" s="69">
        <v>0</v>
      </c>
      <c r="AL162" s="69">
        <v>0</v>
      </c>
      <c r="AM162" s="69">
        <v>0</v>
      </c>
      <c r="AN162" s="69">
        <v>0</v>
      </c>
      <c r="AO162" s="69">
        <v>0</v>
      </c>
      <c r="AP162" s="190"/>
      <c r="AQ162" s="66">
        <v>4</v>
      </c>
      <c r="AR162" s="66">
        <v>2008</v>
      </c>
      <c r="AS162" s="215">
        <f t="shared" si="1335"/>
        <v>0</v>
      </c>
      <c r="AT162" s="215">
        <f t="shared" si="1336"/>
        <v>0</v>
      </c>
      <c r="AU162" s="215">
        <f t="shared" si="1337"/>
        <v>0</v>
      </c>
      <c r="AV162" s="215">
        <f t="shared" si="1338"/>
        <v>0</v>
      </c>
      <c r="AW162" s="215">
        <f t="shared" si="1339"/>
        <v>0</v>
      </c>
      <c r="AX162" s="215">
        <f t="shared" si="1340"/>
        <v>0</v>
      </c>
      <c r="AY162" s="215">
        <f t="shared" si="1341"/>
        <v>0</v>
      </c>
      <c r="AZ162" s="215">
        <f t="shared" si="1342"/>
        <v>0</v>
      </c>
      <c r="BA162" s="215">
        <f t="shared" si="1343"/>
        <v>0</v>
      </c>
      <c r="BB162" s="215">
        <f t="shared" si="1344"/>
        <v>0</v>
      </c>
      <c r="BC162" s="215">
        <f t="shared" si="1345"/>
        <v>0</v>
      </c>
      <c r="BD162" s="215">
        <f t="shared" si="1346"/>
        <v>0</v>
      </c>
      <c r="BE162" s="215">
        <f t="shared" si="1347"/>
        <v>0</v>
      </c>
      <c r="BF162" s="215">
        <f t="shared" si="1348"/>
        <v>0</v>
      </c>
      <c r="BG162" s="215">
        <f t="shared" si="1349"/>
        <v>0</v>
      </c>
      <c r="BH162" s="215">
        <f t="shared" si="1350"/>
        <v>0</v>
      </c>
      <c r="BI162" s="215">
        <f t="shared" si="1351"/>
        <v>0</v>
      </c>
      <c r="BJ162" s="194"/>
      <c r="BK162" s="66">
        <v>4</v>
      </c>
      <c r="BL162" s="66">
        <v>2008</v>
      </c>
      <c r="BM162" s="215">
        <f t="shared" si="1359"/>
        <v>0</v>
      </c>
      <c r="BN162" s="219">
        <f t="shared" si="1360"/>
        <v>0</v>
      </c>
      <c r="BO162" s="219">
        <f t="shared" si="1361"/>
        <v>0</v>
      </c>
      <c r="BP162" s="219">
        <f t="shared" si="1387"/>
        <v>0</v>
      </c>
      <c r="BQ162" s="219">
        <f t="shared" si="1362"/>
        <v>0</v>
      </c>
      <c r="BR162" s="220">
        <f t="shared" si="1388"/>
        <v>0</v>
      </c>
      <c r="BS162" s="219">
        <f t="shared" si="1389"/>
        <v>0</v>
      </c>
      <c r="BT162" s="219">
        <f t="shared" si="1390"/>
        <v>0</v>
      </c>
      <c r="BU162" s="219">
        <f t="shared" si="1391"/>
        <v>0</v>
      </c>
      <c r="BV162" s="219">
        <f t="shared" si="1392"/>
        <v>0</v>
      </c>
      <c r="BW162" s="219">
        <f t="shared" si="1393"/>
        <v>0</v>
      </c>
      <c r="BX162" s="220">
        <f t="shared" si="1394"/>
        <v>0</v>
      </c>
      <c r="BY162" s="195"/>
      <c r="BZ162" s="192">
        <v>4</v>
      </c>
      <c r="CA162" s="66">
        <v>2008</v>
      </c>
      <c r="CB162" s="218">
        <f>pAsympt_NoCare_Asympt_Dead_2007_2009*AS161</f>
        <v>0</v>
      </c>
      <c r="CC162" s="218">
        <f t="shared" si="1363"/>
        <v>0</v>
      </c>
      <c r="CD162" s="73">
        <f t="shared" si="1364"/>
        <v>0</v>
      </c>
      <c r="CE162" s="73">
        <f>pInt_NoCare_Int_Dead_2007_2009*AW161</f>
        <v>0</v>
      </c>
      <c r="CF162" s="73">
        <f t="shared" si="1365"/>
        <v>0</v>
      </c>
      <c r="CG162" s="73">
        <f t="shared" si="1366"/>
        <v>0</v>
      </c>
      <c r="CH162" s="73">
        <f t="shared" si="1367"/>
        <v>0</v>
      </c>
      <c r="CI162" s="73">
        <f t="shared" si="1368"/>
        <v>0</v>
      </c>
      <c r="CJ162" s="73">
        <f t="shared" si="1369"/>
        <v>0</v>
      </c>
      <c r="CK162" s="73">
        <f t="shared" si="1370"/>
        <v>0</v>
      </c>
      <c r="CL162" s="73">
        <f t="shared" si="1371"/>
        <v>0</v>
      </c>
      <c r="CM162" s="73">
        <f>pAIDS_NoCare_AIDS_Dead_2007_2009*BC161</f>
        <v>0</v>
      </c>
      <c r="CN162" s="73">
        <f t="shared" si="1373"/>
        <v>0</v>
      </c>
      <c r="CO162" s="73">
        <f t="shared" si="1374"/>
        <v>0</v>
      </c>
      <c r="CP162" s="73">
        <f t="shared" si="1375"/>
        <v>0</v>
      </c>
      <c r="CQ162" s="73">
        <f t="shared" si="1376"/>
        <v>0</v>
      </c>
      <c r="CR162" s="73">
        <f t="shared" si="1377"/>
        <v>0</v>
      </c>
      <c r="CS162" s="73">
        <f t="shared" si="1378"/>
        <v>0</v>
      </c>
      <c r="CT162" s="73">
        <f t="shared" si="1379"/>
        <v>0</v>
      </c>
      <c r="CU162" s="73">
        <f t="shared" si="1380"/>
        <v>0</v>
      </c>
      <c r="CV162" s="73">
        <f t="shared" si="1381"/>
        <v>0</v>
      </c>
      <c r="CW162" s="73">
        <f t="shared" si="1382"/>
        <v>0</v>
      </c>
      <c r="CX162" s="73">
        <f t="shared" si="1383"/>
        <v>0</v>
      </c>
      <c r="CY162" s="73">
        <f t="shared" si="1384"/>
        <v>0</v>
      </c>
      <c r="CZ162" s="190"/>
      <c r="DA162" s="66">
        <v>2008</v>
      </c>
      <c r="DB162" s="218">
        <f t="shared" si="1352"/>
        <v>0</v>
      </c>
      <c r="DC162" s="218">
        <f t="shared" si="1353"/>
        <v>0</v>
      </c>
      <c r="DD162" s="73">
        <f t="shared" si="1354"/>
        <v>0</v>
      </c>
      <c r="DE162" s="73">
        <f t="shared" si="1355"/>
        <v>0</v>
      </c>
      <c r="DF162" s="73">
        <f t="shared" si="1356"/>
        <v>0</v>
      </c>
      <c r="DG162" s="73">
        <f t="shared" si="1357"/>
        <v>0</v>
      </c>
      <c r="DH162" s="72" t="e">
        <f t="shared" si="1385"/>
        <v>#DIV/0!</v>
      </c>
      <c r="DI162" s="72" t="e">
        <f t="shared" si="1386"/>
        <v>#DIV/0!</v>
      </c>
      <c r="DJ162" s="73">
        <f>SUM(AV158:AV162,BB158:BB162,BI158:BI162)</f>
        <v>0</v>
      </c>
      <c r="DK162" s="218">
        <v>0</v>
      </c>
      <c r="DL162" s="190"/>
    </row>
    <row r="163" spans="1:120" x14ac:dyDescent="0.25">
      <c r="A163" s="190"/>
      <c r="B163" s="188">
        <v>2011</v>
      </c>
      <c r="C163" s="61" t="s">
        <v>322</v>
      </c>
      <c r="D163" s="169">
        <v>0</v>
      </c>
      <c r="E163" s="169">
        <v>0</v>
      </c>
      <c r="F163" s="169">
        <v>0</v>
      </c>
      <c r="G163" s="169">
        <v>0</v>
      </c>
      <c r="H163" s="169">
        <v>0</v>
      </c>
      <c r="I163" s="172">
        <f>pInt_InCare_2004_2012</f>
        <v>0.27388069643828394</v>
      </c>
      <c r="J163" s="172">
        <f>pInt_InCare_Int_ART1_2004_2012</f>
        <v>0.12845640705966965</v>
      </c>
      <c r="K163" s="169">
        <v>0</v>
      </c>
      <c r="L163" s="170">
        <f>pInt_InCare_Int_LTFU_2004_2012</f>
        <v>0.18249498008072801</v>
      </c>
      <c r="M163" s="170">
        <f>pInt_InCare_Int_Dead_2004_2012</f>
        <v>2.6167916421318438E-2</v>
      </c>
      <c r="N163" s="169">
        <v>0</v>
      </c>
      <c r="O163" s="170">
        <f>pInt_InCare_AIDS_InCare_2004_2012</f>
        <v>0.3</v>
      </c>
      <c r="P163" s="170">
        <f>pInt_InCare_AIDS_ART1ear_2004_2012</f>
        <v>8.8999999999999996E-2</v>
      </c>
      <c r="Q163" s="169">
        <v>0</v>
      </c>
      <c r="R163" s="169">
        <v>0</v>
      </c>
      <c r="S163" s="169">
        <v>0</v>
      </c>
      <c r="T163" s="169">
        <v>0</v>
      </c>
      <c r="U163" s="61">
        <f t="shared" si="1358"/>
        <v>1</v>
      </c>
      <c r="V163" s="190"/>
      <c r="W163" s="66">
        <v>5</v>
      </c>
      <c r="X163" s="66">
        <v>2009</v>
      </c>
      <c r="Y163" s="69">
        <v>0</v>
      </c>
      <c r="Z163" s="69">
        <v>0</v>
      </c>
      <c r="AA163" s="69">
        <v>0</v>
      </c>
      <c r="AB163" s="69">
        <v>0</v>
      </c>
      <c r="AC163" s="69">
        <v>0</v>
      </c>
      <c r="AD163" s="69">
        <v>0</v>
      </c>
      <c r="AE163" s="69">
        <v>0</v>
      </c>
      <c r="AF163" s="69">
        <v>0</v>
      </c>
      <c r="AG163" s="69">
        <v>0</v>
      </c>
      <c r="AH163" s="69">
        <v>0</v>
      </c>
      <c r="AI163" s="69">
        <v>0</v>
      </c>
      <c r="AJ163" s="69">
        <v>0</v>
      </c>
      <c r="AK163" s="69">
        <v>0</v>
      </c>
      <c r="AL163" s="69">
        <v>0</v>
      </c>
      <c r="AM163" s="69">
        <v>0</v>
      </c>
      <c r="AN163" s="69">
        <v>0</v>
      </c>
      <c r="AO163" s="69">
        <v>0</v>
      </c>
      <c r="AP163" s="190"/>
      <c r="AQ163" s="66">
        <v>5</v>
      </c>
      <c r="AR163" s="66">
        <v>2009</v>
      </c>
      <c r="AS163" s="215">
        <f t="shared" si="1335"/>
        <v>0</v>
      </c>
      <c r="AT163" s="215">
        <f t="shared" si="1336"/>
        <v>0</v>
      </c>
      <c r="AU163" s="215">
        <f t="shared" si="1337"/>
        <v>0</v>
      </c>
      <c r="AV163" s="215">
        <f t="shared" si="1338"/>
        <v>0</v>
      </c>
      <c r="AW163" s="215">
        <f t="shared" si="1339"/>
        <v>0</v>
      </c>
      <c r="AX163" s="215">
        <f t="shared" si="1340"/>
        <v>0</v>
      </c>
      <c r="AY163" s="215">
        <f t="shared" si="1341"/>
        <v>0</v>
      </c>
      <c r="AZ163" s="215">
        <f t="shared" si="1342"/>
        <v>0</v>
      </c>
      <c r="BA163" s="215">
        <f t="shared" si="1343"/>
        <v>0</v>
      </c>
      <c r="BB163" s="215">
        <f t="shared" si="1344"/>
        <v>0</v>
      </c>
      <c r="BC163" s="215">
        <f t="shared" si="1345"/>
        <v>0</v>
      </c>
      <c r="BD163" s="215">
        <f t="shared" si="1346"/>
        <v>0</v>
      </c>
      <c r="BE163" s="215">
        <f t="shared" si="1347"/>
        <v>0</v>
      </c>
      <c r="BF163" s="215">
        <f t="shared" si="1348"/>
        <v>0</v>
      </c>
      <c r="BG163" s="215">
        <f t="shared" si="1349"/>
        <v>0</v>
      </c>
      <c r="BH163" s="215">
        <f t="shared" si="1350"/>
        <v>0</v>
      </c>
      <c r="BI163" s="215">
        <f t="shared" si="1351"/>
        <v>0</v>
      </c>
      <c r="BJ163" s="194"/>
      <c r="BK163" s="66">
        <v>5</v>
      </c>
      <c r="BL163" s="66">
        <v>2009</v>
      </c>
      <c r="BM163" s="215">
        <f t="shared" si="1359"/>
        <v>0</v>
      </c>
      <c r="BN163" s="219">
        <f t="shared" si="1360"/>
        <v>0</v>
      </c>
      <c r="BO163" s="219">
        <f t="shared" si="1361"/>
        <v>0</v>
      </c>
      <c r="BP163" s="219">
        <f t="shared" si="1387"/>
        <v>0</v>
      </c>
      <c r="BQ163" s="219">
        <f t="shared" si="1362"/>
        <v>0</v>
      </c>
      <c r="BR163" s="220">
        <f t="shared" si="1388"/>
        <v>0</v>
      </c>
      <c r="BS163" s="219">
        <f t="shared" si="1389"/>
        <v>0</v>
      </c>
      <c r="BT163" s="219">
        <f t="shared" si="1390"/>
        <v>0</v>
      </c>
      <c r="BU163" s="219">
        <f t="shared" si="1391"/>
        <v>0</v>
      </c>
      <c r="BV163" s="219">
        <f t="shared" si="1392"/>
        <v>0</v>
      </c>
      <c r="BW163" s="219">
        <f t="shared" si="1393"/>
        <v>0</v>
      </c>
      <c r="BX163" s="220">
        <f t="shared" si="1394"/>
        <v>0</v>
      </c>
      <c r="BY163" s="195"/>
      <c r="BZ163" s="192">
        <v>5</v>
      </c>
      <c r="CA163" s="66">
        <v>2009</v>
      </c>
      <c r="CB163" s="218">
        <f>pAsympt_NoCare_Asympt_Dead_2007_2009*AS162</f>
        <v>0</v>
      </c>
      <c r="CC163" s="218">
        <f t="shared" si="1363"/>
        <v>0</v>
      </c>
      <c r="CD163" s="73">
        <f t="shared" si="1364"/>
        <v>0</v>
      </c>
      <c r="CE163" s="73">
        <f>pInt_NoCare_Int_Dead_2007_2009*AW162</f>
        <v>0</v>
      </c>
      <c r="CF163" s="73">
        <f t="shared" si="1365"/>
        <v>0</v>
      </c>
      <c r="CG163" s="73">
        <f t="shared" si="1366"/>
        <v>0</v>
      </c>
      <c r="CH163" s="73">
        <f t="shared" si="1367"/>
        <v>0</v>
      </c>
      <c r="CI163" s="73">
        <f t="shared" si="1368"/>
        <v>0</v>
      </c>
      <c r="CJ163" s="73">
        <f t="shared" si="1369"/>
        <v>0</v>
      </c>
      <c r="CK163" s="73">
        <f t="shared" si="1370"/>
        <v>0</v>
      </c>
      <c r="CL163" s="73">
        <f t="shared" si="1371"/>
        <v>0</v>
      </c>
      <c r="CM163" s="73">
        <f>pAIDS_NoCare_AIDS_Dead_2007_2009*BC162</f>
        <v>0</v>
      </c>
      <c r="CN163" s="73">
        <f t="shared" si="1373"/>
        <v>0</v>
      </c>
      <c r="CO163" s="73">
        <f t="shared" si="1374"/>
        <v>0</v>
      </c>
      <c r="CP163" s="73">
        <f t="shared" si="1375"/>
        <v>0</v>
      </c>
      <c r="CQ163" s="73">
        <f t="shared" si="1376"/>
        <v>0</v>
      </c>
      <c r="CR163" s="73">
        <f t="shared" si="1377"/>
        <v>0</v>
      </c>
      <c r="CS163" s="73">
        <f t="shared" si="1378"/>
        <v>0</v>
      </c>
      <c r="CT163" s="73">
        <f t="shared" si="1379"/>
        <v>0</v>
      </c>
      <c r="CU163" s="73">
        <f t="shared" si="1380"/>
        <v>0</v>
      </c>
      <c r="CV163" s="73">
        <f t="shared" si="1381"/>
        <v>0</v>
      </c>
      <c r="CW163" s="73">
        <f t="shared" si="1382"/>
        <v>0</v>
      </c>
      <c r="CX163" s="73">
        <f t="shared" si="1383"/>
        <v>0</v>
      </c>
      <c r="CY163" s="73">
        <f t="shared" si="1384"/>
        <v>0</v>
      </c>
      <c r="CZ163" s="190"/>
      <c r="DA163" s="66">
        <v>2009</v>
      </c>
      <c r="DB163" s="218">
        <f t="shared" si="1352"/>
        <v>0</v>
      </c>
      <c r="DC163" s="218">
        <f t="shared" si="1353"/>
        <v>0</v>
      </c>
      <c r="DD163" s="73">
        <f t="shared" si="1354"/>
        <v>0</v>
      </c>
      <c r="DE163" s="73">
        <f t="shared" si="1355"/>
        <v>0</v>
      </c>
      <c r="DF163" s="73">
        <f t="shared" si="1356"/>
        <v>0</v>
      </c>
      <c r="DG163" s="73">
        <f t="shared" si="1357"/>
        <v>0</v>
      </c>
      <c r="DH163" s="72" t="e">
        <f t="shared" si="1385"/>
        <v>#DIV/0!</v>
      </c>
      <c r="DI163" s="72" t="e">
        <f t="shared" si="1386"/>
        <v>#DIV/0!</v>
      </c>
      <c r="DJ163" s="73">
        <f>SUM(AV158:AV163,BB158:BB163,BI158:BI163)</f>
        <v>0</v>
      </c>
      <c r="DK163" s="218">
        <v>0</v>
      </c>
      <c r="DL163" s="190"/>
    </row>
    <row r="164" spans="1:120" x14ac:dyDescent="0.25">
      <c r="A164" s="190"/>
      <c r="B164" s="188">
        <v>2011</v>
      </c>
      <c r="C164" s="61" t="s">
        <v>323</v>
      </c>
      <c r="D164" s="169">
        <v>0</v>
      </c>
      <c r="E164" s="169">
        <v>0</v>
      </c>
      <c r="F164" s="169">
        <v>0</v>
      </c>
      <c r="G164" s="169">
        <v>0</v>
      </c>
      <c r="H164" s="169">
        <v>0</v>
      </c>
      <c r="I164" s="169">
        <v>0</v>
      </c>
      <c r="J164" s="172">
        <f>pInt_ART1_2004_2012</f>
        <v>0.97189504107250524</v>
      </c>
      <c r="K164" s="170">
        <f>pInt_ART1_Int_ART2_2004_2012</f>
        <v>8.6622645122074182E-3</v>
      </c>
      <c r="L164" s="170">
        <f>pInt_ART1_Int_LTFU_2004_2012</f>
        <v>1.438552517214986E-2</v>
      </c>
      <c r="M164" s="170">
        <f>pInt_ART1_Int_Dead_2004_2012</f>
        <v>5.0571692431374826E-3</v>
      </c>
      <c r="N164" s="169">
        <v>0</v>
      </c>
      <c r="O164" s="169">
        <v>0</v>
      </c>
      <c r="P164" s="169">
        <v>0</v>
      </c>
      <c r="Q164" s="169">
        <v>0</v>
      </c>
      <c r="R164" s="169">
        <v>0</v>
      </c>
      <c r="S164" s="169">
        <v>0</v>
      </c>
      <c r="T164" s="169">
        <v>0</v>
      </c>
      <c r="U164" s="61">
        <f t="shared" si="1358"/>
        <v>1</v>
      </c>
      <c r="V164" s="190"/>
      <c r="W164" s="66">
        <v>6</v>
      </c>
      <c r="X164" s="66">
        <v>2010</v>
      </c>
      <c r="Y164" s="69">
        <v>0</v>
      </c>
      <c r="Z164" s="69">
        <v>0</v>
      </c>
      <c r="AA164" s="69">
        <v>0</v>
      </c>
      <c r="AB164" s="69">
        <v>0</v>
      </c>
      <c r="AC164" s="69">
        <v>0</v>
      </c>
      <c r="AD164" s="69">
        <v>0</v>
      </c>
      <c r="AE164" s="69">
        <v>0</v>
      </c>
      <c r="AF164" s="69">
        <v>0</v>
      </c>
      <c r="AG164" s="69">
        <v>0</v>
      </c>
      <c r="AH164" s="69">
        <v>0</v>
      </c>
      <c r="AI164" s="69">
        <v>0</v>
      </c>
      <c r="AJ164" s="69">
        <v>0</v>
      </c>
      <c r="AK164" s="69">
        <v>0</v>
      </c>
      <c r="AL164" s="69">
        <v>0</v>
      </c>
      <c r="AM164" s="69">
        <v>0</v>
      </c>
      <c r="AN164" s="69">
        <v>0</v>
      </c>
      <c r="AO164" s="69">
        <v>0</v>
      </c>
      <c r="AP164" s="190"/>
      <c r="AQ164" s="66">
        <v>6</v>
      </c>
      <c r="AR164" s="66">
        <v>2010</v>
      </c>
      <c r="AS164" s="215">
        <f t="shared" si="1335"/>
        <v>0</v>
      </c>
      <c r="AT164" s="215">
        <f t="shared" si="1336"/>
        <v>0</v>
      </c>
      <c r="AU164" s="215">
        <f t="shared" si="1337"/>
        <v>0</v>
      </c>
      <c r="AV164" s="215">
        <f t="shared" si="1338"/>
        <v>0</v>
      </c>
      <c r="AW164" s="215">
        <f t="shared" si="1339"/>
        <v>0</v>
      </c>
      <c r="AX164" s="215">
        <f t="shared" si="1340"/>
        <v>0</v>
      </c>
      <c r="AY164" s="215">
        <f t="shared" si="1341"/>
        <v>0</v>
      </c>
      <c r="AZ164" s="215">
        <f t="shared" si="1342"/>
        <v>0</v>
      </c>
      <c r="BA164" s="215">
        <f t="shared" si="1343"/>
        <v>0</v>
      </c>
      <c r="BB164" s="215">
        <f t="shared" si="1344"/>
        <v>0</v>
      </c>
      <c r="BC164" s="215">
        <f t="shared" si="1345"/>
        <v>0</v>
      </c>
      <c r="BD164" s="215">
        <f t="shared" si="1346"/>
        <v>0</v>
      </c>
      <c r="BE164" s="215">
        <f t="shared" si="1347"/>
        <v>0</v>
      </c>
      <c r="BF164" s="215">
        <f t="shared" si="1348"/>
        <v>0</v>
      </c>
      <c r="BG164" s="215">
        <f t="shared" si="1349"/>
        <v>0</v>
      </c>
      <c r="BH164" s="215">
        <f t="shared" si="1350"/>
        <v>0</v>
      </c>
      <c r="BI164" s="215">
        <f t="shared" si="1351"/>
        <v>0</v>
      </c>
      <c r="BJ164" s="194"/>
      <c r="BK164" s="66">
        <v>6</v>
      </c>
      <c r="BL164" s="66">
        <v>2010</v>
      </c>
      <c r="BM164" s="215">
        <f t="shared" si="1359"/>
        <v>0</v>
      </c>
      <c r="BN164" s="219">
        <f t="shared" si="1360"/>
        <v>0</v>
      </c>
      <c r="BO164" s="219">
        <f t="shared" si="1361"/>
        <v>0</v>
      </c>
      <c r="BP164" s="219">
        <f t="shared" si="1387"/>
        <v>0</v>
      </c>
      <c r="BQ164" s="219">
        <f t="shared" si="1362"/>
        <v>0</v>
      </c>
      <c r="BR164" s="220">
        <f t="shared" si="1388"/>
        <v>0</v>
      </c>
      <c r="BS164" s="219">
        <f t="shared" si="1389"/>
        <v>0</v>
      </c>
      <c r="BT164" s="219">
        <f t="shared" si="1390"/>
        <v>0</v>
      </c>
      <c r="BU164" s="219">
        <f t="shared" si="1391"/>
        <v>0</v>
      </c>
      <c r="BV164" s="219">
        <f t="shared" si="1392"/>
        <v>0</v>
      </c>
      <c r="BW164" s="219">
        <f t="shared" si="1393"/>
        <v>0</v>
      </c>
      <c r="BX164" s="220">
        <f t="shared" si="1394"/>
        <v>0</v>
      </c>
      <c r="BY164" s="195"/>
      <c r="BZ164" s="192">
        <v>6</v>
      </c>
      <c r="CA164" s="66">
        <v>2010</v>
      </c>
      <c r="CB164" s="218">
        <f>pAsympt_NoCare_Asympt_Dead_2010_2012*AS163</f>
        <v>0</v>
      </c>
      <c r="CC164" s="218">
        <f t="shared" si="1363"/>
        <v>0</v>
      </c>
      <c r="CD164" s="73">
        <f t="shared" si="1364"/>
        <v>0</v>
      </c>
      <c r="CE164" s="73">
        <f>pInt_NoCare_Int_Dead_2010_2012*AW163</f>
        <v>0</v>
      </c>
      <c r="CF164" s="73">
        <f t="shared" si="1365"/>
        <v>0</v>
      </c>
      <c r="CG164" s="73">
        <f t="shared" si="1366"/>
        <v>0</v>
      </c>
      <c r="CH164" s="73">
        <f t="shared" si="1367"/>
        <v>0</v>
      </c>
      <c r="CI164" s="73">
        <f t="shared" si="1368"/>
        <v>0</v>
      </c>
      <c r="CJ164" s="73">
        <f t="shared" si="1369"/>
        <v>0</v>
      </c>
      <c r="CK164" s="73">
        <f t="shared" si="1370"/>
        <v>0</v>
      </c>
      <c r="CL164" s="73">
        <f t="shared" si="1371"/>
        <v>0</v>
      </c>
      <c r="CM164" s="73">
        <f>pAIDS_NoCare_AIDS_Dead_2010_2012*BC163</f>
        <v>0</v>
      </c>
      <c r="CN164" s="73">
        <f t="shared" si="1373"/>
        <v>0</v>
      </c>
      <c r="CO164" s="73">
        <f t="shared" si="1374"/>
        <v>0</v>
      </c>
      <c r="CP164" s="73">
        <f t="shared" si="1375"/>
        <v>0</v>
      </c>
      <c r="CQ164" s="73">
        <f t="shared" si="1376"/>
        <v>0</v>
      </c>
      <c r="CR164" s="73">
        <f t="shared" si="1377"/>
        <v>0</v>
      </c>
      <c r="CS164" s="73">
        <f t="shared" si="1378"/>
        <v>0</v>
      </c>
      <c r="CT164" s="73">
        <f t="shared" si="1379"/>
        <v>0</v>
      </c>
      <c r="CU164" s="73">
        <f t="shared" si="1380"/>
        <v>0</v>
      </c>
      <c r="CV164" s="73">
        <f t="shared" si="1381"/>
        <v>0</v>
      </c>
      <c r="CW164" s="73">
        <f t="shared" si="1382"/>
        <v>0</v>
      </c>
      <c r="CX164" s="73">
        <f t="shared" si="1383"/>
        <v>0</v>
      </c>
      <c r="CY164" s="73">
        <f t="shared" si="1384"/>
        <v>0</v>
      </c>
      <c r="CZ164" s="190"/>
      <c r="DA164" s="66">
        <v>2010</v>
      </c>
      <c r="DB164" s="218">
        <f t="shared" si="1352"/>
        <v>0</v>
      </c>
      <c r="DC164" s="218">
        <f t="shared" si="1353"/>
        <v>0</v>
      </c>
      <c r="DD164" s="73">
        <f t="shared" si="1354"/>
        <v>0</v>
      </c>
      <c r="DE164" s="73">
        <f t="shared" si="1355"/>
        <v>0</v>
      </c>
      <c r="DF164" s="73">
        <f t="shared" si="1356"/>
        <v>0</v>
      </c>
      <c r="DG164" s="73">
        <f t="shared" si="1357"/>
        <v>0</v>
      </c>
      <c r="DH164" s="72" t="e">
        <f t="shared" si="1385"/>
        <v>#DIV/0!</v>
      </c>
      <c r="DI164" s="72" t="e">
        <f t="shared" si="1386"/>
        <v>#DIV/0!</v>
      </c>
      <c r="DJ164" s="73">
        <f>SUM(AV158:AV164,BB158:BB164,BI158:BI164)</f>
        <v>0</v>
      </c>
      <c r="DK164" s="218">
        <f>SUM(AV164,BB164,BI164)</f>
        <v>0</v>
      </c>
      <c r="DL164" s="190"/>
    </row>
    <row r="165" spans="1:120" x14ac:dyDescent="0.25">
      <c r="A165" s="190"/>
      <c r="B165" s="188">
        <v>2011</v>
      </c>
      <c r="C165" s="61" t="s">
        <v>324</v>
      </c>
      <c r="D165" s="169">
        <v>0</v>
      </c>
      <c r="E165" s="169">
        <v>0</v>
      </c>
      <c r="F165" s="169">
        <v>0</v>
      </c>
      <c r="G165" s="169">
        <v>0</v>
      </c>
      <c r="H165" s="169">
        <v>0</v>
      </c>
      <c r="I165" s="169">
        <v>0</v>
      </c>
      <c r="J165" s="169">
        <v>0</v>
      </c>
      <c r="K165" s="172">
        <f>pInt_ART2_2004_2012</f>
        <v>0.98055730558471266</v>
      </c>
      <c r="L165" s="170">
        <f>pInt_ART2_Int_LTFU_2004_2012</f>
        <v>1.438552517214986E-2</v>
      </c>
      <c r="M165" s="170">
        <f>pInt_ART2_Int_Dead_2004_2012</f>
        <v>5.0571692431374826E-3</v>
      </c>
      <c r="N165" s="169">
        <v>0</v>
      </c>
      <c r="O165" s="169">
        <v>0</v>
      </c>
      <c r="P165" s="169">
        <v>0</v>
      </c>
      <c r="Q165" s="169">
        <v>0</v>
      </c>
      <c r="R165" s="169">
        <v>0</v>
      </c>
      <c r="S165" s="169">
        <v>0</v>
      </c>
      <c r="T165" s="169">
        <v>0</v>
      </c>
      <c r="U165" s="61">
        <f t="shared" si="1358"/>
        <v>1</v>
      </c>
      <c r="V165" s="190"/>
      <c r="W165" s="66">
        <v>7</v>
      </c>
      <c r="X165" s="66">
        <v>2011</v>
      </c>
      <c r="Y165" s="69">
        <v>1</v>
      </c>
      <c r="Z165" s="69">
        <v>0</v>
      </c>
      <c r="AA165" s="69">
        <v>0</v>
      </c>
      <c r="AB165" s="69">
        <v>0</v>
      </c>
      <c r="AC165" s="69">
        <v>0</v>
      </c>
      <c r="AD165" s="69">
        <v>0</v>
      </c>
      <c r="AE165" s="69">
        <v>0</v>
      </c>
      <c r="AF165" s="69">
        <v>0</v>
      </c>
      <c r="AG165" s="69">
        <v>0</v>
      </c>
      <c r="AH165" s="69">
        <v>0</v>
      </c>
      <c r="AI165" s="69">
        <v>0</v>
      </c>
      <c r="AJ165" s="69">
        <v>0</v>
      </c>
      <c r="AK165" s="69">
        <v>0</v>
      </c>
      <c r="AL165" s="69">
        <v>0</v>
      </c>
      <c r="AM165" s="69">
        <v>0</v>
      </c>
      <c r="AN165" s="69">
        <v>0</v>
      </c>
      <c r="AO165" s="69">
        <v>0</v>
      </c>
      <c r="AP165" s="190"/>
      <c r="AQ165" s="66">
        <v>7</v>
      </c>
      <c r="AR165" s="66">
        <v>2011</v>
      </c>
      <c r="AS165" s="215">
        <f t="shared" si="1335"/>
        <v>8588.0400000000009</v>
      </c>
      <c r="AT165" s="215">
        <f t="shared" si="1336"/>
        <v>0</v>
      </c>
      <c r="AU165" s="215">
        <f t="shared" si="1337"/>
        <v>0</v>
      </c>
      <c r="AV165" s="215">
        <f t="shared" si="1338"/>
        <v>0</v>
      </c>
      <c r="AW165" s="215">
        <f t="shared" si="1339"/>
        <v>0</v>
      </c>
      <c r="AX165" s="215">
        <f t="shared" si="1340"/>
        <v>0</v>
      </c>
      <c r="AY165" s="215">
        <f t="shared" si="1341"/>
        <v>0</v>
      </c>
      <c r="AZ165" s="215">
        <f t="shared" si="1342"/>
        <v>0</v>
      </c>
      <c r="BA165" s="215">
        <f t="shared" si="1343"/>
        <v>0</v>
      </c>
      <c r="BB165" s="215">
        <f t="shared" si="1344"/>
        <v>0</v>
      </c>
      <c r="BC165" s="215">
        <f t="shared" si="1345"/>
        <v>0</v>
      </c>
      <c r="BD165" s="215">
        <f t="shared" si="1346"/>
        <v>0</v>
      </c>
      <c r="BE165" s="215">
        <f t="shared" si="1347"/>
        <v>0</v>
      </c>
      <c r="BF165" s="215">
        <f t="shared" si="1348"/>
        <v>0</v>
      </c>
      <c r="BG165" s="215">
        <f t="shared" si="1349"/>
        <v>0</v>
      </c>
      <c r="BH165" s="215">
        <f t="shared" si="1350"/>
        <v>0</v>
      </c>
      <c r="BI165" s="215">
        <f t="shared" si="1351"/>
        <v>0</v>
      </c>
      <c r="BJ165" s="194"/>
      <c r="BK165" s="66">
        <v>7</v>
      </c>
      <c r="BL165" s="66">
        <v>2011</v>
      </c>
      <c r="BM165" s="215">
        <f t="shared" si="1359"/>
        <v>0</v>
      </c>
      <c r="BN165" s="219">
        <f t="shared" si="1360"/>
        <v>0</v>
      </c>
      <c r="BO165" s="219">
        <f t="shared" si="1361"/>
        <v>0</v>
      </c>
      <c r="BP165" s="219">
        <f t="shared" si="1387"/>
        <v>0</v>
      </c>
      <c r="BQ165" s="219">
        <f t="shared" si="1362"/>
        <v>0</v>
      </c>
      <c r="BR165" s="220">
        <f t="shared" si="1388"/>
        <v>0</v>
      </c>
      <c r="BS165" s="219">
        <f t="shared" si="1389"/>
        <v>0</v>
      </c>
      <c r="BT165" s="219">
        <f t="shared" si="1390"/>
        <v>0</v>
      </c>
      <c r="BU165" s="219">
        <f t="shared" si="1391"/>
        <v>0</v>
      </c>
      <c r="BV165" s="219">
        <f t="shared" si="1392"/>
        <v>0</v>
      </c>
      <c r="BW165" s="219">
        <f t="shared" si="1393"/>
        <v>0</v>
      </c>
      <c r="BX165" s="220">
        <f t="shared" si="1394"/>
        <v>0</v>
      </c>
      <c r="BY165" s="195"/>
      <c r="BZ165" s="192">
        <v>7</v>
      </c>
      <c r="CA165" s="66">
        <v>2011</v>
      </c>
      <c r="CB165" s="218">
        <f>pAsympt_NoCare_Asympt_Dead_2010_2012*AS164</f>
        <v>0</v>
      </c>
      <c r="CC165" s="218">
        <f t="shared" si="1363"/>
        <v>0</v>
      </c>
      <c r="CD165" s="73">
        <f t="shared" si="1364"/>
        <v>0</v>
      </c>
      <c r="CE165" s="73">
        <f>pInt_NoCare_Int_Dead_2010_2012*AW164</f>
        <v>0</v>
      </c>
      <c r="CF165" s="73">
        <f t="shared" si="1365"/>
        <v>0</v>
      </c>
      <c r="CG165" s="73">
        <f t="shared" si="1366"/>
        <v>0</v>
      </c>
      <c r="CH165" s="73">
        <f t="shared" si="1367"/>
        <v>0</v>
      </c>
      <c r="CI165" s="73">
        <f t="shared" si="1368"/>
        <v>0</v>
      </c>
      <c r="CJ165" s="73">
        <f t="shared" si="1369"/>
        <v>0</v>
      </c>
      <c r="CK165" s="73">
        <f t="shared" si="1370"/>
        <v>0</v>
      </c>
      <c r="CL165" s="73">
        <f t="shared" si="1371"/>
        <v>0</v>
      </c>
      <c r="CM165" s="73">
        <f>pAIDS_NoCare_AIDS_Dead_2010_2012*BC164</f>
        <v>0</v>
      </c>
      <c r="CN165" s="73">
        <f t="shared" si="1373"/>
        <v>0</v>
      </c>
      <c r="CO165" s="73">
        <f t="shared" si="1374"/>
        <v>0</v>
      </c>
      <c r="CP165" s="73">
        <f t="shared" si="1375"/>
        <v>0</v>
      </c>
      <c r="CQ165" s="73">
        <f t="shared" si="1376"/>
        <v>0</v>
      </c>
      <c r="CR165" s="73">
        <f t="shared" si="1377"/>
        <v>0</v>
      </c>
      <c r="CS165" s="73">
        <f t="shared" si="1378"/>
        <v>0</v>
      </c>
      <c r="CT165" s="73">
        <f t="shared" si="1379"/>
        <v>0</v>
      </c>
      <c r="CU165" s="73">
        <f t="shared" si="1380"/>
        <v>0</v>
      </c>
      <c r="CV165" s="73">
        <f t="shared" si="1381"/>
        <v>0</v>
      </c>
      <c r="CW165" s="73">
        <f t="shared" si="1382"/>
        <v>0</v>
      </c>
      <c r="CX165" s="73">
        <f t="shared" si="1383"/>
        <v>0</v>
      </c>
      <c r="CY165" s="73">
        <f t="shared" si="1384"/>
        <v>0</v>
      </c>
      <c r="CZ165" s="190"/>
      <c r="DA165" s="66">
        <v>2011</v>
      </c>
      <c r="DB165" s="218">
        <f t="shared" si="1352"/>
        <v>0</v>
      </c>
      <c r="DC165" s="218">
        <f t="shared" si="1353"/>
        <v>8588.0400000000009</v>
      </c>
      <c r="DD165" s="73">
        <f t="shared" si="1354"/>
        <v>0</v>
      </c>
      <c r="DE165" s="73">
        <f t="shared" si="1355"/>
        <v>0</v>
      </c>
      <c r="DF165" s="73">
        <f t="shared" si="1356"/>
        <v>0</v>
      </c>
      <c r="DG165" s="73">
        <f t="shared" si="1357"/>
        <v>0</v>
      </c>
      <c r="DH165" s="72" t="e">
        <f t="shared" si="1385"/>
        <v>#DIV/0!</v>
      </c>
      <c r="DI165" s="72" t="e">
        <f t="shared" si="1386"/>
        <v>#DIV/0!</v>
      </c>
      <c r="DJ165" s="73">
        <f>SUM(AV158:AV165,BB158:BB165,BI158:BI165)</f>
        <v>0</v>
      </c>
      <c r="DK165" s="218">
        <f>SUM(AV164:AV165,BB164:BB165,BI164:BI165)</f>
        <v>0</v>
      </c>
      <c r="DL165" s="190"/>
    </row>
    <row r="166" spans="1:120" x14ac:dyDescent="0.25">
      <c r="A166" s="190"/>
      <c r="B166" s="188">
        <v>2011</v>
      </c>
      <c r="C166" s="61" t="s">
        <v>325</v>
      </c>
      <c r="D166" s="169">
        <v>0</v>
      </c>
      <c r="E166" s="169">
        <v>0</v>
      </c>
      <c r="F166" s="169">
        <v>0</v>
      </c>
      <c r="G166" s="169">
        <v>0</v>
      </c>
      <c r="H166" s="169">
        <v>0</v>
      </c>
      <c r="I166" s="169">
        <v>0</v>
      </c>
      <c r="J166" s="171">
        <f>pInt_LTFU_Int_ART1_2004_2012</f>
        <v>0.1414</v>
      </c>
      <c r="K166" s="171">
        <f>pInt_LTFU_Int_ART2_2004_2012</f>
        <v>0.1515</v>
      </c>
      <c r="L166" s="172">
        <f>pInt_LTFU_2004_2012</f>
        <v>0.43882838478243957</v>
      </c>
      <c r="M166" s="171">
        <f>pInt_LTFU_Int_Dead_2004_2012</f>
        <v>2.7888537361361161E-2</v>
      </c>
      <c r="N166" s="169">
        <v>0</v>
      </c>
      <c r="O166" s="169">
        <v>0</v>
      </c>
      <c r="P166" s="169">
        <v>0</v>
      </c>
      <c r="Q166" s="169">
        <v>0</v>
      </c>
      <c r="R166" s="169">
        <v>0</v>
      </c>
      <c r="S166" s="170">
        <f>pInt_LTFU_AIDS_LTFU_2004_2012</f>
        <v>0.24038307785619925</v>
      </c>
      <c r="T166" s="169">
        <v>0</v>
      </c>
      <c r="U166" s="61">
        <f t="shared" si="1358"/>
        <v>1</v>
      </c>
      <c r="V166" s="190"/>
      <c r="W166" s="66">
        <v>8</v>
      </c>
      <c r="X166" s="66">
        <v>2012</v>
      </c>
      <c r="Y166" s="70">
        <f>MMULT($Y165:$AO165,D$180:D$196)</f>
        <v>0.63376008575865694</v>
      </c>
      <c r="Z166" s="70">
        <f t="shared" ref="Z166" si="1395">MMULT($Y165:$AO165,E$180:E$196)</f>
        <v>7.4027434914144222E-2</v>
      </c>
      <c r="AA166" s="70">
        <f t="shared" ref="AA166" si="1396">MMULT($Y165:$AO165,F$180:F$196)</f>
        <v>0</v>
      </c>
      <c r="AB166" s="70">
        <f t="shared" ref="AB166" si="1397">MMULT($Y165:$AO165,G$180:G$196)</f>
        <v>1.818504441305463E-2</v>
      </c>
      <c r="AC166" s="70">
        <f t="shared" ref="AC166" si="1398">MMULT($Y165:$AO165,H$180:H$196)</f>
        <v>0.2</v>
      </c>
      <c r="AD166" s="70">
        <f t="shared" ref="AD166" si="1399">MMULT($Y165:$AO165,I$180:I$196)</f>
        <v>7.4027434914144222E-2</v>
      </c>
      <c r="AE166" s="70">
        <f t="shared" ref="AE166" si="1400">MMULT($Y165:$AO165,J$180:J$196)</f>
        <v>0</v>
      </c>
      <c r="AF166" s="70">
        <f t="shared" ref="AF166" si="1401">MMULT($Y165:$AO165,K$180:K$196)</f>
        <v>0</v>
      </c>
      <c r="AG166" s="70">
        <f t="shared" ref="AG166" si="1402">MMULT($Y165:$AO165,L$180:L$196)</f>
        <v>0</v>
      </c>
      <c r="AH166" s="70">
        <f t="shared" ref="AH166" si="1403">MMULT($Y165:$AO165,M$180:M$196)</f>
        <v>0</v>
      </c>
      <c r="AI166" s="70">
        <f t="shared" ref="AI166" si="1404">MMULT($Y165:$AO165,N$180:N$196)</f>
        <v>0</v>
      </c>
      <c r="AJ166" s="70">
        <f t="shared" ref="AJ166" si="1405">MMULT($Y165:$AO165,O$180:O$196)</f>
        <v>0</v>
      </c>
      <c r="AK166" s="70">
        <f t="shared" ref="AK166" si="1406">MMULT($Y165:$AO165,P$180:P$196)</f>
        <v>0</v>
      </c>
      <c r="AL166" s="70">
        <f t="shared" ref="AL166" si="1407">MMULT($Y165:$AO165,Q$180:Q$196)</f>
        <v>0</v>
      </c>
      <c r="AM166" s="70">
        <f t="shared" ref="AM166" si="1408">MMULT($Y165:$AO165,R$180:R$196)</f>
        <v>0</v>
      </c>
      <c r="AN166" s="70">
        <f t="shared" ref="AN166" si="1409">MMULT($Y165:$AO165,S$180:S$196)</f>
        <v>0</v>
      </c>
      <c r="AO166" s="70">
        <f t="shared" ref="AO166" si="1410">MMULT($Y165:$AO165,T$180:T$196)</f>
        <v>0</v>
      </c>
      <c r="AP166" s="190"/>
      <c r="AQ166" s="66">
        <v>8</v>
      </c>
      <c r="AR166" s="66">
        <v>2012</v>
      </c>
      <c r="AS166" s="215">
        <f t="shared" si="1335"/>
        <v>5442.7569668987771</v>
      </c>
      <c r="AT166" s="215">
        <f t="shared" si="1336"/>
        <v>635.75057214006722</v>
      </c>
      <c r="AU166" s="215">
        <f t="shared" si="1337"/>
        <v>0</v>
      </c>
      <c r="AV166" s="215">
        <f t="shared" si="1338"/>
        <v>156.17388882108969</v>
      </c>
      <c r="AW166" s="215">
        <f t="shared" si="1339"/>
        <v>1717.6080000000002</v>
      </c>
      <c r="AX166" s="215">
        <f t="shared" si="1340"/>
        <v>635.75057214006722</v>
      </c>
      <c r="AY166" s="215">
        <f t="shared" si="1341"/>
        <v>0</v>
      </c>
      <c r="AZ166" s="215">
        <f t="shared" si="1342"/>
        <v>0</v>
      </c>
      <c r="BA166" s="215">
        <f t="shared" si="1343"/>
        <v>0</v>
      </c>
      <c r="BB166" s="215">
        <f t="shared" si="1344"/>
        <v>0</v>
      </c>
      <c r="BC166" s="215">
        <f t="shared" si="1345"/>
        <v>0</v>
      </c>
      <c r="BD166" s="215">
        <f t="shared" si="1346"/>
        <v>0</v>
      </c>
      <c r="BE166" s="215">
        <f t="shared" si="1347"/>
        <v>0</v>
      </c>
      <c r="BF166" s="215">
        <f t="shared" si="1348"/>
        <v>0</v>
      </c>
      <c r="BG166" s="215">
        <f t="shared" si="1349"/>
        <v>0</v>
      </c>
      <c r="BH166" s="215">
        <f t="shared" si="1350"/>
        <v>0</v>
      </c>
      <c r="BI166" s="215">
        <f t="shared" si="1351"/>
        <v>0</v>
      </c>
      <c r="BJ166" s="194"/>
      <c r="BK166" s="66">
        <v>8</v>
      </c>
      <c r="BL166" s="66">
        <v>2012</v>
      </c>
      <c r="BM166" s="215">
        <f t="shared" si="1359"/>
        <v>0</v>
      </c>
      <c r="BN166" s="219">
        <f t="shared" si="1360"/>
        <v>0</v>
      </c>
      <c r="BO166" s="219">
        <f t="shared" si="1361"/>
        <v>0</v>
      </c>
      <c r="BP166" s="219">
        <f t="shared" si="1387"/>
        <v>0</v>
      </c>
      <c r="BQ166" s="219">
        <f t="shared" si="1362"/>
        <v>0</v>
      </c>
      <c r="BR166" s="220">
        <f t="shared" si="1388"/>
        <v>0</v>
      </c>
      <c r="BS166" s="219">
        <f t="shared" si="1389"/>
        <v>0</v>
      </c>
      <c r="BT166" s="219">
        <f t="shared" si="1390"/>
        <v>0</v>
      </c>
      <c r="BU166" s="219">
        <f t="shared" si="1391"/>
        <v>0</v>
      </c>
      <c r="BV166" s="219">
        <f t="shared" si="1392"/>
        <v>0</v>
      </c>
      <c r="BW166" s="219">
        <f t="shared" si="1393"/>
        <v>0</v>
      </c>
      <c r="BX166" s="220">
        <f t="shared" si="1394"/>
        <v>0</v>
      </c>
      <c r="BY166" s="195"/>
      <c r="BZ166" s="192">
        <v>8</v>
      </c>
      <c r="CA166" s="66">
        <v>2012</v>
      </c>
      <c r="CB166" s="218">
        <f>pAsympt_NoCare_Asympt_Dead_2010_2012*AS165</f>
        <v>156.17388882108969</v>
      </c>
      <c r="CC166" s="218">
        <f t="shared" si="1363"/>
        <v>0</v>
      </c>
      <c r="CD166" s="73">
        <f t="shared" si="1364"/>
        <v>0</v>
      </c>
      <c r="CE166" s="73">
        <f>pInt_NoCare_Int_Dead_2010_2012*AW165</f>
        <v>0</v>
      </c>
      <c r="CF166" s="73">
        <f t="shared" si="1365"/>
        <v>0</v>
      </c>
      <c r="CG166" s="73">
        <f t="shared" si="1366"/>
        <v>0</v>
      </c>
      <c r="CH166" s="73">
        <f t="shared" si="1367"/>
        <v>0</v>
      </c>
      <c r="CI166" s="73">
        <f t="shared" si="1368"/>
        <v>0</v>
      </c>
      <c r="CJ166" s="73">
        <f t="shared" si="1369"/>
        <v>0</v>
      </c>
      <c r="CK166" s="73">
        <f t="shared" si="1370"/>
        <v>0</v>
      </c>
      <c r="CL166" s="73">
        <f t="shared" si="1371"/>
        <v>0</v>
      </c>
      <c r="CM166" s="73">
        <f>pAIDS_NoCare_AIDS_Dead_2010_2012*BC165</f>
        <v>0</v>
      </c>
      <c r="CN166" s="73">
        <f t="shared" si="1373"/>
        <v>0</v>
      </c>
      <c r="CO166" s="73">
        <f t="shared" si="1374"/>
        <v>0</v>
      </c>
      <c r="CP166" s="73">
        <f t="shared" si="1375"/>
        <v>0</v>
      </c>
      <c r="CQ166" s="73">
        <f t="shared" si="1376"/>
        <v>0</v>
      </c>
      <c r="CR166" s="73">
        <f t="shared" si="1377"/>
        <v>0</v>
      </c>
      <c r="CS166" s="73">
        <f t="shared" si="1378"/>
        <v>0</v>
      </c>
      <c r="CT166" s="73">
        <f t="shared" si="1379"/>
        <v>0</v>
      </c>
      <c r="CU166" s="73">
        <f t="shared" si="1380"/>
        <v>0</v>
      </c>
      <c r="CV166" s="73">
        <f t="shared" si="1381"/>
        <v>0</v>
      </c>
      <c r="CW166" s="73">
        <f t="shared" si="1382"/>
        <v>0</v>
      </c>
      <c r="CX166" s="73">
        <f t="shared" si="1383"/>
        <v>0</v>
      </c>
      <c r="CY166" s="73">
        <f t="shared" si="1384"/>
        <v>0</v>
      </c>
      <c r="CZ166" s="190"/>
      <c r="DA166" s="66">
        <v>2012</v>
      </c>
      <c r="DB166" s="218">
        <f t="shared" si="1352"/>
        <v>1271.5011442801344</v>
      </c>
      <c r="DC166" s="218">
        <f t="shared" si="1353"/>
        <v>8431.8661111789115</v>
      </c>
      <c r="DD166" s="73">
        <f t="shared" si="1354"/>
        <v>0</v>
      </c>
      <c r="DE166" s="73">
        <f t="shared" si="1355"/>
        <v>0</v>
      </c>
      <c r="DF166" s="73">
        <f t="shared" si="1356"/>
        <v>0</v>
      </c>
      <c r="DG166" s="73">
        <f t="shared" si="1357"/>
        <v>2353.3585721400673</v>
      </c>
      <c r="DH166" s="72">
        <f t="shared" si="1385"/>
        <v>0</v>
      </c>
      <c r="DI166" s="72" t="e">
        <f t="shared" si="1386"/>
        <v>#DIV/0!</v>
      </c>
      <c r="DJ166" s="73">
        <f>SUM(AV158:AV166,BB158:BB166,BI158:BI166)</f>
        <v>156.17388882108969</v>
      </c>
      <c r="DK166" s="73">
        <f>SUM(AV164:AV166,BB164:BB166,BI164:BI166)</f>
        <v>156.17388882108969</v>
      </c>
      <c r="DL166" s="190"/>
    </row>
    <row r="167" spans="1:120" x14ac:dyDescent="0.25">
      <c r="A167" s="190"/>
      <c r="B167" s="188">
        <v>2011</v>
      </c>
      <c r="C167" s="61" t="s">
        <v>326</v>
      </c>
      <c r="D167" s="169">
        <v>0</v>
      </c>
      <c r="E167" s="169">
        <v>0</v>
      </c>
      <c r="F167" s="169">
        <v>0</v>
      </c>
      <c r="G167" s="169">
        <v>0</v>
      </c>
      <c r="H167" s="169">
        <v>0</v>
      </c>
      <c r="I167" s="169">
        <v>0</v>
      </c>
      <c r="J167" s="169">
        <v>0</v>
      </c>
      <c r="K167" s="169">
        <v>0</v>
      </c>
      <c r="L167" s="169">
        <v>0</v>
      </c>
      <c r="M167" s="169">
        <v>0</v>
      </c>
      <c r="N167" s="169">
        <v>0</v>
      </c>
      <c r="O167" s="169">
        <v>0</v>
      </c>
      <c r="P167" s="169">
        <v>0</v>
      </c>
      <c r="Q167" s="169">
        <v>0</v>
      </c>
      <c r="R167" s="169">
        <v>0</v>
      </c>
      <c r="S167" s="169">
        <v>0</v>
      </c>
      <c r="T167" s="169">
        <v>0</v>
      </c>
      <c r="U167" s="61">
        <f t="shared" si="1358"/>
        <v>0</v>
      </c>
      <c r="V167" s="190"/>
      <c r="W167" s="66">
        <v>9</v>
      </c>
      <c r="X167" s="66">
        <v>2013</v>
      </c>
      <c r="Y167" s="70">
        <f>MMULT($Y166:$AO166,D$202:D$218)</f>
        <v>0.40165184630082018</v>
      </c>
      <c r="Z167" s="70">
        <f t="shared" ref="Z167:Z177" si="1411">MMULT($Y166:$AO166,E$202:E$218)</f>
        <v>7.9350132444030066E-2</v>
      </c>
      <c r="AA167" s="70">
        <f t="shared" ref="AA167:AA177" si="1412">MMULT($Y166:$AO166,F$202:F$218)</f>
        <v>2.2711269412095766E-2</v>
      </c>
      <c r="AB167" s="70">
        <f t="shared" ref="AB167:AB177" si="1413">MMULT($Y166:$AO166,G$202:G$218)</f>
        <v>1.2788092354875989E-2</v>
      </c>
      <c r="AC167" s="70">
        <f t="shared" ref="AC167:AC177" si="1414">MMULT($Y166:$AO166,H$202:H$218)</f>
        <v>0.22169301105858225</v>
      </c>
      <c r="AD167" s="70">
        <f t="shared" ref="AD167:AD177" si="1415">MMULT($Y166:$AO166,I$202:I$218)</f>
        <v>0.1017364552227743</v>
      </c>
      <c r="AE167" s="70">
        <f t="shared" ref="AE167:AE177" si="1416">MMULT($Y166:$AO166,J$202:J$218)</f>
        <v>1.2322340839651991E-2</v>
      </c>
      <c r="AF167" s="70">
        <f t="shared" ref="AF167:AF177" si="1417">MMULT($Y166:$AO166,K$202:K$218)</f>
        <v>0</v>
      </c>
      <c r="AG167" s="70">
        <f t="shared" ref="AG167:AG177" si="1418">MMULT($Y166:$AO166,L$202:L$218)</f>
        <v>1.3509635260084139E-2</v>
      </c>
      <c r="AH167" s="70">
        <f t="shared" ref="AH167:AH177" si="1419">MMULT($Y166:$AO166,M$202:M$218)</f>
        <v>7.5148512019901498E-3</v>
      </c>
      <c r="AI167" s="70">
        <f t="shared" ref="AI167:AI177" si="1420">MMULT($Y166:$AO166,N$202:N$218)</f>
        <v>0.06</v>
      </c>
      <c r="AJ167" s="70">
        <f t="shared" ref="AJ167:AJ177" si="1421">MMULT($Y166:$AO166,O$202:O$218)</f>
        <v>4.1948879784681731E-2</v>
      </c>
      <c r="AK167" s="70">
        <f t="shared" ref="AK167:AK177" si="1422">MMULT($Y166:$AO166,P$202:P$218)</f>
        <v>6.5884417073588351E-3</v>
      </c>
      <c r="AL167" s="70">
        <f t="shared" ref="AL167:AL177" si="1423">MMULT($Y166:$AO166,Q$202:Q$218)</f>
        <v>0</v>
      </c>
      <c r="AM167" s="70">
        <f t="shared" ref="AM167:AM177" si="1424">MMULT($Y166:$AO166,R$202:R$218)</f>
        <v>0</v>
      </c>
      <c r="AN167" s="70">
        <f t="shared" ref="AN167:AN177" si="1425">MMULT($Y166:$AO166,S$202:S$218)</f>
        <v>0</v>
      </c>
      <c r="AO167" s="70">
        <f t="shared" ref="AO167:AO177" si="1426">MMULT($Y166:$AO166,T$202:T$218)</f>
        <v>0</v>
      </c>
      <c r="AP167" s="190"/>
      <c r="AQ167" s="66">
        <v>9</v>
      </c>
      <c r="AR167" s="66">
        <v>2013</v>
      </c>
      <c r="AS167" s="215">
        <f t="shared" si="1335"/>
        <v>3449.4021221052963</v>
      </c>
      <c r="AT167" s="215">
        <f t="shared" si="1336"/>
        <v>681.46211143462801</v>
      </c>
      <c r="AU167" s="215">
        <f t="shared" si="1337"/>
        <v>195.04529016185495</v>
      </c>
      <c r="AV167" s="215">
        <f t="shared" si="1338"/>
        <v>109.8246486673692</v>
      </c>
      <c r="AW167" s="215">
        <f t="shared" si="1339"/>
        <v>1903.9084466915469</v>
      </c>
      <c r="AX167" s="215">
        <f t="shared" si="1340"/>
        <v>873.71674691139469</v>
      </c>
      <c r="AY167" s="215">
        <f t="shared" si="1341"/>
        <v>105.82475602456491</v>
      </c>
      <c r="AZ167" s="215">
        <f t="shared" si="1342"/>
        <v>0</v>
      </c>
      <c r="BA167" s="215">
        <f t="shared" si="1343"/>
        <v>116.021287999013</v>
      </c>
      <c r="BB167" s="215">
        <f t="shared" si="1344"/>
        <v>64.53784271673949</v>
      </c>
      <c r="BC167" s="215">
        <f t="shared" si="1345"/>
        <v>515.28240000000005</v>
      </c>
      <c r="BD167" s="215">
        <f t="shared" si="1346"/>
        <v>360.25865754603814</v>
      </c>
      <c r="BE167" s="215">
        <f t="shared" si="1347"/>
        <v>56.581800920465973</v>
      </c>
      <c r="BF167" s="215">
        <f t="shared" si="1348"/>
        <v>0</v>
      </c>
      <c r="BG167" s="215">
        <f t="shared" si="1349"/>
        <v>0</v>
      </c>
      <c r="BH167" s="215">
        <f t="shared" si="1350"/>
        <v>0</v>
      </c>
      <c r="BI167" s="215">
        <f t="shared" si="1351"/>
        <v>0</v>
      </c>
      <c r="BJ167" s="194"/>
      <c r="BK167" s="66">
        <v>9</v>
      </c>
      <c r="BL167" s="66">
        <v>2013</v>
      </c>
      <c r="BM167" s="215">
        <f t="shared" ref="BM167:BM177" si="1427">(AX166*pInt_InCare_Int_LTFU_2013plus_u)+(BM166*pInt_LTFU_2013plus_u)</f>
        <v>116.021287999013</v>
      </c>
      <c r="BN167" s="219">
        <f t="shared" ref="BN167:BN177" si="1428">(AU166*pAsympt_LTFU_Int_LTFU_2013plus_u)+(BN166*pInt_LTFU_2013plus_u)</f>
        <v>0</v>
      </c>
      <c r="BO167" s="219">
        <f t="shared" ref="BO167:BO177" si="1429">(AY166*pInt_ART1_Int_LTFU_2013plus_u)+(BO166*pInt_LTFU_2013plus_u)</f>
        <v>0</v>
      </c>
      <c r="BP167" s="219">
        <f t="shared" ref="BP167:BP177" si="1430">(AZ166*pInt_ART2_Int_LTFU_2013plus_u)+(BP166*pInt_LTFU_2013plus_u)</f>
        <v>0</v>
      </c>
      <c r="BQ167" s="219">
        <f t="shared" ref="BQ167:BQ177" si="1431">(BD166*pAIDS_InCare_AIDS_LTFU_2013plus_u)+(BQ166*pAIDS_LTFU_2013plus_u)</f>
        <v>0</v>
      </c>
      <c r="BR167" s="220">
        <f t="shared" ref="BR167:BR177" si="1432">(BN166*pInt_LTFU_AIDS_LTFU_2013plus_u)+(BR166*pAIDS_LTFU_2013plus_u)</f>
        <v>0</v>
      </c>
      <c r="BS167" s="219">
        <f t="shared" ref="BS167:BS177" si="1433">(BM166*pInt_LTFU_AIDS_LTFU_2013plus_u)+(BS166*pAIDS_LTFU_2013plus_u)</f>
        <v>0</v>
      </c>
      <c r="BT167" s="219">
        <f t="shared" ref="BT167:BT177" si="1434">(BE166*pAIDS_ART1ear_AIDS_LTFU_2013plus_u)+(BT166*pAIDS_LTFU_2013plus_u)</f>
        <v>0</v>
      </c>
      <c r="BU167" s="219">
        <f t="shared" ref="BU167:BU177" si="1435">(BF166*pAIDS_ART1late_AIDS_LTFU_2013plus_u)+(BU166*pAIDS_LTFU_2013plus_u)</f>
        <v>0</v>
      </c>
      <c r="BV167" s="219">
        <f t="shared" ref="BV167:BV177" si="1436">(BO166*pInt_LTFU_AIDS_LTFU_2013plus_u)+(BV166*pAIDS_LTFU_2013plus_u)</f>
        <v>0</v>
      </c>
      <c r="BW167" s="219">
        <f t="shared" ref="BW167:BW177" si="1437">(BG166*pAIDS_ART2_AIDS_LTFU_2013plus_u)+(BW166*pAIDS_LTFU_2013plus_u)</f>
        <v>0</v>
      </c>
      <c r="BX167" s="220">
        <f t="shared" ref="BX167:BX177" si="1438">(BP166*pInt_LTFU_AIDS_LTFU_2013plus_u)+(BX166*pAIDS_LTFU_2013plus_u)</f>
        <v>0</v>
      </c>
      <c r="BY167" s="195"/>
      <c r="BZ167" s="192">
        <v>9</v>
      </c>
      <c r="CA167" s="66">
        <v>2013</v>
      </c>
      <c r="CB167" s="218">
        <f t="shared" ref="CB167:CB177" si="1439">pAsympt_NoCare_Asympt_Dead_2013plus_u*AS166</f>
        <v>98.976777172516762</v>
      </c>
      <c r="CC167" s="218">
        <f t="shared" ref="CC167:CC177" si="1440">pAsympt_InCare_Asympt_Dead_2013plus_u*AT166</f>
        <v>10.847871494852438</v>
      </c>
      <c r="CD167" s="73">
        <f t="shared" ref="CD167:CD177" si="1441">pAsympt_LTFU_Asympt_Dead_2013plus_u*AU166</f>
        <v>0</v>
      </c>
      <c r="CE167" s="73">
        <f t="shared" ref="CE167:CE177" si="1442">pInt_NoCare_Int_Dead_2013plus_u*AW166</f>
        <v>47.901574880172824</v>
      </c>
      <c r="CF167" s="73">
        <f t="shared" ref="CF167:CF177" si="1443">pInt_InCare_Int_Dead_2013plus_u*AX166</f>
        <v>16.636267836566656</v>
      </c>
      <c r="CG167" s="73">
        <f t="shared" ref="CG167:CG177" si="1444">pInt_ART1_Int_Dead_2013plus_u*AY166</f>
        <v>0</v>
      </c>
      <c r="CH167" s="73">
        <f t="shared" ref="CH167:CH177" si="1445">pInt_ART2_Int_Dead_2013plus_u*AZ166</f>
        <v>0</v>
      </c>
      <c r="CI167" s="73">
        <f t="shared" ref="CI167:CI177" si="1446">(BM166*pInt_LTFU_Int_Dead_2013plus_u)</f>
        <v>0</v>
      </c>
      <c r="CJ167" s="73">
        <f t="shared" ref="CJ167:CJ177" si="1447">(BN166*pInt_LTFU_Int_Dead_2013plus_u)</f>
        <v>0</v>
      </c>
      <c r="CK167" s="73">
        <f t="shared" ref="CK167:CK177" si="1448">(BO166*pInt_LTFU_Int_Dead_2013plus_u)</f>
        <v>0</v>
      </c>
      <c r="CL167" s="73">
        <f t="shared" ref="CL167:CL177" si="1449">(BP166*pInt_LTFU_Int_Dead_2013plus_u)</f>
        <v>0</v>
      </c>
      <c r="CM167" s="73">
        <f t="shared" ref="CM167:CM177" si="1450">pAIDS_NoCare_AIDS_Dead_2013plus_u*BC166</f>
        <v>0</v>
      </c>
      <c r="CN167" s="73">
        <f t="shared" ref="CN167:CN177" si="1451">pAIDS_InCare_AIDS_Dead_2013plus_u*BD166</f>
        <v>0</v>
      </c>
      <c r="CO167" s="73">
        <f t="shared" ref="CO167:CO177" si="1452">pAIDS_ART1ear_AIDS_Dead_2013plus_u*BE166</f>
        <v>0</v>
      </c>
      <c r="CP167" s="73">
        <f t="shared" ref="CP167:CP177" si="1453">pAIDS_ART1late_AIDS_Dead_2013plus_u*BF166</f>
        <v>0</v>
      </c>
      <c r="CQ167" s="73">
        <f t="shared" ref="CQ167:CQ177" si="1454">pAIDS_ART2_AIDS_Dead_2013plus_u*BG166</f>
        <v>0</v>
      </c>
      <c r="CR167" s="73">
        <f t="shared" ref="CR167:CR177" si="1455">(BQ166*pAIDS_LTFU_AIDS_Dead_2013plus_u)</f>
        <v>0</v>
      </c>
      <c r="CS167" s="73">
        <f t="shared" ref="CS167:CS177" si="1456">(BR166*pAIDS_LTFU_AIDS_Dead_2013plus_u)</f>
        <v>0</v>
      </c>
      <c r="CT167" s="73">
        <f t="shared" ref="CT167:CT177" si="1457">(BS166*pAIDS_LTFU_AIDS_Dead_2013plus_u)</f>
        <v>0</v>
      </c>
      <c r="CU167" s="73">
        <f t="shared" ref="CU167:CU177" si="1458">(BT166*pAIDS_LTFU_AIDS_Dead_2013plus_u)</f>
        <v>0</v>
      </c>
      <c r="CV167" s="73">
        <f t="shared" ref="CV167:CV177" si="1459">(BU166*pAIDS_LTFU_AIDS_Dead_2013plus_u)</f>
        <v>0</v>
      </c>
      <c r="CW167" s="73">
        <f t="shared" ref="CW167:CW177" si="1460">(BV166*pAIDS_LTFU_AIDS_Dead_2013plus_u)</f>
        <v>0</v>
      </c>
      <c r="CX167" s="73">
        <f t="shared" ref="CX167:CX177" si="1461">(BW166*pAIDS_LTFU_AIDS_Dead_2013plus_u)</f>
        <v>0</v>
      </c>
      <c r="CY167" s="73">
        <f t="shared" ref="CY167:CY177" si="1462">(BX166*pAIDS_LTFU_AIDS_Dead_2013plus_u)</f>
        <v>0</v>
      </c>
      <c r="CZ167" s="190"/>
      <c r="DA167" s="66">
        <v>2013</v>
      </c>
      <c r="DB167" s="218">
        <f t="shared" si="1352"/>
        <v>1915.4375158920609</v>
      </c>
      <c r="DC167" s="218">
        <f t="shared" si="1353"/>
        <v>8257.5036197948029</v>
      </c>
      <c r="DD167" s="73">
        <f t="shared" si="1354"/>
        <v>162.40655694503087</v>
      </c>
      <c r="DE167" s="73">
        <f t="shared" si="1355"/>
        <v>56.581800920465973</v>
      </c>
      <c r="DF167" s="73">
        <f t="shared" si="1356"/>
        <v>875.54105754603825</v>
      </c>
      <c r="DG167" s="73">
        <f t="shared" si="1357"/>
        <v>3769.187539147993</v>
      </c>
      <c r="DH167" s="72">
        <f t="shared" si="1385"/>
        <v>4.1308068171742478E-2</v>
      </c>
      <c r="DI167" s="72">
        <f t="shared" si="1386"/>
        <v>6.0702084930684311E-2</v>
      </c>
      <c r="DJ167" s="73">
        <f>SUM(AV158:AV167,BB158:BB167,BI158:BI167)</f>
        <v>330.53638020519838</v>
      </c>
      <c r="DK167" s="73">
        <f>SUM(AV164:AV167,BB164:BB167,BI164:BI167)</f>
        <v>330.53638020519838</v>
      </c>
      <c r="DL167" s="190"/>
    </row>
    <row r="168" spans="1:120" x14ac:dyDescent="0.25">
      <c r="A168" s="190"/>
      <c r="B168" s="188">
        <v>2011</v>
      </c>
      <c r="C168" s="61" t="s">
        <v>327</v>
      </c>
      <c r="D168" s="169">
        <v>0</v>
      </c>
      <c r="E168" s="169">
        <v>0</v>
      </c>
      <c r="F168" s="169">
        <v>0</v>
      </c>
      <c r="G168" s="169">
        <v>0</v>
      </c>
      <c r="H168" s="169">
        <v>0</v>
      </c>
      <c r="I168" s="169">
        <v>0</v>
      </c>
      <c r="J168" s="169">
        <v>0</v>
      </c>
      <c r="K168" s="169">
        <v>0</v>
      </c>
      <c r="L168" s="169">
        <v>0</v>
      </c>
      <c r="M168" s="169">
        <v>0</v>
      </c>
      <c r="N168" s="172">
        <f>pAIDS_NoCare_2010_2012</f>
        <v>6.9057483924386043E-2</v>
      </c>
      <c r="O168" s="172">
        <f>pAIDS_NoCare_AIDS_InCare_2010_2012</f>
        <v>0.46884042112291341</v>
      </c>
      <c r="P168" s="170">
        <f>pAIDS_NoCare_AIDS_ART1ear_2010_2012</f>
        <v>5.1587356649849515E-2</v>
      </c>
      <c r="Q168" s="169">
        <v>0</v>
      </c>
      <c r="R168" s="169">
        <v>0</v>
      </c>
      <c r="S168" s="169">
        <v>0</v>
      </c>
      <c r="T168" s="170">
        <f>pAIDS_NoCare_AIDS_Dead_2010_2012</f>
        <v>0.41051473830285101</v>
      </c>
      <c r="U168" s="61">
        <f t="shared" si="1358"/>
        <v>0.99999999999999989</v>
      </c>
      <c r="V168" s="190"/>
      <c r="W168" s="66">
        <v>10</v>
      </c>
      <c r="X168" s="66">
        <v>2014</v>
      </c>
      <c r="Y168" s="70">
        <f t="shared" ref="Y168:Y177" si="1463">MMULT($Y167:$AO167,D$202:D$218)</f>
        <v>0.25455090855673068</v>
      </c>
      <c r="Z168" s="70">
        <f t="shared" si="1411"/>
        <v>6.4499850078608451E-2</v>
      </c>
      <c r="AA168" s="70">
        <f t="shared" si="1412"/>
        <v>3.9118268432763954E-2</v>
      </c>
      <c r="AB168" s="70">
        <f t="shared" si="1413"/>
        <v>9.0710208405925634E-3</v>
      </c>
      <c r="AC168" s="70">
        <f t="shared" si="1414"/>
        <v>0.18556914332068541</v>
      </c>
      <c r="AD168" s="70">
        <f t="shared" si="1415"/>
        <v>9.5348753537974687E-2</v>
      </c>
      <c r="AE168" s="70">
        <f t="shared" si="1416"/>
        <v>3.3225173226078444E-2</v>
      </c>
      <c r="AF168" s="70">
        <f t="shared" si="1417"/>
        <v>2.4263437499190883E-3</v>
      </c>
      <c r="AG168" s="70">
        <f t="shared" si="1418"/>
        <v>2.8668531751787067E-2</v>
      </c>
      <c r="AH168" s="70">
        <f t="shared" si="1419"/>
        <v>9.2840050097176517E-3</v>
      </c>
      <c r="AI168" s="70">
        <f t="shared" si="1420"/>
        <v>7.0651352353037836E-2</v>
      </c>
      <c r="AJ168" s="70">
        <f t="shared" si="1421"/>
        <v>8.569708969366624E-2</v>
      </c>
      <c r="AK168" s="70">
        <f t="shared" si="1422"/>
        <v>3.0309750692456512E-2</v>
      </c>
      <c r="AL168" s="70">
        <f t="shared" si="1423"/>
        <v>5.4057491247627015E-3</v>
      </c>
      <c r="AM168" s="70">
        <f t="shared" si="1424"/>
        <v>0</v>
      </c>
      <c r="AN168" s="70">
        <f t="shared" si="1425"/>
        <v>5.9232001121558263E-3</v>
      </c>
      <c r="AO168" s="70">
        <f t="shared" si="1426"/>
        <v>4.1762871549142107E-2</v>
      </c>
      <c r="AP168" s="190"/>
      <c r="AQ168" s="66">
        <v>10</v>
      </c>
      <c r="AR168" s="66">
        <v>2014</v>
      </c>
      <c r="AS168" s="215">
        <f t="shared" si="1335"/>
        <v>2186.0933847215456</v>
      </c>
      <c r="AT168" s="215">
        <f t="shared" si="1336"/>
        <v>553.92729246909255</v>
      </c>
      <c r="AU168" s="215">
        <f t="shared" si="1337"/>
        <v>335.94925403131418</v>
      </c>
      <c r="AV168" s="215">
        <f t="shared" si="1338"/>
        <v>77.902289819842565</v>
      </c>
      <c r="AW168" s="215">
        <f t="shared" si="1339"/>
        <v>1593.6752256037794</v>
      </c>
      <c r="AX168" s="215">
        <f t="shared" si="1340"/>
        <v>818.85890933426822</v>
      </c>
      <c r="AY168" s="215">
        <f t="shared" si="1341"/>
        <v>285.33911667249077</v>
      </c>
      <c r="AZ168" s="215">
        <f t="shared" si="1342"/>
        <v>20.837537178055129</v>
      </c>
      <c r="BA168" s="215">
        <f t="shared" si="1343"/>
        <v>246.20649742561744</v>
      </c>
      <c r="BB168" s="215">
        <f t="shared" si="1344"/>
        <v>79.731406383655596</v>
      </c>
      <c r="BC168" s="215">
        <f t="shared" si="1345"/>
        <v>606.75664006198315</v>
      </c>
      <c r="BD168" s="215">
        <f t="shared" si="1346"/>
        <v>735.97003417279348</v>
      </c>
      <c r="BE168" s="215">
        <f t="shared" si="1347"/>
        <v>260.30135133684428</v>
      </c>
      <c r="BF168" s="215">
        <f t="shared" si="1348"/>
        <v>46.424789713427074</v>
      </c>
      <c r="BG168" s="215">
        <f t="shared" si="1349"/>
        <v>0</v>
      </c>
      <c r="BH168" s="215">
        <f t="shared" si="1350"/>
        <v>50.868679491198726</v>
      </c>
      <c r="BI168" s="215">
        <f t="shared" si="1351"/>
        <v>358.66121137889439</v>
      </c>
      <c r="BJ168" s="194"/>
      <c r="BK168" s="66">
        <v>10</v>
      </c>
      <c r="BL168" s="66">
        <v>2014</v>
      </c>
      <c r="BM168" s="215">
        <f t="shared" si="1427"/>
        <v>205.67509470161843</v>
      </c>
      <c r="BN168" s="219">
        <f t="shared" si="1428"/>
        <v>39.009058032370994</v>
      </c>
      <c r="BO168" s="219">
        <f t="shared" si="1429"/>
        <v>1.5223446916279959</v>
      </c>
      <c r="BP168" s="219">
        <f t="shared" si="1430"/>
        <v>0</v>
      </c>
      <c r="BQ168" s="219">
        <f t="shared" si="1431"/>
        <v>21.185182166464188</v>
      </c>
      <c r="BR168" s="220">
        <f t="shared" si="1432"/>
        <v>0</v>
      </c>
      <c r="BS168" s="219">
        <f t="shared" si="1433"/>
        <v>27.889554306043259</v>
      </c>
      <c r="BT168" s="219">
        <f t="shared" si="1434"/>
        <v>1.7939430186912875</v>
      </c>
      <c r="BU168" s="219">
        <f t="shared" si="1435"/>
        <v>0</v>
      </c>
      <c r="BV168" s="219">
        <f t="shared" si="1436"/>
        <v>0</v>
      </c>
      <c r="BW168" s="219">
        <f t="shared" si="1437"/>
        <v>0</v>
      </c>
      <c r="BX168" s="220">
        <f t="shared" si="1438"/>
        <v>0</v>
      </c>
      <c r="BY168" s="195"/>
      <c r="BZ168" s="192">
        <v>10</v>
      </c>
      <c r="CA168" s="66">
        <v>2014</v>
      </c>
      <c r="CB168" s="218">
        <f t="shared" si="1439"/>
        <v>62.727530788969702</v>
      </c>
      <c r="CC168" s="218">
        <f t="shared" si="1440"/>
        <v>11.627851766722399</v>
      </c>
      <c r="CD168" s="73">
        <f t="shared" si="1441"/>
        <v>3.5469072641504593</v>
      </c>
      <c r="CE168" s="73">
        <f t="shared" si="1442"/>
        <v>53.097221848168303</v>
      </c>
      <c r="CF168" s="73">
        <f t="shared" si="1443"/>
        <v>22.863346809083612</v>
      </c>
      <c r="CG168" s="73">
        <f t="shared" si="1444"/>
        <v>0.53517370132995767</v>
      </c>
      <c r="CH168" s="73">
        <f t="shared" si="1445"/>
        <v>0</v>
      </c>
      <c r="CI168" s="73">
        <f t="shared" si="1446"/>
        <v>3.2356640250737172</v>
      </c>
      <c r="CJ168" s="73">
        <f t="shared" si="1447"/>
        <v>0</v>
      </c>
      <c r="CK168" s="73">
        <f t="shared" si="1448"/>
        <v>0</v>
      </c>
      <c r="CL168" s="73">
        <f t="shared" si="1449"/>
        <v>0</v>
      </c>
      <c r="CM168" s="73">
        <f t="shared" si="1450"/>
        <v>211.53101958806502</v>
      </c>
      <c r="CN168" s="73">
        <f t="shared" si="1451"/>
        <v>138.76712360248183</v>
      </c>
      <c r="CO168" s="73">
        <f t="shared" si="1452"/>
        <v>8.3630681883476132</v>
      </c>
      <c r="CP168" s="73">
        <f t="shared" si="1453"/>
        <v>0</v>
      </c>
      <c r="CQ168" s="73">
        <f t="shared" si="1454"/>
        <v>0</v>
      </c>
      <c r="CR168" s="73">
        <f t="shared" si="1455"/>
        <v>0</v>
      </c>
      <c r="CS168" s="73">
        <f t="shared" si="1456"/>
        <v>0</v>
      </c>
      <c r="CT168" s="73">
        <f t="shared" si="1457"/>
        <v>0</v>
      </c>
      <c r="CU168" s="73">
        <f t="shared" si="1458"/>
        <v>0</v>
      </c>
      <c r="CV168" s="73">
        <f t="shared" si="1459"/>
        <v>0</v>
      </c>
      <c r="CW168" s="73">
        <f t="shared" si="1460"/>
        <v>0</v>
      </c>
      <c r="CX168" s="73">
        <f t="shared" si="1461"/>
        <v>0</v>
      </c>
      <c r="CY168" s="73">
        <f t="shared" si="1462"/>
        <v>0</v>
      </c>
      <c r="CZ168" s="190"/>
      <c r="DA168" s="66">
        <v>2014</v>
      </c>
      <c r="DB168" s="218">
        <f t="shared" si="1352"/>
        <v>2108.7562359761541</v>
      </c>
      <c r="DC168" s="218">
        <f t="shared" si="1353"/>
        <v>7741.2087122124094</v>
      </c>
      <c r="DD168" s="73">
        <f t="shared" si="1354"/>
        <v>612.9027949008173</v>
      </c>
      <c r="DE168" s="73">
        <f t="shared" si="1355"/>
        <v>306.72614105027134</v>
      </c>
      <c r="DF168" s="73">
        <f t="shared" si="1356"/>
        <v>1393.5953537259752</v>
      </c>
      <c r="DG168" s="73">
        <f t="shared" si="1357"/>
        <v>4052.3359860896398</v>
      </c>
      <c r="DH168" s="72">
        <f t="shared" si="1385"/>
        <v>0.13137651118699961</v>
      </c>
      <c r="DI168" s="72">
        <f t="shared" si="1386"/>
        <v>0.18039302684380573</v>
      </c>
      <c r="DJ168" s="73">
        <f>SUM(AV158:AV168,BB158:BB168,BI158:BI168)</f>
        <v>846.83128778759101</v>
      </c>
      <c r="DK168" s="73">
        <f>SUM(AV164:AV168,BB164:BB168,BI164:BI168)</f>
        <v>846.83128778759101</v>
      </c>
      <c r="DL168" s="190"/>
    </row>
    <row r="169" spans="1:120" x14ac:dyDescent="0.25">
      <c r="A169" s="190"/>
      <c r="B169" s="188">
        <v>2011</v>
      </c>
      <c r="C169" s="61" t="s">
        <v>328</v>
      </c>
      <c r="D169" s="169">
        <v>0</v>
      </c>
      <c r="E169" s="169">
        <v>0</v>
      </c>
      <c r="F169" s="169">
        <v>0</v>
      </c>
      <c r="G169" s="169">
        <v>0</v>
      </c>
      <c r="H169" s="169">
        <v>0</v>
      </c>
      <c r="I169" s="169">
        <v>0</v>
      </c>
      <c r="J169" s="169">
        <v>0</v>
      </c>
      <c r="K169" s="169">
        <v>0</v>
      </c>
      <c r="L169" s="169">
        <v>0</v>
      </c>
      <c r="M169" s="169">
        <v>0</v>
      </c>
      <c r="N169" s="169">
        <v>0</v>
      </c>
      <c r="O169" s="172">
        <f>pAIDS_InCare_2011</f>
        <v>0.12310001975146179</v>
      </c>
      <c r="P169" s="172">
        <f>pAIDS_InCare_AIDS_ART1ear_2011</f>
        <v>0.43290702569058864</v>
      </c>
      <c r="Q169" s="169">
        <v>0</v>
      </c>
      <c r="R169" s="169">
        <v>0</v>
      </c>
      <c r="S169" s="170">
        <f>pAIDS_InCare_AIDS_LTFU_2004_2012</f>
        <v>5.8805476905872532E-2</v>
      </c>
      <c r="T169" s="170">
        <f>pAIDS_InCare_AIDS_Dead_2004_2012</f>
        <v>0.385187477652077</v>
      </c>
      <c r="U169" s="61">
        <f t="shared" si="1358"/>
        <v>1</v>
      </c>
      <c r="V169" s="190"/>
      <c r="W169" s="66">
        <v>11</v>
      </c>
      <c r="X169" s="66">
        <v>2015</v>
      </c>
      <c r="Y169" s="70">
        <f t="shared" si="1463"/>
        <v>0.16132420563685768</v>
      </c>
      <c r="Z169" s="70">
        <f t="shared" si="1411"/>
        <v>4.71038184743756E-2</v>
      </c>
      <c r="AA169" s="70">
        <f t="shared" si="1412"/>
        <v>4.5235269776561449E-2</v>
      </c>
      <c r="AB169" s="70">
        <f t="shared" si="1413"/>
        <v>6.4409540029590553E-3</v>
      </c>
      <c r="AC169" s="70">
        <f t="shared" si="1414"/>
        <v>0.13900077623788976</v>
      </c>
      <c r="AD169" s="70">
        <f t="shared" si="1415"/>
        <v>7.6174180760404872E-2</v>
      </c>
      <c r="AE169" s="70">
        <f t="shared" si="1416"/>
        <v>5.6759597073604617E-2</v>
      </c>
      <c r="AF169" s="70">
        <f t="shared" si="1417"/>
        <v>7.5893612305730114E-3</v>
      </c>
      <c r="AG169" s="70">
        <f t="shared" si="1418"/>
        <v>3.7159545159019869E-2</v>
      </c>
      <c r="AH169" s="70">
        <f t="shared" si="1419"/>
        <v>8.6501493740506214E-3</v>
      </c>
      <c r="AI169" s="70">
        <f t="shared" si="1420"/>
        <v>6.0549747625561666E-2</v>
      </c>
      <c r="AJ169" s="70">
        <f t="shared" si="1421"/>
        <v>9.0594426191087832E-2</v>
      </c>
      <c r="AK169" s="70">
        <f t="shared" si="1422"/>
        <v>5.0485938529922988E-2</v>
      </c>
      <c r="AL169" s="70">
        <f t="shared" si="1423"/>
        <v>2.9911611370230826E-2</v>
      </c>
      <c r="AM169" s="70">
        <f t="shared" si="1424"/>
        <v>1.5413424508965083E-3</v>
      </c>
      <c r="AN169" s="70">
        <f t="shared" si="1425"/>
        <v>1.3809606340603651E-2</v>
      </c>
      <c r="AO169" s="70">
        <f t="shared" si="1426"/>
        <v>6.9063584396026889E-2</v>
      </c>
      <c r="AP169" s="190"/>
      <c r="AQ169" s="66">
        <v>11</v>
      </c>
      <c r="AR169" s="66">
        <v>2015</v>
      </c>
      <c r="AS169" s="215">
        <f t="shared" si="1335"/>
        <v>1385.4587309775593</v>
      </c>
      <c r="AT169" s="215">
        <f t="shared" si="1336"/>
        <v>404.52947721067665</v>
      </c>
      <c r="AU169" s="215">
        <f t="shared" si="1337"/>
        <v>388.48230625190081</v>
      </c>
      <c r="AV169" s="215">
        <f t="shared" si="1338"/>
        <v>55.315170615572491</v>
      </c>
      <c r="AW169" s="215">
        <f t="shared" si="1339"/>
        <v>1193.7442263620469</v>
      </c>
      <c r="AX169" s="215">
        <f t="shared" si="1340"/>
        <v>654.1869113375875</v>
      </c>
      <c r="AY169" s="215">
        <f t="shared" si="1341"/>
        <v>487.45369005199944</v>
      </c>
      <c r="AZ169" s="215">
        <f t="shared" si="1342"/>
        <v>65.177737822610254</v>
      </c>
      <c r="BA169" s="215">
        <f t="shared" si="1343"/>
        <v>319.12766020746903</v>
      </c>
      <c r="BB169" s="215">
        <f t="shared" si="1344"/>
        <v>74.2878288303217</v>
      </c>
      <c r="BC169" s="215">
        <f t="shared" si="1345"/>
        <v>520.00365459822865</v>
      </c>
      <c r="BD169" s="215">
        <f t="shared" si="1346"/>
        <v>778.02855590611</v>
      </c>
      <c r="BE169" s="215">
        <f t="shared" si="1347"/>
        <v>433.57525953251985</v>
      </c>
      <c r="BF169" s="215">
        <f t="shared" si="1348"/>
        <v>256.88211491199718</v>
      </c>
      <c r="BG169" s="215">
        <f t="shared" si="1349"/>
        <v>13.23711062199725</v>
      </c>
      <c r="BH169" s="215">
        <f t="shared" si="1350"/>
        <v>118.59745163735779</v>
      </c>
      <c r="BI169" s="215">
        <f t="shared" si="1351"/>
        <v>593.1208253364548</v>
      </c>
      <c r="BJ169" s="194"/>
      <c r="BK169" s="66">
        <v>11</v>
      </c>
      <c r="BL169" s="66">
        <v>2015</v>
      </c>
      <c r="BM169" s="215">
        <f t="shared" si="1427"/>
        <v>231.38443611982507</v>
      </c>
      <c r="BN169" s="219">
        <f t="shared" si="1428"/>
        <v>82.732166789984859</v>
      </c>
      <c r="BO169" s="219">
        <f t="shared" si="1429"/>
        <v>4.711298382058585</v>
      </c>
      <c r="BP169" s="219">
        <f t="shared" si="1430"/>
        <v>0.29975891560052059</v>
      </c>
      <c r="BQ169" s="219">
        <f t="shared" si="1431"/>
        <v>46.352726546685659</v>
      </c>
      <c r="BR169" s="220">
        <f t="shared" si="1432"/>
        <v>9.3771174340924315</v>
      </c>
      <c r="BS169" s="219">
        <f t="shared" si="1433"/>
        <v>53.487175587849435</v>
      </c>
      <c r="BT169" s="219">
        <f t="shared" si="1434"/>
        <v>8.5132073383481472</v>
      </c>
      <c r="BU169" s="219">
        <f t="shared" si="1435"/>
        <v>0.50127882785052602</v>
      </c>
      <c r="BV169" s="219">
        <f t="shared" si="1436"/>
        <v>0.36594590253158416</v>
      </c>
      <c r="BW169" s="219">
        <f t="shared" si="1437"/>
        <v>0</v>
      </c>
      <c r="BX169" s="220">
        <f t="shared" si="1438"/>
        <v>0</v>
      </c>
      <c r="BY169" s="195"/>
      <c r="BZ169" s="192">
        <v>11</v>
      </c>
      <c r="CA169" s="66">
        <v>2015</v>
      </c>
      <c r="CB169" s="218">
        <f t="shared" si="1439"/>
        <v>39.754205292246226</v>
      </c>
      <c r="CC169" s="218">
        <f t="shared" si="1440"/>
        <v>9.4517132182342465</v>
      </c>
      <c r="CD169" s="73">
        <f t="shared" si="1441"/>
        <v>6.1092521050920201</v>
      </c>
      <c r="CE169" s="73">
        <f t="shared" si="1442"/>
        <v>44.445271071126676</v>
      </c>
      <c r="CF169" s="73">
        <f t="shared" si="1443"/>
        <v>21.427831500311104</v>
      </c>
      <c r="CG169" s="73">
        <f t="shared" si="1444"/>
        <v>1.443008204700138</v>
      </c>
      <c r="CH169" s="73">
        <f t="shared" si="1445"/>
        <v>0.10537895211959421</v>
      </c>
      <c r="CI169" s="73">
        <f t="shared" si="1446"/>
        <v>5.7359775628875811</v>
      </c>
      <c r="CJ169" s="73">
        <f t="shared" si="1447"/>
        <v>1.0879055723672841</v>
      </c>
      <c r="CK169" s="73">
        <f t="shared" si="1448"/>
        <v>4.2455966809337199E-2</v>
      </c>
      <c r="CL169" s="73">
        <f t="shared" si="1449"/>
        <v>0</v>
      </c>
      <c r="CM169" s="73">
        <f t="shared" si="1450"/>
        <v>249.08254330856218</v>
      </c>
      <c r="CN169" s="73">
        <f t="shared" si="1451"/>
        <v>283.48644109053123</v>
      </c>
      <c r="CO169" s="73">
        <f t="shared" si="1452"/>
        <v>38.473818707344357</v>
      </c>
      <c r="CP169" s="73">
        <f t="shared" si="1453"/>
        <v>1.1956795808759493</v>
      </c>
      <c r="CQ169" s="73">
        <f t="shared" si="1454"/>
        <v>0</v>
      </c>
      <c r="CR169" s="73">
        <f t="shared" si="1455"/>
        <v>8.696829512964273</v>
      </c>
      <c r="CS169" s="73">
        <f t="shared" si="1456"/>
        <v>0</v>
      </c>
      <c r="CT169" s="73">
        <f t="shared" si="1457"/>
        <v>11.4490730873285</v>
      </c>
      <c r="CU169" s="73">
        <f t="shared" si="1458"/>
        <v>0.7364400488482804</v>
      </c>
      <c r="CV169" s="73">
        <f t="shared" si="1459"/>
        <v>0</v>
      </c>
      <c r="CW169" s="73">
        <f t="shared" si="1460"/>
        <v>0</v>
      </c>
      <c r="CX169" s="73">
        <f t="shared" si="1461"/>
        <v>0</v>
      </c>
      <c r="CY169" s="73">
        <f t="shared" si="1462"/>
        <v>0</v>
      </c>
      <c r="CZ169" s="190"/>
      <c r="DA169" s="66">
        <v>2015</v>
      </c>
      <c r="DB169" s="218">
        <f t="shared" si="1352"/>
        <v>1836.744944454374</v>
      </c>
      <c r="DC169" s="218">
        <f t="shared" si="1353"/>
        <v>7018.4848874300624</v>
      </c>
      <c r="DD169" s="73">
        <f t="shared" si="1354"/>
        <v>1256.325912941124</v>
      </c>
      <c r="DE169" s="73">
        <f t="shared" si="1355"/>
        <v>703.69448506651418</v>
      </c>
      <c r="DF169" s="73">
        <f t="shared" si="1356"/>
        <v>1416.6296621416966</v>
      </c>
      <c r="DG169" s="73">
        <f t="shared" si="1357"/>
        <v>3583.6884600488002</v>
      </c>
      <c r="DH169" s="72">
        <f t="shared" si="1385"/>
        <v>0.25957069878803424</v>
      </c>
      <c r="DI169" s="72">
        <f t="shared" si="1386"/>
        <v>0.33188061645812733</v>
      </c>
      <c r="DJ169" s="73">
        <f>SUM(AV158:AV169,BB158:BB169,BI158:BI169)</f>
        <v>1569.5551125699399</v>
      </c>
      <c r="DK169" s="73">
        <f>SUM(AV164:AV169,BB164:BB169,BI164:BI169)</f>
        <v>1569.5551125699399</v>
      </c>
      <c r="DL169" s="190"/>
    </row>
    <row r="170" spans="1:120" x14ac:dyDescent="0.25">
      <c r="A170" s="190"/>
      <c r="B170" s="188">
        <v>2011</v>
      </c>
      <c r="C170" s="61" t="s">
        <v>329</v>
      </c>
      <c r="D170" s="169">
        <v>0</v>
      </c>
      <c r="E170" s="169">
        <v>0</v>
      </c>
      <c r="F170" s="169">
        <v>0</v>
      </c>
      <c r="G170" s="169">
        <v>0</v>
      </c>
      <c r="H170" s="169">
        <v>0</v>
      </c>
      <c r="I170" s="169">
        <v>0</v>
      </c>
      <c r="J170" s="169">
        <v>0</v>
      </c>
      <c r="K170" s="169">
        <v>0</v>
      </c>
      <c r="L170" s="169">
        <v>0</v>
      </c>
      <c r="M170" s="169">
        <v>0</v>
      </c>
      <c r="N170" s="169">
        <v>0</v>
      </c>
      <c r="O170" s="169">
        <v>0</v>
      </c>
      <c r="P170" s="169">
        <v>0</v>
      </c>
      <c r="Q170" s="172">
        <f>pAIDS_ART1ear_AIDS_ART1late_2004_2012</f>
        <v>0.82048978572958342</v>
      </c>
      <c r="R170" s="169">
        <v>0</v>
      </c>
      <c r="S170" s="170">
        <f>pAIDS_ART1ear_AIDS_LTFU_2004_2012</f>
        <v>3.1705300812410298E-2</v>
      </c>
      <c r="T170" s="170">
        <f>pAIDS_ART1ear_AIDS_Dead_2004_2012</f>
        <v>0.14780491345800628</v>
      </c>
      <c r="U170" s="61">
        <f t="shared" si="1358"/>
        <v>1</v>
      </c>
      <c r="V170" s="190"/>
      <c r="W170" s="66">
        <v>12</v>
      </c>
      <c r="X170" s="66">
        <v>2016</v>
      </c>
      <c r="Y170" s="70">
        <f t="shared" si="1463"/>
        <v>0.10224084239936213</v>
      </c>
      <c r="Z170" s="70">
        <f t="shared" si="1411"/>
        <v>3.2580559631701374E-2</v>
      </c>
      <c r="AA170" s="70">
        <f t="shared" si="1412"/>
        <v>4.3877449826514398E-2</v>
      </c>
      <c r="AB170" s="70">
        <f t="shared" si="1413"/>
        <v>4.5600300961105844E-3</v>
      </c>
      <c r="AC170" s="70">
        <f t="shared" si="1414"/>
        <v>9.8249200376616691E-2</v>
      </c>
      <c r="AD170" s="70">
        <f t="shared" si="1415"/>
        <v>5.594564639296358E-2</v>
      </c>
      <c r="AE170" s="70">
        <f t="shared" si="1416"/>
        <v>7.8683751021691631E-2</v>
      </c>
      <c r="AF170" s="70">
        <f t="shared" si="1417"/>
        <v>1.431376414662134E-2</v>
      </c>
      <c r="AG170" s="70">
        <f t="shared" si="1418"/>
        <v>3.8679570672292926E-2</v>
      </c>
      <c r="AH170" s="70">
        <f t="shared" si="1419"/>
        <v>7.2315968732316049E-3</v>
      </c>
      <c r="AI170" s="70">
        <f t="shared" si="1420"/>
        <v>4.588164609464479E-2</v>
      </c>
      <c r="AJ170" s="70">
        <f t="shared" si="1421"/>
        <v>7.6112426945225728E-2</v>
      </c>
      <c r="AK170" s="70">
        <f t="shared" si="1422"/>
        <v>5.2051084604865697E-2</v>
      </c>
      <c r="AL170" s="70">
        <f t="shared" si="1423"/>
        <v>6.9326340098585723E-2</v>
      </c>
      <c r="AM170" s="70">
        <f t="shared" si="1424"/>
        <v>5.4769104364028025E-3</v>
      </c>
      <c r="AN170" s="70">
        <f t="shared" si="1425"/>
        <v>1.8229495521526532E-2</v>
      </c>
      <c r="AO170" s="70">
        <f t="shared" si="1426"/>
        <v>7.3799111719232813E-2</v>
      </c>
      <c r="AP170" s="190"/>
      <c r="AQ170" s="66">
        <v>12</v>
      </c>
      <c r="AR170" s="66">
        <v>2016</v>
      </c>
      <c r="AS170" s="215">
        <f t="shared" si="1335"/>
        <v>878.04844415941795</v>
      </c>
      <c r="AT170" s="215">
        <f t="shared" si="1336"/>
        <v>279.80314933943669</v>
      </c>
      <c r="AU170" s="215">
        <f t="shared" si="1337"/>
        <v>376.82129420809872</v>
      </c>
      <c r="AV170" s="215">
        <f t="shared" si="1338"/>
        <v>39.161720866601549</v>
      </c>
      <c r="AW170" s="215">
        <f t="shared" si="1339"/>
        <v>843.7680628023993</v>
      </c>
      <c r="AX170" s="215">
        <f t="shared" si="1340"/>
        <v>480.46344904862701</v>
      </c>
      <c r="AY170" s="215">
        <f t="shared" si="1341"/>
        <v>675.7392011243287</v>
      </c>
      <c r="AZ170" s="215">
        <f t="shared" si="1342"/>
        <v>122.92717904174994</v>
      </c>
      <c r="BA170" s="215">
        <f t="shared" si="1343"/>
        <v>332.18170011647857</v>
      </c>
      <c r="BB170" s="215">
        <f t="shared" si="1344"/>
        <v>62.105243211187961</v>
      </c>
      <c r="BC170" s="215">
        <f t="shared" si="1345"/>
        <v>394.03341192665329</v>
      </c>
      <c r="BD170" s="215">
        <f t="shared" si="1346"/>
        <v>653.65656710267638</v>
      </c>
      <c r="BE170" s="215">
        <f t="shared" si="1347"/>
        <v>447.01679662997083</v>
      </c>
      <c r="BF170" s="215">
        <f t="shared" si="1348"/>
        <v>595.37738182025817</v>
      </c>
      <c r="BG170" s="215">
        <f t="shared" si="1349"/>
        <v>47.035925904244728</v>
      </c>
      <c r="BH170" s="215">
        <f t="shared" si="1350"/>
        <v>156.55563671869072</v>
      </c>
      <c r="BI170" s="215">
        <f t="shared" si="1351"/>
        <v>633.7897234092402</v>
      </c>
      <c r="BJ170" s="194"/>
      <c r="BK170" s="66">
        <v>12</v>
      </c>
      <c r="BL170" s="66">
        <v>2016</v>
      </c>
      <c r="BM170" s="215">
        <f t="shared" si="1427"/>
        <v>211.57595450064349</v>
      </c>
      <c r="BN170" s="219">
        <f t="shared" si="1428"/>
        <v>110.65930483406522</v>
      </c>
      <c r="BO170" s="219">
        <f t="shared" si="1429"/>
        <v>8.889392333092097</v>
      </c>
      <c r="BP170" s="219">
        <f t="shared" si="1430"/>
        <v>1.0570484486777949</v>
      </c>
      <c r="BQ170" s="219">
        <f t="shared" si="1431"/>
        <v>52.477437737848376</v>
      </c>
      <c r="BR170" s="220">
        <f t="shared" si="1432"/>
        <v>21.24789442757919</v>
      </c>
      <c r="BS170" s="219">
        <f t="shared" si="1433"/>
        <v>63.381103790109165</v>
      </c>
      <c r="BT170" s="219">
        <f t="shared" si="1434"/>
        <v>14.981774942863737</v>
      </c>
      <c r="BU170" s="219">
        <f t="shared" si="1435"/>
        <v>2.8464524291748958</v>
      </c>
      <c r="BV170" s="219">
        <f t="shared" si="1436"/>
        <v>1.1856097628139688</v>
      </c>
      <c r="BW170" s="219">
        <f t="shared" si="1437"/>
        <v>0.36330665755449837</v>
      </c>
      <c r="BX170" s="220">
        <f t="shared" si="1438"/>
        <v>7.2056970746889798E-2</v>
      </c>
      <c r="BY170" s="195"/>
      <c r="BZ170" s="192">
        <v>12</v>
      </c>
      <c r="CA170" s="66">
        <v>2016</v>
      </c>
      <c r="CB170" s="218">
        <f t="shared" si="1439"/>
        <v>25.194628555281223</v>
      </c>
      <c r="CC170" s="218">
        <f t="shared" si="1440"/>
        <v>6.9025243184436187</v>
      </c>
      <c r="CD170" s="73">
        <f t="shared" si="1441"/>
        <v>7.0645679928767064</v>
      </c>
      <c r="CE170" s="73">
        <f t="shared" si="1442"/>
        <v>33.291780456807118</v>
      </c>
      <c r="CF170" s="73">
        <f t="shared" si="1443"/>
        <v>17.118708419802445</v>
      </c>
      <c r="CG170" s="73">
        <f t="shared" si="1444"/>
        <v>2.4651358087848432</v>
      </c>
      <c r="CH170" s="73">
        <f t="shared" si="1445"/>
        <v>0.32961485105378319</v>
      </c>
      <c r="CI170" s="73">
        <f t="shared" si="1446"/>
        <v>6.4529734915652259</v>
      </c>
      <c r="CJ170" s="73">
        <f t="shared" si="1447"/>
        <v>2.307279124508856</v>
      </c>
      <c r="CK170" s="73">
        <f t="shared" si="1448"/>
        <v>0.13139122094856123</v>
      </c>
      <c r="CL170" s="73">
        <f t="shared" si="1449"/>
        <v>8.3598377171262249E-3</v>
      </c>
      <c r="CM170" s="73">
        <f t="shared" si="1450"/>
        <v>213.46916418391797</v>
      </c>
      <c r="CN170" s="73">
        <f t="shared" si="1451"/>
        <v>299.68685699076246</v>
      </c>
      <c r="CO170" s="73">
        <f t="shared" si="1452"/>
        <v>64.084553712736707</v>
      </c>
      <c r="CP170" s="73">
        <f t="shared" si="1453"/>
        <v>6.6160493432169503</v>
      </c>
      <c r="CQ170" s="73">
        <f t="shared" si="1454"/>
        <v>1.2470973563110965</v>
      </c>
      <c r="CR170" s="73">
        <f t="shared" si="1455"/>
        <v>19.028477407936279</v>
      </c>
      <c r="CS170" s="73">
        <f t="shared" si="1456"/>
        <v>3.8494449094915564</v>
      </c>
      <c r="CT170" s="73">
        <f t="shared" si="1457"/>
        <v>21.957273889004654</v>
      </c>
      <c r="CU170" s="73">
        <f t="shared" si="1458"/>
        <v>3.4947970826199004</v>
      </c>
      <c r="CV170" s="73">
        <f t="shared" si="1459"/>
        <v>0.20578234683181859</v>
      </c>
      <c r="CW170" s="73">
        <f t="shared" si="1460"/>
        <v>0.15022618641075389</v>
      </c>
      <c r="CX170" s="73">
        <f t="shared" si="1461"/>
        <v>0</v>
      </c>
      <c r="CY170" s="73">
        <f t="shared" si="1462"/>
        <v>0</v>
      </c>
      <c r="CZ170" s="190"/>
      <c r="DA170" s="66">
        <v>2016</v>
      </c>
      <c r="DB170" s="218">
        <f t="shared" si="1352"/>
        <v>1413.9231654907401</v>
      </c>
      <c r="DC170" s="218">
        <f t="shared" si="1353"/>
        <v>6283.4281999430304</v>
      </c>
      <c r="DD170" s="73">
        <f t="shared" si="1354"/>
        <v>1888.0964845205522</v>
      </c>
      <c r="DE170" s="73">
        <f t="shared" si="1355"/>
        <v>1089.4301043544738</v>
      </c>
      <c r="DF170" s="73">
        <f t="shared" si="1356"/>
        <v>1204.2456157480203</v>
      </c>
      <c r="DG170" s="73">
        <f t="shared" si="1357"/>
        <v>2860.6588277155251</v>
      </c>
      <c r="DH170" s="72">
        <f t="shared" si="1385"/>
        <v>0.39759818318191931</v>
      </c>
      <c r="DI170" s="72">
        <f t="shared" si="1386"/>
        <v>0.47497128508898029</v>
      </c>
      <c r="DJ170" s="73">
        <f>SUM(AV158:AV170,BB158:BB170,BI158:BI170)</f>
        <v>2304.6118000569695</v>
      </c>
      <c r="DK170" s="73">
        <f>SUM(AV164:AV170,BB164:BB170,BI164:BI170)</f>
        <v>2304.6118000569695</v>
      </c>
      <c r="DL170" s="190"/>
    </row>
    <row r="171" spans="1:120" x14ac:dyDescent="0.25">
      <c r="A171" s="190"/>
      <c r="B171" s="188">
        <v>2011</v>
      </c>
      <c r="C171" s="61" t="s">
        <v>330</v>
      </c>
      <c r="D171" s="169">
        <v>0</v>
      </c>
      <c r="E171" s="169">
        <v>0</v>
      </c>
      <c r="F171" s="169">
        <v>0</v>
      </c>
      <c r="G171" s="169">
        <v>0</v>
      </c>
      <c r="H171" s="169">
        <v>0</v>
      </c>
      <c r="I171" s="169">
        <v>0</v>
      </c>
      <c r="J171" s="169">
        <v>0</v>
      </c>
      <c r="K171" s="169">
        <v>0</v>
      </c>
      <c r="L171" s="169">
        <v>0</v>
      </c>
      <c r="M171" s="169">
        <v>0</v>
      </c>
      <c r="N171" s="169">
        <v>0</v>
      </c>
      <c r="O171" s="169">
        <v>0</v>
      </c>
      <c r="P171" s="169">
        <v>0</v>
      </c>
      <c r="Q171" s="172">
        <f>pAIDS_ART1late_2004_2012</f>
        <v>0.93285322767942069</v>
      </c>
      <c r="R171" s="170">
        <f>pAIDS_ART1late_AIDS_ART2_2004_2012</f>
        <v>3.0593921587134254E-2</v>
      </c>
      <c r="S171" s="170">
        <f>pAIDS_ART1late_AIDS_LTFU_2004_2012</f>
        <v>1.0797654247759469E-2</v>
      </c>
      <c r="T171" s="170">
        <f>pAIDS_ART1late_AIDS_Dead_2004_2012</f>
        <v>2.5755196485685583E-2</v>
      </c>
      <c r="U171" s="61">
        <f t="shared" si="1358"/>
        <v>1</v>
      </c>
      <c r="V171" s="190"/>
      <c r="W171" s="66">
        <v>13</v>
      </c>
      <c r="X171" s="66">
        <v>2017</v>
      </c>
      <c r="Y171" s="70">
        <f t="shared" si="1463"/>
        <v>6.4796165047057069E-2</v>
      </c>
      <c r="Z171" s="70">
        <f t="shared" si="1411"/>
        <v>2.1843525905788905E-2</v>
      </c>
      <c r="AA171" s="70">
        <f t="shared" si="1412"/>
        <v>3.8538500027702011E-2</v>
      </c>
      <c r="AB171" s="70">
        <f t="shared" si="1413"/>
        <v>3.2130927710022853E-3</v>
      </c>
      <c r="AC171" s="70">
        <f t="shared" si="1414"/>
        <v>6.708755215141908E-2</v>
      </c>
      <c r="AD171" s="70">
        <f t="shared" si="1415"/>
        <v>3.9104686877750108E-2</v>
      </c>
      <c r="AE171" s="70">
        <f t="shared" si="1416"/>
        <v>9.6908713206105154E-2</v>
      </c>
      <c r="AF171" s="70">
        <f t="shared" si="1417"/>
        <v>2.1358327752981344E-2</v>
      </c>
      <c r="AG171" s="70">
        <f t="shared" si="1418"/>
        <v>3.573414655183127E-2</v>
      </c>
      <c r="AH171" s="70">
        <f t="shared" si="1419"/>
        <v>5.7530283195878947E-3</v>
      </c>
      <c r="AI171" s="70">
        <f t="shared" si="1420"/>
        <v>3.2643231150590313E-2</v>
      </c>
      <c r="AJ171" s="70">
        <f t="shared" si="1421"/>
        <v>5.7361820503332731E-2</v>
      </c>
      <c r="AK171" s="70">
        <f t="shared" si="1422"/>
        <v>4.4162155736806041E-2</v>
      </c>
      <c r="AL171" s="70">
        <f t="shared" si="1423"/>
        <v>0.10737868337860562</v>
      </c>
      <c r="AM171" s="70">
        <f t="shared" si="1424"/>
        <v>1.1166275395504594E-2</v>
      </c>
      <c r="AN171" s="70">
        <f t="shared" si="1425"/>
        <v>1.8967749751596541E-2</v>
      </c>
      <c r="AO171" s="70">
        <f t="shared" si="1426"/>
        <v>6.5631033641354378E-2</v>
      </c>
      <c r="AP171" s="190"/>
      <c r="AQ171" s="66">
        <v>13</v>
      </c>
      <c r="AR171" s="66">
        <v>2017</v>
      </c>
      <c r="AS171" s="215">
        <f t="shared" si="1335"/>
        <v>556.4720572707281</v>
      </c>
      <c r="AT171" s="215">
        <f t="shared" si="1336"/>
        <v>187.59307421995138</v>
      </c>
      <c r="AU171" s="215">
        <f t="shared" si="1337"/>
        <v>330.97017977790603</v>
      </c>
      <c r="AV171" s="215">
        <f t="shared" si="1338"/>
        <v>27.594169241078468</v>
      </c>
      <c r="AW171" s="215">
        <f t="shared" si="1339"/>
        <v>576.15058137847313</v>
      </c>
      <c r="AX171" s="215">
        <f t="shared" si="1340"/>
        <v>335.83261509359306</v>
      </c>
      <c r="AY171" s="215">
        <f t="shared" si="1341"/>
        <v>832.25590536255936</v>
      </c>
      <c r="AZ171" s="215">
        <f t="shared" si="1342"/>
        <v>183.4261730757139</v>
      </c>
      <c r="BA171" s="215">
        <f t="shared" si="1343"/>
        <v>306.88627995298907</v>
      </c>
      <c r="BB171" s="215">
        <f t="shared" si="1344"/>
        <v>49.407237329753627</v>
      </c>
      <c r="BC171" s="215">
        <f t="shared" si="1345"/>
        <v>280.34137485051565</v>
      </c>
      <c r="BD171" s="215">
        <f t="shared" si="1346"/>
        <v>492.62560895544169</v>
      </c>
      <c r="BE171" s="215">
        <f t="shared" si="1347"/>
        <v>379.26635995391979</v>
      </c>
      <c r="BF171" s="215">
        <f t="shared" si="1348"/>
        <v>922.1724280028003</v>
      </c>
      <c r="BG171" s="215">
        <f t="shared" si="1349"/>
        <v>95.896419747609286</v>
      </c>
      <c r="BH171" s="215">
        <f t="shared" si="1350"/>
        <v>162.89579357670118</v>
      </c>
      <c r="BI171" s="215">
        <f t="shared" si="1351"/>
        <v>563.64194215329712</v>
      </c>
      <c r="BJ171" s="194"/>
      <c r="BK171" s="66">
        <v>13</v>
      </c>
      <c r="BL171" s="66">
        <v>2017</v>
      </c>
      <c r="BM171" s="215">
        <f t="shared" si="1427"/>
        <v>171.98003337414139</v>
      </c>
      <c r="BN171" s="219">
        <f t="shared" si="1428"/>
        <v>119.45406692780395</v>
      </c>
      <c r="BO171" s="219">
        <f t="shared" si="1429"/>
        <v>13.262649516553754</v>
      </c>
      <c r="BP171" s="219">
        <f t="shared" si="1430"/>
        <v>2.1895301344899436</v>
      </c>
      <c r="BQ171" s="219">
        <f t="shared" si="1431"/>
        <v>46.05228894851993</v>
      </c>
      <c r="BR171" s="220">
        <f t="shared" si="1432"/>
        <v>29.683380612978709</v>
      </c>
      <c r="BS171" s="219">
        <f t="shared" si="1433"/>
        <v>60.054943173270004</v>
      </c>
      <c r="BT171" s="219">
        <f t="shared" si="1434"/>
        <v>16.346436743626438</v>
      </c>
      <c r="BU171" s="219">
        <f t="shared" si="1435"/>
        <v>6.8416574114267474</v>
      </c>
      <c r="BV171" s="219">
        <f t="shared" si="1436"/>
        <v>2.3088739920085377</v>
      </c>
      <c r="BW171" s="219">
        <f t="shared" si="1437"/>
        <v>1.3436617308766126</v>
      </c>
      <c r="BX171" s="220">
        <f t="shared" si="1438"/>
        <v>0.2645509639942053</v>
      </c>
      <c r="BY171" s="195"/>
      <c r="BZ171" s="192">
        <v>13</v>
      </c>
      <c r="CA171" s="66">
        <v>2017</v>
      </c>
      <c r="CB171" s="218">
        <f t="shared" si="1439"/>
        <v>15.967349953852533</v>
      </c>
      <c r="CC171" s="218">
        <f t="shared" si="1440"/>
        <v>4.7743073162669383</v>
      </c>
      <c r="CD171" s="73">
        <f t="shared" si="1441"/>
        <v>6.8525119709590001</v>
      </c>
      <c r="CE171" s="73">
        <f t="shared" si="1442"/>
        <v>23.531457143788042</v>
      </c>
      <c r="CF171" s="73">
        <f t="shared" si="1443"/>
        <v>12.572727378202861</v>
      </c>
      <c r="CG171" s="73">
        <f t="shared" si="1444"/>
        <v>3.4173275043082487</v>
      </c>
      <c r="CH171" s="73">
        <f t="shared" si="1445"/>
        <v>0.6216635489955924</v>
      </c>
      <c r="CI171" s="73">
        <f t="shared" si="1446"/>
        <v>5.900543911856845</v>
      </c>
      <c r="CJ171" s="73">
        <f t="shared" si="1447"/>
        <v>3.0861261572470817</v>
      </c>
      <c r="CK171" s="73">
        <f t="shared" si="1448"/>
        <v>0.24791215020123641</v>
      </c>
      <c r="CL171" s="73">
        <f t="shared" si="1449"/>
        <v>2.9479535153719538E-2</v>
      </c>
      <c r="CM171" s="73">
        <f t="shared" si="1450"/>
        <v>161.75652297964956</v>
      </c>
      <c r="CN171" s="73">
        <f t="shared" si="1451"/>
        <v>251.78032433299552</v>
      </c>
      <c r="CO171" s="73">
        <f t="shared" si="1452"/>
        <v>66.071278940168028</v>
      </c>
      <c r="CP171" s="73">
        <f t="shared" si="1453"/>
        <v>15.334061451913797</v>
      </c>
      <c r="CQ171" s="73">
        <f t="shared" si="1454"/>
        <v>4.4313582111605632</v>
      </c>
      <c r="CR171" s="73">
        <f t="shared" si="1455"/>
        <v>21.542761619756984</v>
      </c>
      <c r="CS171" s="73">
        <f t="shared" si="1456"/>
        <v>8.7225738204242784</v>
      </c>
      <c r="CT171" s="73">
        <f t="shared" si="1457"/>
        <v>26.018877235742501</v>
      </c>
      <c r="CU171" s="73">
        <f t="shared" si="1458"/>
        <v>6.1502394199819177</v>
      </c>
      <c r="CV171" s="73">
        <f t="shared" si="1459"/>
        <v>1.168510674054247</v>
      </c>
      <c r="CW171" s="73">
        <f t="shared" si="1460"/>
        <v>0.48671028151088164</v>
      </c>
      <c r="CX171" s="73">
        <f t="shared" si="1461"/>
        <v>0.14914273744966841</v>
      </c>
      <c r="CY171" s="73">
        <f t="shared" si="1462"/>
        <v>2.9580448489055656E-2</v>
      </c>
      <c r="CZ171" s="190"/>
      <c r="DA171" s="66">
        <v>2017</v>
      </c>
      <c r="DB171" s="218">
        <f t="shared" si="1352"/>
        <v>1016.0512982689861</v>
      </c>
      <c r="DC171" s="218">
        <f t="shared" si="1353"/>
        <v>5642.7848512189021</v>
      </c>
      <c r="DD171" s="73">
        <f t="shared" si="1354"/>
        <v>2413.0172861426026</v>
      </c>
      <c r="DE171" s="73">
        <f t="shared" si="1355"/>
        <v>1397.3352077043294</v>
      </c>
      <c r="DF171" s="73">
        <f t="shared" si="1356"/>
        <v>935.86277738265858</v>
      </c>
      <c r="DG171" s="73">
        <f t="shared" si="1357"/>
        <v>2154.7322538077142</v>
      </c>
      <c r="DH171" s="72">
        <f t="shared" si="1385"/>
        <v>0.52827267892819907</v>
      </c>
      <c r="DI171" s="72">
        <f t="shared" si="1386"/>
        <v>0.5988926857624699</v>
      </c>
      <c r="DJ171" s="73">
        <f>SUM(AV158:AV171,BB158:BB171,BI158:BI171)</f>
        <v>2945.2551487810988</v>
      </c>
      <c r="DK171" s="73">
        <f>SUM(AV164:AV171,BB164:BB171,BI164:BI171)</f>
        <v>2945.2551487810988</v>
      </c>
      <c r="DL171" s="190"/>
    </row>
    <row r="172" spans="1:120" x14ac:dyDescent="0.25">
      <c r="A172" s="190"/>
      <c r="B172" s="188">
        <v>2011</v>
      </c>
      <c r="C172" s="61" t="s">
        <v>331</v>
      </c>
      <c r="D172" s="169">
        <v>0</v>
      </c>
      <c r="E172" s="169">
        <v>0</v>
      </c>
      <c r="F172" s="169">
        <v>0</v>
      </c>
      <c r="G172" s="169">
        <v>0</v>
      </c>
      <c r="H172" s="169">
        <v>0</v>
      </c>
      <c r="I172" s="169">
        <v>0</v>
      </c>
      <c r="J172" s="169">
        <v>0</v>
      </c>
      <c r="K172" s="169">
        <v>0</v>
      </c>
      <c r="L172" s="169">
        <v>0</v>
      </c>
      <c r="M172" s="169">
        <v>0</v>
      </c>
      <c r="N172" s="169">
        <v>0</v>
      </c>
      <c r="O172" s="169">
        <v>0</v>
      </c>
      <c r="P172" s="169">
        <v>0</v>
      </c>
      <c r="Q172" s="169">
        <v>0</v>
      </c>
      <c r="R172" s="172">
        <f>pAIDS_ART2_2004_2012</f>
        <v>0.87834172729587623</v>
      </c>
      <c r="S172" s="170">
        <f>pAIDS_ART2_AIDS_LTFU_2004_2012</f>
        <v>2.7446069457994882E-2</v>
      </c>
      <c r="T172" s="171">
        <f>pAIDS_ART2_AIDS_Dead_2004_2012</f>
        <v>9.4212203246128889E-2</v>
      </c>
      <c r="U172" s="61">
        <f t="shared" si="1358"/>
        <v>1</v>
      </c>
      <c r="V172" s="190"/>
      <c r="W172" s="66">
        <v>14</v>
      </c>
      <c r="X172" s="66">
        <v>2018</v>
      </c>
      <c r="Y172" s="70">
        <f t="shared" si="1463"/>
        <v>4.1065223117054975E-2</v>
      </c>
      <c r="Z172" s="70">
        <f t="shared" si="1411"/>
        <v>1.4367251330038267E-2</v>
      </c>
      <c r="AA172" s="70">
        <f t="shared" si="1412"/>
        <v>3.1771361808522275E-2</v>
      </c>
      <c r="AB172" s="70">
        <f t="shared" si="1413"/>
        <v>2.2518636000584537E-3</v>
      </c>
      <c r="AC172" s="70">
        <f t="shared" si="1414"/>
        <v>4.4806027409578501E-2</v>
      </c>
      <c r="AD172" s="70">
        <f t="shared" si="1415"/>
        <v>2.6497177148528745E-2</v>
      </c>
      <c r="AE172" s="70">
        <f t="shared" si="1416"/>
        <v>0.11087314249807359</v>
      </c>
      <c r="AF172" s="70">
        <f t="shared" si="1417"/>
        <v>2.7918066183536934E-2</v>
      </c>
      <c r="AG172" s="70">
        <f t="shared" si="1418"/>
        <v>3.0782940845336247E-2</v>
      </c>
      <c r="AH172" s="70">
        <f t="shared" si="1419"/>
        <v>4.4889314057581838E-3</v>
      </c>
      <c r="AI172" s="70">
        <f t="shared" si="1420"/>
        <v>2.2380525055847634E-2</v>
      </c>
      <c r="AJ172" s="70">
        <f t="shared" si="1421"/>
        <v>4.0718872740305043E-2</v>
      </c>
      <c r="AK172" s="70">
        <f t="shared" si="1422"/>
        <v>3.4019689964297564E-2</v>
      </c>
      <c r="AL172" s="70">
        <f t="shared" si="1423"/>
        <v>0.1364031490715473</v>
      </c>
      <c r="AM172" s="70">
        <f t="shared" si="1424"/>
        <v>1.7499148905059603E-2</v>
      </c>
      <c r="AN172" s="70">
        <f t="shared" si="1425"/>
        <v>1.7581096979051532E-2</v>
      </c>
      <c r="AO172" s="70">
        <f t="shared" si="1426"/>
        <v>5.3627065374475952E-2</v>
      </c>
      <c r="AP172" s="190"/>
      <c r="AQ172" s="66">
        <v>14</v>
      </c>
      <c r="AR172" s="66">
        <v>2018</v>
      </c>
      <c r="AS172" s="215">
        <f t="shared" si="1335"/>
        <v>352.66977873819286</v>
      </c>
      <c r="AT172" s="215">
        <f t="shared" si="1336"/>
        <v>123.38652911242185</v>
      </c>
      <c r="AU172" s="215">
        <f t="shared" si="1337"/>
        <v>272.85372606606165</v>
      </c>
      <c r="AV172" s="215">
        <f t="shared" si="1338"/>
        <v>19.339094671846006</v>
      </c>
      <c r="AW172" s="215">
        <f t="shared" si="1339"/>
        <v>384.79595563455661</v>
      </c>
      <c r="AX172" s="215">
        <f t="shared" si="1340"/>
        <v>227.55881723865082</v>
      </c>
      <c r="AY172" s="215">
        <f t="shared" si="1341"/>
        <v>952.18298269915601</v>
      </c>
      <c r="AZ172" s="215">
        <f t="shared" si="1342"/>
        <v>239.76146910686256</v>
      </c>
      <c r="BA172" s="215">
        <f t="shared" si="1343"/>
        <v>264.36512729738155</v>
      </c>
      <c r="BB172" s="215">
        <f t="shared" si="1344"/>
        <v>38.551122469907519</v>
      </c>
      <c r="BC172" s="215">
        <f t="shared" si="1345"/>
        <v>192.20484440062174</v>
      </c>
      <c r="BD172" s="215">
        <f t="shared" si="1346"/>
        <v>349.69530784864935</v>
      </c>
      <c r="BE172" s="215">
        <f t="shared" si="1347"/>
        <v>292.16245820098607</v>
      </c>
      <c r="BF172" s="215">
        <f t="shared" si="1348"/>
        <v>1171.4357003524112</v>
      </c>
      <c r="BG172" s="215">
        <f t="shared" si="1349"/>
        <v>150.28339076260809</v>
      </c>
      <c r="BH172" s="215">
        <f t="shared" si="1350"/>
        <v>150.98716409997374</v>
      </c>
      <c r="BI172" s="215">
        <f t="shared" si="1351"/>
        <v>460.5513825186145</v>
      </c>
      <c r="BJ172" s="194"/>
      <c r="BK172" s="66">
        <v>14</v>
      </c>
      <c r="BL172" s="66">
        <v>2018</v>
      </c>
      <c r="BM172" s="215">
        <f t="shared" si="1427"/>
        <v>129.80949331405327</v>
      </c>
      <c r="BN172" s="219">
        <f t="shared" si="1428"/>
        <v>113.78792689731958</v>
      </c>
      <c r="BO172" s="219">
        <f t="shared" si="1429"/>
        <v>17.256654301079585</v>
      </c>
      <c r="BP172" s="219">
        <f t="shared" si="1430"/>
        <v>3.5110527849291051</v>
      </c>
      <c r="BQ172" s="219">
        <f t="shared" si="1431"/>
        <v>35.650592264519354</v>
      </c>
      <c r="BR172" s="220">
        <f t="shared" si="1432"/>
        <v>33.021357314836031</v>
      </c>
      <c r="BS172" s="219">
        <f t="shared" si="1433"/>
        <v>50.054176898789258</v>
      </c>
      <c r="BT172" s="219">
        <f t="shared" si="1434"/>
        <v>14.396381083131843</v>
      </c>
      <c r="BU172" s="219">
        <f t="shared" si="1435"/>
        <v>10.949922690370189</v>
      </c>
      <c r="BV172" s="219">
        <f t="shared" si="1436"/>
        <v>3.5231000986735244</v>
      </c>
      <c r="BW172" s="219">
        <f t="shared" si="1437"/>
        <v>2.826925311022594</v>
      </c>
      <c r="BX172" s="220">
        <f t="shared" si="1438"/>
        <v>0.56470843863092279</v>
      </c>
      <c r="BY172" s="195"/>
      <c r="BZ172" s="192">
        <v>14</v>
      </c>
      <c r="CA172" s="66">
        <v>2018</v>
      </c>
      <c r="CB172" s="218">
        <f t="shared" si="1439"/>
        <v>10.11946907609207</v>
      </c>
      <c r="CC172" s="218">
        <f t="shared" si="1440"/>
        <v>3.2009181770960398</v>
      </c>
      <c r="CD172" s="73">
        <f t="shared" si="1441"/>
        <v>6.0187074186578959</v>
      </c>
      <c r="CE172" s="73">
        <f t="shared" si="1442"/>
        <v>16.067997014543501</v>
      </c>
      <c r="CF172" s="73">
        <f t="shared" si="1443"/>
        <v>8.7880398033219489</v>
      </c>
      <c r="CG172" s="73">
        <f t="shared" si="1444"/>
        <v>4.2088589670190748</v>
      </c>
      <c r="CH172" s="73">
        <f t="shared" si="1445"/>
        <v>0.92761720086491295</v>
      </c>
      <c r="CI172" s="73">
        <f t="shared" si="1446"/>
        <v>4.7962715861628817</v>
      </c>
      <c r="CJ172" s="73">
        <f t="shared" si="1447"/>
        <v>3.3313992084825972</v>
      </c>
      <c r="CK172" s="73">
        <f t="shared" si="1448"/>
        <v>0.36987589655304792</v>
      </c>
      <c r="CL172" s="73">
        <f t="shared" si="1449"/>
        <v>6.1062792959548917E-2</v>
      </c>
      <c r="CM172" s="73">
        <f t="shared" si="1450"/>
        <v>115.08426613222089</v>
      </c>
      <c r="CN172" s="73">
        <f t="shared" si="1451"/>
        <v>189.75321574036502</v>
      </c>
      <c r="CO172" s="73">
        <f t="shared" si="1452"/>
        <v>56.057431510522171</v>
      </c>
      <c r="CP172" s="73">
        <f t="shared" si="1453"/>
        <v>23.750732076893865</v>
      </c>
      <c r="CQ172" s="73">
        <f t="shared" si="1454"/>
        <v>9.0346129878378534</v>
      </c>
      <c r="CR172" s="73">
        <f t="shared" si="1455"/>
        <v>18.905143345948936</v>
      </c>
      <c r="CS172" s="73">
        <f t="shared" si="1456"/>
        <v>12.185465224280875</v>
      </c>
      <c r="CT172" s="73">
        <f t="shared" si="1457"/>
        <v>24.653439280567525</v>
      </c>
      <c r="CU172" s="73">
        <f t="shared" si="1458"/>
        <v>6.7104532019939152</v>
      </c>
      <c r="CV172" s="73">
        <f t="shared" si="1459"/>
        <v>2.8086012018096125</v>
      </c>
      <c r="CW172" s="73">
        <f t="shared" si="1460"/>
        <v>0.94782680260364383</v>
      </c>
      <c r="CX172" s="73">
        <f t="shared" si="1461"/>
        <v>0.55159294381836843</v>
      </c>
      <c r="CY172" s="73">
        <f t="shared" si="1462"/>
        <v>0.10860206975184815</v>
      </c>
      <c r="CZ172" s="190"/>
      <c r="DA172" s="66">
        <v>2018</v>
      </c>
      <c r="DB172" s="218">
        <f t="shared" si="1352"/>
        <v>700.64065419972201</v>
      </c>
      <c r="DC172" s="218">
        <f t="shared" si="1353"/>
        <v>5124.3432515585337</v>
      </c>
      <c r="DD172" s="73">
        <f t="shared" si="1354"/>
        <v>2805.8260011220241</v>
      </c>
      <c r="DE172" s="73">
        <f t="shared" si="1355"/>
        <v>1613.8815493160055</v>
      </c>
      <c r="DF172" s="73">
        <f t="shared" si="1356"/>
        <v>692.88731634924477</v>
      </c>
      <c r="DG172" s="73">
        <f t="shared" si="1357"/>
        <v>1569.6072165198339</v>
      </c>
      <c r="DH172" s="72">
        <f t="shared" si="1385"/>
        <v>0.64126815827261685</v>
      </c>
      <c r="DI172" s="72">
        <f t="shared" si="1386"/>
        <v>0.6996286335131271</v>
      </c>
      <c r="DJ172" s="73">
        <f>SUM(AV158:AV172,BB158:BB172,BI158:BI172)</f>
        <v>3463.6967484414672</v>
      </c>
      <c r="DK172" s="73">
        <f>SUM(AV164:AV172,BB164:BB172,BI164:BI172)</f>
        <v>3463.6967484414672</v>
      </c>
      <c r="DL172" s="190"/>
    </row>
    <row r="173" spans="1:120" x14ac:dyDescent="0.25">
      <c r="A173" s="190"/>
      <c r="B173" s="188">
        <v>2011</v>
      </c>
      <c r="C173" s="61" t="s">
        <v>332</v>
      </c>
      <c r="D173" s="169">
        <v>0</v>
      </c>
      <c r="E173" s="169">
        <v>0</v>
      </c>
      <c r="F173" s="169">
        <v>0</v>
      </c>
      <c r="G173" s="169">
        <v>0</v>
      </c>
      <c r="H173" s="169">
        <v>0</v>
      </c>
      <c r="I173" s="169">
        <v>0</v>
      </c>
      <c r="J173" s="169">
        <v>0</v>
      </c>
      <c r="K173" s="169">
        <v>0</v>
      </c>
      <c r="L173" s="169">
        <v>0</v>
      </c>
      <c r="M173" s="169">
        <v>0</v>
      </c>
      <c r="N173" s="169">
        <v>0</v>
      </c>
      <c r="O173" s="169">
        <v>0</v>
      </c>
      <c r="P173" s="171">
        <f>pAIDS_LTFU_AIDS_ART1ear_2004_2012</f>
        <v>0.18179999999999999</v>
      </c>
      <c r="Q173" s="169">
        <v>0</v>
      </c>
      <c r="R173" s="171">
        <f>pAIDS_LTFU_AIDS_ART2_2004_2012</f>
        <v>0.19189999999999999</v>
      </c>
      <c r="S173" s="172">
        <f>pAIDS_LTFU_2004_2012</f>
        <v>0.21578526169714907</v>
      </c>
      <c r="T173" s="170">
        <f>pAIDS_LTFU_AIDS_Dead_2004_2012</f>
        <v>0.41051473830285101</v>
      </c>
      <c r="U173" s="61">
        <f t="shared" si="1358"/>
        <v>1</v>
      </c>
      <c r="V173" s="190"/>
      <c r="W173" s="66">
        <v>15</v>
      </c>
      <c r="X173" s="66">
        <v>2019</v>
      </c>
      <c r="Y173" s="70">
        <f t="shared" si="1463"/>
        <v>2.6025499324363141E-2</v>
      </c>
      <c r="Z173" s="70">
        <f t="shared" si="1411"/>
        <v>9.3348436493219857E-3</v>
      </c>
      <c r="AA173" s="70">
        <f t="shared" si="1412"/>
        <v>2.5075551257826709E-2</v>
      </c>
      <c r="AB173" s="70">
        <f t="shared" si="1413"/>
        <v>1.5696862854475498E-3</v>
      </c>
      <c r="AC173" s="70">
        <f t="shared" si="1414"/>
        <v>2.9482688499825917E-2</v>
      </c>
      <c r="AD173" s="70">
        <f t="shared" si="1415"/>
        <v>1.7592969099059799E-2</v>
      </c>
      <c r="AE173" s="70">
        <f t="shared" si="1416"/>
        <v>0.12085284815233331</v>
      </c>
      <c r="AF173" s="70">
        <f t="shared" si="1417"/>
        <v>3.3621107184826873E-2</v>
      </c>
      <c r="AG173" s="70">
        <f t="shared" si="1418"/>
        <v>2.5451256003643848E-2</v>
      </c>
      <c r="AH173" s="70">
        <f t="shared" si="1419"/>
        <v>3.5033323140700183E-3</v>
      </c>
      <c r="AI173" s="70">
        <f t="shared" si="1420"/>
        <v>1.4987350972137069E-2</v>
      </c>
      <c r="AJ173" s="70">
        <f t="shared" si="1421"/>
        <v>2.7877042345714864E-2</v>
      </c>
      <c r="AK173" s="70">
        <f t="shared" si="1422"/>
        <v>2.486923765102184E-2</v>
      </c>
      <c r="AL173" s="70">
        <f t="shared" si="1423"/>
        <v>0.15515692600642345</v>
      </c>
      <c r="AM173" s="70">
        <f t="shared" si="1424"/>
        <v>2.3627428750644566E-2</v>
      </c>
      <c r="AN173" s="70">
        <f t="shared" si="1425"/>
        <v>1.5376670254706268E-2</v>
      </c>
      <c r="AO173" s="70">
        <f t="shared" si="1426"/>
        <v>4.2279235305411E-2</v>
      </c>
      <c r="AP173" s="190"/>
      <c r="AQ173" s="66">
        <v>15</v>
      </c>
      <c r="AR173" s="66">
        <v>2019</v>
      </c>
      <c r="AS173" s="215">
        <f t="shared" si="1335"/>
        <v>223.50802921760365</v>
      </c>
      <c r="AT173" s="215">
        <f t="shared" si="1336"/>
        <v>80.168010654123194</v>
      </c>
      <c r="AU173" s="215">
        <f t="shared" si="1337"/>
        <v>215.34983722426611</v>
      </c>
      <c r="AV173" s="215">
        <f t="shared" si="1338"/>
        <v>13.480528606874977</v>
      </c>
      <c r="AW173" s="215">
        <f t="shared" si="1339"/>
        <v>253.19850814404498</v>
      </c>
      <c r="AX173" s="215">
        <f t="shared" si="1340"/>
        <v>151.08912234148951</v>
      </c>
      <c r="AY173" s="215">
        <f t="shared" si="1341"/>
        <v>1037.8890940461647</v>
      </c>
      <c r="AZ173" s="215">
        <f t="shared" si="1342"/>
        <v>288.73941334758064</v>
      </c>
      <c r="BA173" s="215">
        <f t="shared" si="1343"/>
        <v>218.57640460953354</v>
      </c>
      <c r="BB173" s="215">
        <f t="shared" si="1344"/>
        <v>30.086758046525883</v>
      </c>
      <c r="BC173" s="215">
        <f t="shared" si="1345"/>
        <v>128.71196964275205</v>
      </c>
      <c r="BD173" s="215">
        <f t="shared" si="1346"/>
        <v>239.4091547466931</v>
      </c>
      <c r="BE173" s="215">
        <f t="shared" si="1347"/>
        <v>213.57800771648161</v>
      </c>
      <c r="BF173" s="215">
        <f t="shared" si="1348"/>
        <v>1332.493886820205</v>
      </c>
      <c r="BG173" s="215">
        <f t="shared" si="1349"/>
        <v>202.91330320768557</v>
      </c>
      <c r="BH173" s="215">
        <f t="shared" si="1350"/>
        <v>132.05545921422762</v>
      </c>
      <c r="BI173" s="215">
        <f t="shared" si="1351"/>
        <v>363.09576397228193</v>
      </c>
      <c r="BJ173" s="194"/>
      <c r="BK173" s="66">
        <v>15</v>
      </c>
      <c r="BL173" s="66">
        <v>2019</v>
      </c>
      <c r="BM173" s="215">
        <f t="shared" si="1427"/>
        <v>93.248128569706736</v>
      </c>
      <c r="BN173" s="219">
        <f t="shared" si="1428"/>
        <v>99.907085134653684</v>
      </c>
      <c r="BO173" s="219">
        <f t="shared" si="1429"/>
        <v>20.573193166039523</v>
      </c>
      <c r="BP173" s="219">
        <f t="shared" si="1430"/>
        <v>4.847997739133592</v>
      </c>
      <c r="BQ173" s="219">
        <f t="shared" si="1431"/>
        <v>25.736374858141879</v>
      </c>
      <c r="BR173" s="220">
        <f t="shared" si="1432"/>
        <v>32.143604358071933</v>
      </c>
      <c r="BS173" s="219">
        <f t="shared" si="1433"/>
        <v>38.46612889218207</v>
      </c>
      <c r="BT173" s="219">
        <f t="shared" si="1434"/>
        <v>11.35180134029358</v>
      </c>
      <c r="BU173" s="219">
        <f t="shared" si="1435"/>
        <v>14.237430064983212</v>
      </c>
      <c r="BV173" s="219">
        <f t="shared" si="1436"/>
        <v>4.6593575741952291</v>
      </c>
      <c r="BW173" s="219">
        <f t="shared" si="1437"/>
        <v>4.5348335798015356</v>
      </c>
      <c r="BX173" s="220">
        <f t="shared" si="1438"/>
        <v>0.92592854655819412</v>
      </c>
      <c r="BY173" s="195"/>
      <c r="BZ173" s="192">
        <v>15</v>
      </c>
      <c r="CA173" s="66">
        <v>2019</v>
      </c>
      <c r="CB173" s="218">
        <f t="shared" si="1439"/>
        <v>6.4133155894961869</v>
      </c>
      <c r="CC173" s="218">
        <f t="shared" si="1440"/>
        <v>2.1053558906000167</v>
      </c>
      <c r="CD173" s="73">
        <f t="shared" si="1441"/>
        <v>4.9618571267787726</v>
      </c>
      <c r="CE173" s="73">
        <f t="shared" si="1442"/>
        <v>10.731396385215003</v>
      </c>
      <c r="CF173" s="73">
        <f t="shared" si="1443"/>
        <v>5.9547401104350923</v>
      </c>
      <c r="CG173" s="73">
        <f t="shared" si="1444"/>
        <v>4.8153504939450817</v>
      </c>
      <c r="CH173" s="73">
        <f t="shared" si="1445"/>
        <v>1.2125143272566832</v>
      </c>
      <c r="CI173" s="73">
        <f t="shared" si="1446"/>
        <v>3.6201969041483366</v>
      </c>
      <c r="CJ173" s="73">
        <f t="shared" si="1447"/>
        <v>3.1733788505477296</v>
      </c>
      <c r="CK173" s="73">
        <f t="shared" si="1448"/>
        <v>0.48126284820775178</v>
      </c>
      <c r="CL173" s="73">
        <f t="shared" si="1449"/>
        <v>9.7918126770206504E-2</v>
      </c>
      <c r="CM173" s="73">
        <f t="shared" si="1450"/>
        <v>78.902921399661437</v>
      </c>
      <c r="CN173" s="73">
        <f t="shared" si="1451"/>
        <v>134.69825357698781</v>
      </c>
      <c r="CO173" s="73">
        <f t="shared" si="1452"/>
        <v>43.183046850075122</v>
      </c>
      <c r="CP173" s="73">
        <f t="shared" si="1453"/>
        <v>30.170556632923052</v>
      </c>
      <c r="CQ173" s="73">
        <f t="shared" si="1454"/>
        <v>14.158529355044243</v>
      </c>
      <c r="CR173" s="73">
        <f t="shared" si="1455"/>
        <v>14.635093553810806</v>
      </c>
      <c r="CS173" s="73">
        <f t="shared" si="1456"/>
        <v>13.555753856504849</v>
      </c>
      <c r="CT173" s="73">
        <f t="shared" si="1457"/>
        <v>20.547977330571083</v>
      </c>
      <c r="CU173" s="73">
        <f t="shared" si="1458"/>
        <v>5.9099266128499828</v>
      </c>
      <c r="CV173" s="73">
        <f t="shared" si="1459"/>
        <v>4.4951046476737684</v>
      </c>
      <c r="CW173" s="73">
        <f t="shared" si="1460"/>
        <v>1.4462845150217105</v>
      </c>
      <c r="CX173" s="73">
        <f t="shared" si="1461"/>
        <v>1.1604945042561459</v>
      </c>
      <c r="CY173" s="73">
        <f t="shared" si="1462"/>
        <v>0.23182113690198486</v>
      </c>
      <c r="CZ173" s="190"/>
      <c r="DA173" s="66">
        <v>2019</v>
      </c>
      <c r="DB173" s="218">
        <f t="shared" si="1352"/>
        <v>470.66628774230583</v>
      </c>
      <c r="DC173" s="218">
        <f t="shared" si="1353"/>
        <v>4717.6802009328521</v>
      </c>
      <c r="DD173" s="73">
        <f t="shared" si="1354"/>
        <v>3075.6137051381179</v>
      </c>
      <c r="DE173" s="73">
        <f t="shared" si="1355"/>
        <v>1748.9851977443723</v>
      </c>
      <c r="DF173" s="73">
        <f t="shared" si="1356"/>
        <v>500.17658360367284</v>
      </c>
      <c r="DG173" s="73">
        <f t="shared" si="1357"/>
        <v>1123.0406186987409</v>
      </c>
      <c r="DH173" s="72">
        <f t="shared" si="1385"/>
        <v>0.73252367733086632</v>
      </c>
      <c r="DI173" s="72">
        <f t="shared" si="1386"/>
        <v>0.77761644904712468</v>
      </c>
      <c r="DJ173" s="73">
        <f>SUM(AV158:AV173,BB158:BB173,BI158:BI173)</f>
        <v>3870.3597990671497</v>
      </c>
      <c r="DK173" s="73">
        <f>SUM(AV164:AV173,BB164:BB173,BI164:BI173)</f>
        <v>3870.3597990671497</v>
      </c>
      <c r="DL173" s="190"/>
    </row>
    <row r="174" spans="1:120" x14ac:dyDescent="0.25">
      <c r="A174" s="190"/>
      <c r="B174" s="191">
        <v>2011</v>
      </c>
      <c r="C174" s="179" t="s">
        <v>333</v>
      </c>
      <c r="D174" s="180">
        <v>0</v>
      </c>
      <c r="E174" s="180">
        <v>0</v>
      </c>
      <c r="F174" s="180">
        <v>0</v>
      </c>
      <c r="G174" s="180">
        <v>0</v>
      </c>
      <c r="H174" s="180">
        <v>0</v>
      </c>
      <c r="I174" s="180">
        <v>0</v>
      </c>
      <c r="J174" s="180">
        <v>0</v>
      </c>
      <c r="K174" s="180">
        <v>0</v>
      </c>
      <c r="L174" s="180">
        <v>0</v>
      </c>
      <c r="M174" s="180">
        <v>0</v>
      </c>
      <c r="N174" s="180">
        <v>0</v>
      </c>
      <c r="O174" s="180">
        <v>0</v>
      </c>
      <c r="P174" s="180">
        <v>0</v>
      </c>
      <c r="Q174" s="180">
        <v>0</v>
      </c>
      <c r="R174" s="180">
        <v>0</v>
      </c>
      <c r="S174" s="180">
        <v>0</v>
      </c>
      <c r="T174" s="180">
        <v>0</v>
      </c>
      <c r="U174" s="179">
        <f t="shared" si="1358"/>
        <v>0</v>
      </c>
      <c r="V174" s="190"/>
      <c r="W174" s="66">
        <v>16</v>
      </c>
      <c r="X174" s="66">
        <v>2020</v>
      </c>
      <c r="Y174" s="70">
        <f t="shared" si="1463"/>
        <v>1.6493922683720252E-2</v>
      </c>
      <c r="Z174" s="70">
        <f t="shared" si="1411"/>
        <v>6.0165843106862226E-3</v>
      </c>
      <c r="AA174" s="70">
        <f t="shared" si="1412"/>
        <v>1.9175907309662951E-2</v>
      </c>
      <c r="AB174" s="70">
        <f t="shared" si="1413"/>
        <v>1.0885561849707627E-3</v>
      </c>
      <c r="AC174" s="70">
        <f t="shared" si="1414"/>
        <v>1.9200678610970398E-2</v>
      </c>
      <c r="AD174" s="70">
        <f t="shared" si="1415"/>
        <v>1.1521981388494302E-2</v>
      </c>
      <c r="AE174" s="70">
        <f t="shared" si="1416"/>
        <v>0.12747628032773398</v>
      </c>
      <c r="AF174" s="70">
        <f t="shared" si="1417"/>
        <v>3.8384262265503462E-2</v>
      </c>
      <c r="AG174" s="70">
        <f t="shared" si="1418"/>
        <v>2.058843059001958E-2</v>
      </c>
      <c r="AH174" s="70">
        <f t="shared" si="1419"/>
        <v>2.7735996444758718E-3</v>
      </c>
      <c r="AI174" s="70">
        <f t="shared" si="1420"/>
        <v>9.8797952987752635E-3</v>
      </c>
      <c r="AJ174" s="70">
        <f t="shared" si="1421"/>
        <v>1.8646268206401223E-2</v>
      </c>
      <c r="AK174" s="70">
        <f t="shared" si="1422"/>
        <v>1.7668491317609638E-2</v>
      </c>
      <c r="AL174" s="70">
        <f t="shared" si="1423"/>
        <v>0.16514359469345416</v>
      </c>
      <c r="AM174" s="70">
        <f t="shared" si="1424"/>
        <v>2.9071815908510976E-2</v>
      </c>
      <c r="AN174" s="70">
        <f t="shared" si="1425"/>
        <v>1.3100599803729313E-2</v>
      </c>
      <c r="AO174" s="70">
        <f t="shared" si="1426"/>
        <v>3.3100650607131299E-2</v>
      </c>
      <c r="AP174" s="190"/>
      <c r="AQ174" s="66">
        <v>16</v>
      </c>
      <c r="AR174" s="66">
        <v>2020</v>
      </c>
      <c r="AS174" s="215">
        <f t="shared" si="1335"/>
        <v>141.65046776469688</v>
      </c>
      <c r="AT174" s="215">
        <f t="shared" si="1336"/>
        <v>51.670666723545715</v>
      </c>
      <c r="AU174" s="215">
        <f t="shared" si="1337"/>
        <v>164.68345901167783</v>
      </c>
      <c r="AV174" s="215">
        <f t="shared" si="1338"/>
        <v>9.3485640587763097</v>
      </c>
      <c r="AW174" s="215">
        <f t="shared" si="1339"/>
        <v>164.89619593815823</v>
      </c>
      <c r="AX174" s="215">
        <f t="shared" si="1340"/>
        <v>98.95123704364461</v>
      </c>
      <c r="AY174" s="215">
        <f t="shared" si="1341"/>
        <v>1094.7713945057926</v>
      </c>
      <c r="AZ174" s="215">
        <f t="shared" si="1342"/>
        <v>329.64557970663441</v>
      </c>
      <c r="BA174" s="215">
        <f t="shared" si="1343"/>
        <v>176.81426544431176</v>
      </c>
      <c r="BB174" s="215">
        <f t="shared" si="1344"/>
        <v>23.819784690744569</v>
      </c>
      <c r="BC174" s="215">
        <f t="shared" si="1345"/>
        <v>84.848077217693927</v>
      </c>
      <c r="BD174" s="215">
        <f t="shared" si="1346"/>
        <v>160.13489720730198</v>
      </c>
      <c r="BE174" s="215">
        <f t="shared" si="1347"/>
        <v>151.73771017528429</v>
      </c>
      <c r="BF174" s="215">
        <f t="shared" si="1348"/>
        <v>1418.2597969711721</v>
      </c>
      <c r="BG174" s="215">
        <f t="shared" si="1349"/>
        <v>249.66991789492863</v>
      </c>
      <c r="BH174" s="215">
        <f t="shared" si="1350"/>
        <v>112.5084751384195</v>
      </c>
      <c r="BI174" s="215">
        <f t="shared" si="1351"/>
        <v>284.26971144006791</v>
      </c>
      <c r="BJ174" s="194"/>
      <c r="BK174" s="66">
        <v>16</v>
      </c>
      <c r="BL174" s="66">
        <v>2020</v>
      </c>
      <c r="BM174" s="215">
        <f t="shared" si="1427"/>
        <v>64.725707622138316</v>
      </c>
      <c r="BN174" s="219">
        <f t="shared" si="1428"/>
        <v>82.875786003374969</v>
      </c>
      <c r="BO174" s="219">
        <f t="shared" si="1429"/>
        <v>23.127523811263167</v>
      </c>
      <c r="BP174" s="219">
        <f t="shared" si="1430"/>
        <v>6.0852480075353199</v>
      </c>
      <c r="BQ174" s="219">
        <f t="shared" si="1431"/>
        <v>17.812538201940562</v>
      </c>
      <c r="BR174" s="220">
        <f t="shared" si="1432"/>
        <v>28.679535874489869</v>
      </c>
      <c r="BS174" s="219">
        <f t="shared" si="1433"/>
        <v>27.996140526715191</v>
      </c>
      <c r="BT174" s="219">
        <f t="shared" si="1434"/>
        <v>8.418534049756877</v>
      </c>
      <c r="BU174" s="219">
        <f t="shared" si="1435"/>
        <v>16.45344954401066</v>
      </c>
      <c r="BV174" s="219">
        <f t="shared" si="1436"/>
        <v>5.6214516075754135</v>
      </c>
      <c r="BW174" s="219">
        <f t="shared" si="1437"/>
        <v>6.227110130467838</v>
      </c>
      <c r="BX174" s="220">
        <f t="shared" si="1438"/>
        <v>1.2997152034630846</v>
      </c>
      <c r="BY174" s="195"/>
      <c r="BZ174" s="192">
        <v>16</v>
      </c>
      <c r="CA174" s="66">
        <v>2020</v>
      </c>
      <c r="CB174" s="218">
        <f t="shared" si="1439"/>
        <v>4.064503437996434</v>
      </c>
      <c r="CC174" s="218">
        <f t="shared" si="1440"/>
        <v>1.3679142665125115</v>
      </c>
      <c r="CD174" s="73">
        <f t="shared" si="1441"/>
        <v>3.9161463542673642</v>
      </c>
      <c r="CE174" s="73">
        <f t="shared" si="1442"/>
        <v>7.061336054216107</v>
      </c>
      <c r="CF174" s="73">
        <f t="shared" si="1443"/>
        <v>3.953687525602454</v>
      </c>
      <c r="CG174" s="73">
        <f t="shared" si="1444"/>
        <v>5.2487808041980903</v>
      </c>
      <c r="CH174" s="73">
        <f t="shared" si="1445"/>
        <v>1.460204080462945</v>
      </c>
      <c r="CI174" s="73">
        <f t="shared" si="1446"/>
        <v>2.6005539174932752</v>
      </c>
      <c r="CJ174" s="73">
        <f t="shared" si="1447"/>
        <v>2.7862624764424795</v>
      </c>
      <c r="CK174" s="73">
        <f t="shared" si="1448"/>
        <v>0.57375626625359333</v>
      </c>
      <c r="CL174" s="73">
        <f t="shared" si="1449"/>
        <v>0.13520356607562162</v>
      </c>
      <c r="CM174" s="73">
        <f t="shared" si="1450"/>
        <v>52.838160534338861</v>
      </c>
      <c r="CN174" s="73">
        <f t="shared" si="1451"/>
        <v>92.217408443694495</v>
      </c>
      <c r="CO174" s="73">
        <f t="shared" si="1452"/>
        <v>31.56787894706796</v>
      </c>
      <c r="CP174" s="73">
        <f t="shared" si="1453"/>
        <v>34.318641871029264</v>
      </c>
      <c r="CQ174" s="73">
        <f t="shared" si="1454"/>
        <v>19.116909363145851</v>
      </c>
      <c r="CR174" s="73">
        <f t="shared" si="1455"/>
        <v>10.565161189754187</v>
      </c>
      <c r="CS174" s="73">
        <f t="shared" si="1456"/>
        <v>13.195423331164282</v>
      </c>
      <c r="CT174" s="73">
        <f t="shared" si="1457"/>
        <v>15.790912835697858</v>
      </c>
      <c r="CU174" s="73">
        <f t="shared" si="1458"/>
        <v>4.660081756476572</v>
      </c>
      <c r="CV174" s="73">
        <f t="shared" si="1459"/>
        <v>5.8446748772317259</v>
      </c>
      <c r="CW174" s="73">
        <f t="shared" si="1460"/>
        <v>1.9127349552301611</v>
      </c>
      <c r="CX174" s="73">
        <f t="shared" si="1461"/>
        <v>1.8616160202592085</v>
      </c>
      <c r="CY174" s="73">
        <f t="shared" si="1462"/>
        <v>0.38010731497747624</v>
      </c>
      <c r="CZ174" s="190"/>
      <c r="DA174" s="66">
        <v>2020</v>
      </c>
      <c r="DB174" s="218">
        <f t="shared" si="1352"/>
        <v>310.75680097449231</v>
      </c>
      <c r="DC174" s="218">
        <f t="shared" si="1353"/>
        <v>4400.2421407432621</v>
      </c>
      <c r="DD174" s="73">
        <f t="shared" si="1354"/>
        <v>3244.0843992538121</v>
      </c>
      <c r="DE174" s="73">
        <f t="shared" si="1355"/>
        <v>1819.6674250413851</v>
      </c>
      <c r="DF174" s="73">
        <f t="shared" si="1356"/>
        <v>357.49144956341542</v>
      </c>
      <c r="DG174" s="73">
        <f t="shared" si="1357"/>
        <v>798.15314798953</v>
      </c>
      <c r="DH174" s="72">
        <f t="shared" si="1385"/>
        <v>0.80254669878719986</v>
      </c>
      <c r="DI174" s="72">
        <f t="shared" si="1386"/>
        <v>0.83579909866324864</v>
      </c>
      <c r="DJ174" s="73">
        <f>SUM(AV158:AV174,BB158:BB174,BI158:BI174)</f>
        <v>4187.7978592567388</v>
      </c>
      <c r="DK174" s="73">
        <f>SUM(AV164:AV174,BB164:BB174,BI164:BI174)</f>
        <v>4187.7978592567388</v>
      </c>
      <c r="DL174" s="190"/>
    </row>
    <row r="175" spans="1:120" x14ac:dyDescent="0.25">
      <c r="A175" s="190"/>
      <c r="B175" s="178"/>
      <c r="C175" s="182"/>
      <c r="D175" s="183"/>
      <c r="E175" s="183"/>
      <c r="F175" s="183"/>
      <c r="G175" s="183"/>
      <c r="H175" s="183"/>
      <c r="I175" s="183"/>
      <c r="J175" s="183"/>
      <c r="K175" s="183"/>
      <c r="L175" s="183"/>
      <c r="M175" s="183"/>
      <c r="N175" s="183"/>
      <c r="O175" s="183"/>
      <c r="P175" s="183"/>
      <c r="Q175" s="183"/>
      <c r="R175" s="183"/>
      <c r="S175" s="183"/>
      <c r="T175" s="183"/>
      <c r="U175" s="178"/>
      <c r="V175" s="190"/>
      <c r="W175" s="66">
        <v>17</v>
      </c>
      <c r="X175" s="66">
        <v>2021</v>
      </c>
      <c r="Y175" s="70">
        <f t="shared" si="1463"/>
        <v>1.0453189854531204E-2</v>
      </c>
      <c r="Z175" s="70">
        <f t="shared" si="1411"/>
        <v>3.8571186779537067E-3</v>
      </c>
      <c r="AA175" s="70">
        <f t="shared" si="1412"/>
        <v>1.4320074305601961E-2</v>
      </c>
      <c r="AB175" s="70">
        <f t="shared" si="1413"/>
        <v>7.5131898365581864E-4</v>
      </c>
      <c r="AC175" s="70">
        <f t="shared" si="1414"/>
        <v>1.2413442091801759E-2</v>
      </c>
      <c r="AD175" s="70">
        <f t="shared" si="1415"/>
        <v>7.4751372520230532E-3</v>
      </c>
      <c r="AE175" s="70">
        <f t="shared" si="1416"/>
        <v>0.13144715425317957</v>
      </c>
      <c r="AF175" s="70">
        <f t="shared" si="1417"/>
        <v>4.2277235575456526E-2</v>
      </c>
      <c r="AG175" s="70">
        <f t="shared" si="1418"/>
        <v>1.6526891381644697E-2</v>
      </c>
      <c r="AH175" s="70">
        <f t="shared" si="1419"/>
        <v>2.2499511391618084E-3</v>
      </c>
      <c r="AI175" s="70">
        <f t="shared" si="1420"/>
        <v>6.4424773883125178E-3</v>
      </c>
      <c r="AJ175" s="70">
        <f t="shared" si="1421"/>
        <v>1.2279167104441326E-2</v>
      </c>
      <c r="AK175" s="70">
        <f t="shared" si="1422"/>
        <v>1.2385866595114547E-2</v>
      </c>
      <c r="AL175" s="70">
        <f t="shared" si="1423"/>
        <v>0.1685515519957213</v>
      </c>
      <c r="AM175" s="70">
        <f t="shared" si="1424"/>
        <v>3.3630648521784601E-2</v>
      </c>
      <c r="AN175" s="70">
        <f t="shared" si="1425"/>
        <v>1.1087572306316899E-2</v>
      </c>
      <c r="AO175" s="70">
        <f t="shared" si="1426"/>
        <v>2.6219815288570432E-2</v>
      </c>
      <c r="AP175" s="190"/>
      <c r="AQ175" s="66">
        <v>17</v>
      </c>
      <c r="AR175" s="66">
        <v>2021</v>
      </c>
      <c r="AS175" s="215">
        <f t="shared" si="1335"/>
        <v>89.772412598308179</v>
      </c>
      <c r="AT175" s="215">
        <f t="shared" si="1336"/>
        <v>33.125089491013554</v>
      </c>
      <c r="AU175" s="215">
        <f t="shared" si="1337"/>
        <v>122.98137093948188</v>
      </c>
      <c r="AV175" s="215">
        <f t="shared" si="1338"/>
        <v>6.4523574843955176</v>
      </c>
      <c r="AW175" s="215">
        <f t="shared" si="1339"/>
        <v>106.60713722207718</v>
      </c>
      <c r="AX175" s="215">
        <f t="shared" si="1340"/>
        <v>64.196777725864067</v>
      </c>
      <c r="AY175" s="215">
        <f t="shared" si="1341"/>
        <v>1128.8734186124764</v>
      </c>
      <c r="AZ175" s="215">
        <f t="shared" si="1342"/>
        <v>363.07859021144372</v>
      </c>
      <c r="BA175" s="215">
        <f t="shared" si="1343"/>
        <v>141.93360426121993</v>
      </c>
      <c r="BB175" s="215">
        <f t="shared" si="1344"/>
        <v>19.322670381167178</v>
      </c>
      <c r="BC175" s="215">
        <f t="shared" si="1345"/>
        <v>55.328253509923442</v>
      </c>
      <c r="BD175" s="215">
        <f t="shared" si="1346"/>
        <v>105.4539782596263</v>
      </c>
      <c r="BE175" s="215">
        <f t="shared" si="1347"/>
        <v>106.37031775350755</v>
      </c>
      <c r="BF175" s="215">
        <f t="shared" si="1348"/>
        <v>1447.5274706013345</v>
      </c>
      <c r="BG175" s="215">
        <f t="shared" si="1349"/>
        <v>288.82135473102704</v>
      </c>
      <c r="BH175" s="215">
        <f t="shared" si="1350"/>
        <v>95.220514469541797</v>
      </c>
      <c r="BI175" s="215">
        <f t="shared" si="1351"/>
        <v>225.17682249085445</v>
      </c>
      <c r="BJ175" s="194"/>
      <c r="BK175" s="66">
        <v>17</v>
      </c>
      <c r="BL175" s="66">
        <v>2021</v>
      </c>
      <c r="BM175" s="215">
        <f t="shared" si="1427"/>
        <v>43.846663175032326</v>
      </c>
      <c r="BN175" s="219">
        <f t="shared" si="1428"/>
        <v>65.956757357235375</v>
      </c>
      <c r="BO175" s="219">
        <f t="shared" si="1429"/>
        <v>24.96352340955168</v>
      </c>
      <c r="BP175" s="219">
        <f t="shared" si="1430"/>
        <v>7.1666603194005791</v>
      </c>
      <c r="BQ175" s="219">
        <f t="shared" si="1431"/>
        <v>12.001145766067278</v>
      </c>
      <c r="BR175" s="220">
        <f t="shared" si="1432"/>
        <v>24.08291448694613</v>
      </c>
      <c r="BS175" s="219">
        <f t="shared" si="1433"/>
        <v>19.620792189458697</v>
      </c>
      <c r="BT175" s="219">
        <f t="shared" si="1434"/>
        <v>6.0322949614090557</v>
      </c>
      <c r="BU175" s="219">
        <f t="shared" si="1435"/>
        <v>17.701031954105883</v>
      </c>
      <c r="BV175" s="219">
        <f t="shared" si="1436"/>
        <v>6.3750551345469137</v>
      </c>
      <c r="BW175" s="219">
        <f t="shared" si="1437"/>
        <v>7.7559198110119842</v>
      </c>
      <c r="BX175" s="220">
        <f t="shared" si="1438"/>
        <v>1.651360165995849</v>
      </c>
      <c r="BY175" s="195"/>
      <c r="BZ175" s="192">
        <v>17</v>
      </c>
      <c r="CA175" s="66">
        <v>2021</v>
      </c>
      <c r="CB175" s="218">
        <f t="shared" si="1439"/>
        <v>2.575920047430976</v>
      </c>
      <c r="CC175" s="218">
        <f t="shared" si="1440"/>
        <v>0.88166142074171827</v>
      </c>
      <c r="CD175" s="73">
        <f t="shared" si="1441"/>
        <v>2.994776016222823</v>
      </c>
      <c r="CE175" s="73">
        <f t="shared" si="1442"/>
        <v>4.5987137211676563</v>
      </c>
      <c r="CF175" s="73">
        <f t="shared" si="1443"/>
        <v>2.589347700744161</v>
      </c>
      <c r="CG175" s="73">
        <f t="shared" si="1444"/>
        <v>5.5364442245614258</v>
      </c>
      <c r="CH175" s="73">
        <f t="shared" si="1445"/>
        <v>1.667073486828617</v>
      </c>
      <c r="CI175" s="73">
        <f t="shared" si="1446"/>
        <v>1.8051053152605434</v>
      </c>
      <c r="CJ175" s="73">
        <f t="shared" si="1447"/>
        <v>2.311284454307295</v>
      </c>
      <c r="CK175" s="73">
        <f t="shared" si="1448"/>
        <v>0.64499281188618274</v>
      </c>
      <c r="CL175" s="73">
        <f t="shared" si="1449"/>
        <v>0.16970866641129734</v>
      </c>
      <c r="CM175" s="73">
        <f t="shared" si="1450"/>
        <v>34.831386214521714</v>
      </c>
      <c r="CN175" s="73">
        <f t="shared" si="1451"/>
        <v>61.681957139355276</v>
      </c>
      <c r="CO175" s="73">
        <f t="shared" si="1452"/>
        <v>22.427579120773935</v>
      </c>
      <c r="CP175" s="73">
        <f t="shared" si="1453"/>
        <v>36.527559738741083</v>
      </c>
      <c r="CQ175" s="73">
        <f t="shared" si="1454"/>
        <v>23.521953049161329</v>
      </c>
      <c r="CR175" s="73">
        <f t="shared" si="1455"/>
        <v>7.3123094584791666</v>
      </c>
      <c r="CS175" s="73">
        <f t="shared" si="1456"/>
        <v>11.773372164163435</v>
      </c>
      <c r="CT175" s="73">
        <f t="shared" si="1457"/>
        <v>11.492828301814328</v>
      </c>
      <c r="CU175" s="73">
        <f t="shared" si="1458"/>
        <v>3.4559323023295847</v>
      </c>
      <c r="CV175" s="73">
        <f t="shared" si="1459"/>
        <v>6.7543835337386993</v>
      </c>
      <c r="CW175" s="73">
        <f t="shared" si="1460"/>
        <v>2.3076887355659621</v>
      </c>
      <c r="CX175" s="73">
        <f t="shared" si="1461"/>
        <v>2.5563204855920367</v>
      </c>
      <c r="CY175" s="73">
        <f t="shared" si="1462"/>
        <v>0.53355224661788492</v>
      </c>
      <c r="CZ175" s="190"/>
      <c r="DA175" s="66">
        <v>2021</v>
      </c>
      <c r="DB175" s="218">
        <f t="shared" si="1352"/>
        <v>202.77584547650392</v>
      </c>
      <c r="DC175" s="218">
        <f t="shared" si="1353"/>
        <v>4149.2902903868453</v>
      </c>
      <c r="DD175" s="73">
        <f t="shared" si="1354"/>
        <v>3334.6711519097889</v>
      </c>
      <c r="DE175" s="73">
        <f t="shared" si="1355"/>
        <v>1842.7191430858691</v>
      </c>
      <c r="DF175" s="73">
        <f t="shared" si="1356"/>
        <v>256.00274623909155</v>
      </c>
      <c r="DG175" s="73">
        <f t="shared" si="1357"/>
        <v>568.74026544825279</v>
      </c>
      <c r="DH175" s="72">
        <f t="shared" si="1385"/>
        <v>0.85429661272211088</v>
      </c>
      <c r="DI175" s="72">
        <f t="shared" si="1386"/>
        <v>0.8780196902022912</v>
      </c>
      <c r="DJ175" s="73">
        <f>SUM(AV158:AV175,BB158:BB175,BI158:BI175)</f>
        <v>4438.7497096131565</v>
      </c>
      <c r="DK175" s="73">
        <f>SUM(AV164:AV175,BB164:BB175,BI164:BI175)</f>
        <v>4438.7497096131565</v>
      </c>
      <c r="DL175" s="190"/>
    </row>
    <row r="176" spans="1:120" s="127" customFormat="1" x14ac:dyDescent="0.25">
      <c r="A176" s="190"/>
      <c r="B176" s="178"/>
      <c r="C176" s="182"/>
      <c r="D176" s="183"/>
      <c r="E176" s="183"/>
      <c r="F176" s="183"/>
      <c r="G176" s="183"/>
      <c r="H176" s="183"/>
      <c r="I176" s="183"/>
      <c r="J176" s="183"/>
      <c r="K176" s="183"/>
      <c r="L176" s="183"/>
      <c r="M176" s="183"/>
      <c r="N176" s="183"/>
      <c r="O176" s="183"/>
      <c r="P176" s="183"/>
      <c r="Q176" s="183"/>
      <c r="R176" s="183"/>
      <c r="S176" s="183"/>
      <c r="T176" s="183"/>
      <c r="U176" s="178"/>
      <c r="V176" s="190"/>
      <c r="W176" s="66">
        <v>18</v>
      </c>
      <c r="X176" s="66">
        <v>2022</v>
      </c>
      <c r="Y176" s="70">
        <f t="shared" si="1463"/>
        <v>6.6248144986592187E-3</v>
      </c>
      <c r="Z176" s="70">
        <f t="shared" si="1411"/>
        <v>2.4637869892602132E-3</v>
      </c>
      <c r="AA176" s="70">
        <f t="shared" si="1412"/>
        <v>1.0498768398968758E-2</v>
      </c>
      <c r="AB176" s="70">
        <f t="shared" si="1413"/>
        <v>5.1631728589202888E-4</v>
      </c>
      <c r="AC176" s="70">
        <f t="shared" si="1414"/>
        <v>7.9833606209102244E-3</v>
      </c>
      <c r="AD176" s="70">
        <f t="shared" si="1415"/>
        <v>4.8177893990965469E-3</v>
      </c>
      <c r="AE176" s="70">
        <f t="shared" si="1416"/>
        <v>0.13341060856879222</v>
      </c>
      <c r="AF176" s="70">
        <f t="shared" si="1417"/>
        <v>4.5431549473186179E-2</v>
      </c>
      <c r="AG176" s="70">
        <f t="shared" si="1418"/>
        <v>1.3312089106588786E-2</v>
      </c>
      <c r="AH176" s="70">
        <f t="shared" si="1419"/>
        <v>1.8812659791974903E-3</v>
      </c>
      <c r="AI176" s="70">
        <f t="shared" si="1420"/>
        <v>4.1689339062171401E-3</v>
      </c>
      <c r="AJ176" s="70">
        <f t="shared" si="1421"/>
        <v>7.9998477358549022E-3</v>
      </c>
      <c r="AK176" s="70">
        <f t="shared" si="1422"/>
        <v>8.6650493894807473E-3</v>
      </c>
      <c r="AL176" s="70">
        <f t="shared" si="1423"/>
        <v>0.16739633633828507</v>
      </c>
      <c r="AM176" s="70">
        <f t="shared" si="1424"/>
        <v>3.7271497924609084E-2</v>
      </c>
      <c r="AN176" s="70">
        <f t="shared" si="1425"/>
        <v>9.4391987477863218E-3</v>
      </c>
      <c r="AO176" s="70">
        <f t="shared" si="1426"/>
        <v>2.1266312941098743E-2</v>
      </c>
      <c r="AP176" s="190"/>
      <c r="AQ176" s="66">
        <v>18</v>
      </c>
      <c r="AR176" s="66">
        <v>2022</v>
      </c>
      <c r="AS176" s="215">
        <f t="shared" si="1335"/>
        <v>56.894171907065321</v>
      </c>
      <c r="AT176" s="215">
        <f t="shared" si="1336"/>
        <v>21.159101215246285</v>
      </c>
      <c r="AU176" s="215">
        <f t="shared" si="1337"/>
        <v>90.163842961079652</v>
      </c>
      <c r="AV176" s="215">
        <f t="shared" si="1338"/>
        <v>4.4341535039321798</v>
      </c>
      <c r="AW176" s="215">
        <f t="shared" si="1339"/>
        <v>68.561420346801853</v>
      </c>
      <c r="AX176" s="215">
        <f t="shared" si="1340"/>
        <v>41.375368071017114</v>
      </c>
      <c r="AY176" s="215">
        <f t="shared" si="1341"/>
        <v>1145.7356428131304</v>
      </c>
      <c r="AZ176" s="215">
        <f t="shared" si="1342"/>
        <v>390.16796413770186</v>
      </c>
      <c r="BA176" s="215">
        <f t="shared" si="1343"/>
        <v>114.32475373094877</v>
      </c>
      <c r="BB176" s="215">
        <f t="shared" si="1344"/>
        <v>16.156387479987217</v>
      </c>
      <c r="BC176" s="215">
        <f t="shared" si="1345"/>
        <v>35.802971143949051</v>
      </c>
      <c r="BD176" s="215">
        <f t="shared" si="1346"/>
        <v>68.703012349431347</v>
      </c>
      <c r="BE176" s="215">
        <f t="shared" si="1347"/>
        <v>74.415790758836238</v>
      </c>
      <c r="BF176" s="215">
        <f t="shared" si="1348"/>
        <v>1437.606432326646</v>
      </c>
      <c r="BG176" s="215">
        <f t="shared" si="1349"/>
        <v>320.08911503645982</v>
      </c>
      <c r="BH176" s="215">
        <f t="shared" si="1350"/>
        <v>81.064216413938851</v>
      </c>
      <c r="BI176" s="215">
        <f t="shared" si="1351"/>
        <v>182.63594619067368</v>
      </c>
      <c r="BJ176" s="194"/>
      <c r="BK176" s="66">
        <v>18</v>
      </c>
      <c r="BL176" s="66">
        <v>2022</v>
      </c>
      <c r="BM176" s="215">
        <f t="shared" si="1427"/>
        <v>29.18534485925629</v>
      </c>
      <c r="BN176" s="219">
        <f t="shared" si="1428"/>
        <v>50.875318487226956</v>
      </c>
      <c r="BO176" s="219">
        <f t="shared" si="1429"/>
        <v>26.185613290166941</v>
      </c>
      <c r="BP176" s="219">
        <f t="shared" si="1430"/>
        <v>8.0784770942985826</v>
      </c>
      <c r="BQ176" s="219">
        <f t="shared" si="1431"/>
        <v>7.9424608573143409</v>
      </c>
      <c r="BR176" s="220">
        <f t="shared" si="1432"/>
        <v>19.348964289715394</v>
      </c>
      <c r="BS176" s="219">
        <f t="shared" si="1433"/>
        <v>13.386683617251332</v>
      </c>
      <c r="BT176" s="219">
        <f t="shared" si="1434"/>
        <v>4.2477000149970507</v>
      </c>
      <c r="BU176" s="219">
        <f t="shared" si="1435"/>
        <v>18.198059995058067</v>
      </c>
      <c r="BV176" s="219">
        <f t="shared" si="1436"/>
        <v>6.9257351338528066</v>
      </c>
      <c r="BW176" s="219">
        <f t="shared" si="1437"/>
        <v>9.0522806183827225</v>
      </c>
      <c r="BX176" s="220">
        <f t="shared" si="1438"/>
        <v>1.9623318873671582</v>
      </c>
      <c r="BY176" s="195"/>
      <c r="BZ176" s="192">
        <v>18</v>
      </c>
      <c r="CA176" s="66">
        <v>2022</v>
      </c>
      <c r="CB176" s="218">
        <f t="shared" si="1439"/>
        <v>1.6325153101672991</v>
      </c>
      <c r="CC176" s="218">
        <f t="shared" si="1440"/>
        <v>0.56521650125205658</v>
      </c>
      <c r="CD176" s="73">
        <f t="shared" si="1441"/>
        <v>2.236421692512824</v>
      </c>
      <c r="CE176" s="73">
        <f t="shared" si="1442"/>
        <v>2.9731171294056558</v>
      </c>
      <c r="CF176" s="73">
        <f t="shared" si="1443"/>
        <v>1.679895914048368</v>
      </c>
      <c r="CG176" s="73">
        <f t="shared" si="1444"/>
        <v>5.7089039320024799</v>
      </c>
      <c r="CH176" s="73">
        <f t="shared" si="1445"/>
        <v>1.8361498792590312</v>
      </c>
      <c r="CI176" s="73">
        <f t="shared" si="1446"/>
        <v>1.2228193041279076</v>
      </c>
      <c r="CJ176" s="73">
        <f t="shared" si="1447"/>
        <v>1.8394374917914913</v>
      </c>
      <c r="CK176" s="73">
        <f t="shared" si="1448"/>
        <v>0.69619615527849599</v>
      </c>
      <c r="CL176" s="73">
        <f t="shared" si="1449"/>
        <v>0.19986767407378755</v>
      </c>
      <c r="CM176" s="73">
        <f t="shared" si="1450"/>
        <v>22.713063510380021</v>
      </c>
      <c r="CN176" s="73">
        <f t="shared" si="1451"/>
        <v>40.619551894202417</v>
      </c>
      <c r="CO176" s="73">
        <f t="shared" si="1452"/>
        <v>15.722055610057813</v>
      </c>
      <c r="CP176" s="73">
        <f t="shared" si="1453"/>
        <v>37.281354423764832</v>
      </c>
      <c r="CQ176" s="73">
        <f t="shared" si="1454"/>
        <v>27.210496173741809</v>
      </c>
      <c r="CR176" s="73">
        <f t="shared" si="1455"/>
        <v>4.9266472134914769</v>
      </c>
      <c r="CS176" s="73">
        <f t="shared" si="1456"/>
        <v>9.8863913381786297</v>
      </c>
      <c r="CT176" s="73">
        <f t="shared" si="1457"/>
        <v>8.0546243709502612</v>
      </c>
      <c r="CU176" s="73">
        <f t="shared" si="1458"/>
        <v>2.4763459874484455</v>
      </c>
      <c r="CV176" s="73">
        <f t="shared" si="1459"/>
        <v>7.26653450033018</v>
      </c>
      <c r="CW176" s="73">
        <f t="shared" si="1460"/>
        <v>2.617054090224773</v>
      </c>
      <c r="CX176" s="73">
        <f t="shared" si="1461"/>
        <v>3.1839193915154822</v>
      </c>
      <c r="CY176" s="73">
        <f t="shared" si="1462"/>
        <v>0.67790768638753851</v>
      </c>
      <c r="CZ176" s="190"/>
      <c r="DA176" s="66">
        <v>2022</v>
      </c>
      <c r="DB176" s="218">
        <f t="shared" si="1352"/>
        <v>131.23748163569473</v>
      </c>
      <c r="DC176" s="218">
        <f t="shared" si="1353"/>
        <v>3946.0638032122524</v>
      </c>
      <c r="DD176" s="73">
        <f t="shared" si="1354"/>
        <v>3368.014945072774</v>
      </c>
      <c r="DE176" s="73">
        <f t="shared" si="1355"/>
        <v>1832.111338121942</v>
      </c>
      <c r="DF176" s="73">
        <f t="shared" si="1356"/>
        <v>185.57019990731925</v>
      </c>
      <c r="DG176" s="73">
        <f t="shared" si="1357"/>
        <v>409.83174205608702</v>
      </c>
      <c r="DH176" s="72">
        <f t="shared" si="1385"/>
        <v>0.89151710590787459</v>
      </c>
      <c r="DI176" s="72">
        <f t="shared" si="1386"/>
        <v>0.90802800322563693</v>
      </c>
      <c r="DJ176" s="73">
        <f>SUM(AV158:AV176,BB158:BB176,BI158:BI176)</f>
        <v>4641.9761967877494</v>
      </c>
      <c r="DK176" s="73">
        <f>SUM(AV164:AV176,BB164:BB176,BI164:BI176)</f>
        <v>4641.9761967877494</v>
      </c>
      <c r="DL176" s="190"/>
      <c r="DM176"/>
      <c r="DN176"/>
      <c r="DO176"/>
      <c r="DP176"/>
    </row>
    <row r="177" spans="1:120" s="127" customFormat="1" x14ac:dyDescent="0.25">
      <c r="A177" s="190"/>
      <c r="B177" s="178"/>
      <c r="C177" s="182"/>
      <c r="D177" s="183"/>
      <c r="E177" s="183"/>
      <c r="F177" s="183"/>
      <c r="G177" s="183"/>
      <c r="H177" s="183"/>
      <c r="I177" s="183"/>
      <c r="J177" s="183"/>
      <c r="K177" s="183"/>
      <c r="L177" s="183"/>
      <c r="M177" s="183"/>
      <c r="N177" s="183"/>
      <c r="O177" s="183"/>
      <c r="P177" s="183"/>
      <c r="Q177" s="183"/>
      <c r="R177" s="183"/>
      <c r="S177" s="183"/>
      <c r="T177" s="183"/>
      <c r="U177" s="178"/>
      <c r="V177" s="190"/>
      <c r="W177" s="66">
        <v>19</v>
      </c>
      <c r="X177" s="66">
        <v>2023</v>
      </c>
      <c r="Y177" s="70">
        <f t="shared" si="1463"/>
        <v>4.1985430048054606E-3</v>
      </c>
      <c r="Z177" s="70">
        <f t="shared" si="1411"/>
        <v>1.5699056032151791E-3</v>
      </c>
      <c r="AA177" s="70">
        <f t="shared" si="1412"/>
        <v>7.5854841375757945E-3</v>
      </c>
      <c r="AB177" s="70">
        <f t="shared" si="1413"/>
        <v>3.534329434198572E-4</v>
      </c>
      <c r="AC177" s="70">
        <f t="shared" si="1414"/>
        <v>5.1147038600619964E-3</v>
      </c>
      <c r="AD177" s="70">
        <f t="shared" si="1415"/>
        <v>3.0906585495681254E-3</v>
      </c>
      <c r="AE177" s="70">
        <f t="shared" si="1416"/>
        <v>0.13390333060665358</v>
      </c>
      <c r="AF177" s="70">
        <f t="shared" si="1417"/>
        <v>4.7989561419724748E-2</v>
      </c>
      <c r="AG177" s="70">
        <f t="shared" si="1418"/>
        <v>1.0855628587387582E-2</v>
      </c>
      <c r="AH177" s="70">
        <f t="shared" si="1419"/>
        <v>1.6244055167096429E-3</v>
      </c>
      <c r="AI177" s="70">
        <f t="shared" si="1420"/>
        <v>2.6829042724834857E-3</v>
      </c>
      <c r="AJ177" s="70">
        <f t="shared" si="1421"/>
        <v>5.1726665739265897E-3</v>
      </c>
      <c r="AK177" s="70">
        <f t="shared" si="1422"/>
        <v>6.1090918805012809E-3</v>
      </c>
      <c r="AL177" s="70">
        <f t="shared" si="1423"/>
        <v>0.16326579717179046</v>
      </c>
      <c r="AM177" s="70">
        <f t="shared" si="1424"/>
        <v>4.0051148123023614E-2</v>
      </c>
      <c r="AN177" s="70">
        <f t="shared" si="1425"/>
        <v>8.1450963143657532E-3</v>
      </c>
      <c r="AO177" s="70">
        <f t="shared" si="1426"/>
        <v>1.7771272532482275E-2</v>
      </c>
      <c r="AP177" s="190"/>
      <c r="AQ177" s="66">
        <v>19</v>
      </c>
      <c r="AR177" s="66">
        <v>2023</v>
      </c>
      <c r="AS177" s="215">
        <f t="shared" si="1335"/>
        <v>36.057255266989493</v>
      </c>
      <c r="AT177" s="215">
        <f t="shared" si="1336"/>
        <v>13.482412116636088</v>
      </c>
      <c r="AU177" s="215">
        <f t="shared" si="1337"/>
        <v>65.144441192866438</v>
      </c>
      <c r="AV177" s="215">
        <f t="shared" si="1338"/>
        <v>3.0352962554074705</v>
      </c>
      <c r="AW177" s="215">
        <f t="shared" si="1339"/>
        <v>43.92528133836683</v>
      </c>
      <c r="AX177" s="215">
        <f t="shared" si="1340"/>
        <v>26.542699250033046</v>
      </c>
      <c r="AY177" s="215">
        <f t="shared" si="1341"/>
        <v>1149.9671593831654</v>
      </c>
      <c r="AZ177" s="215">
        <f t="shared" si="1342"/>
        <v>412.13627305505298</v>
      </c>
      <c r="BA177" s="215">
        <f t="shared" si="1343"/>
        <v>93.228572533628054</v>
      </c>
      <c r="BB177" s="215">
        <f t="shared" si="1344"/>
        <v>13.950459553723084</v>
      </c>
      <c r="BC177" s="215">
        <f t="shared" si="1345"/>
        <v>23.040889208259077</v>
      </c>
      <c r="BD177" s="215">
        <f t="shared" si="1346"/>
        <v>44.423067443544511</v>
      </c>
      <c r="BE177" s="215">
        <f t="shared" si="1347"/>
        <v>52.465125433420226</v>
      </c>
      <c r="BF177" s="215">
        <f t="shared" si="1348"/>
        <v>1402.1331967432236</v>
      </c>
      <c r="BG177" s="215">
        <f t="shared" si="1349"/>
        <v>343.96086212645173</v>
      </c>
      <c r="BH177" s="215">
        <f t="shared" si="1350"/>
        <v>69.950412951625665</v>
      </c>
      <c r="BI177" s="215">
        <f t="shared" si="1351"/>
        <v>152.62039935985908</v>
      </c>
      <c r="BJ177" s="194"/>
      <c r="BK177" s="66">
        <v>19</v>
      </c>
      <c r="BL177" s="66">
        <v>2023</v>
      </c>
      <c r="BM177" s="215">
        <f t="shared" si="1427"/>
        <v>19.179066783545018</v>
      </c>
      <c r="BN177" s="219">
        <f t="shared" si="1428"/>
        <v>38.30293956237395</v>
      </c>
      <c r="BO177" s="219">
        <f t="shared" si="1429"/>
        <v>26.915100538056386</v>
      </c>
      <c r="BP177" s="219">
        <f t="shared" si="1430"/>
        <v>8.831465649652694</v>
      </c>
      <c r="BQ177" s="219">
        <f t="shared" si="1431"/>
        <v>5.1924474180811737</v>
      </c>
      <c r="BR177" s="220">
        <f t="shared" si="1432"/>
        <v>15.03681519241616</v>
      </c>
      <c r="BS177" s="219">
        <f t="shared" si="1433"/>
        <v>8.9578735214284748</v>
      </c>
      <c r="BT177" s="219">
        <f t="shared" si="1434"/>
        <v>2.9756536994891158</v>
      </c>
      <c r="BU177" s="219">
        <f t="shared" si="1435"/>
        <v>18.163047497381562</v>
      </c>
      <c r="BV177" s="219">
        <f t="shared" si="1436"/>
        <v>7.299400412582699</v>
      </c>
      <c r="BW177" s="219">
        <f t="shared" si="1437"/>
        <v>10.098540586512877</v>
      </c>
      <c r="BX177" s="220">
        <f t="shared" si="1438"/>
        <v>2.2266346237336228</v>
      </c>
      <c r="BY177" s="195"/>
      <c r="BZ177" s="192">
        <v>19</v>
      </c>
      <c r="CA177" s="66">
        <v>2023</v>
      </c>
      <c r="CB177" s="218">
        <f t="shared" si="1439"/>
        <v>1.0346230429739478</v>
      </c>
      <c r="CC177" s="218">
        <f t="shared" si="1440"/>
        <v>0.36103972373460624</v>
      </c>
      <c r="CD177" s="73">
        <f t="shared" si="1441"/>
        <v>1.6396334886989166</v>
      </c>
      <c r="CE177" s="73">
        <f t="shared" si="1442"/>
        <v>1.9120777328897707</v>
      </c>
      <c r="CF177" s="73">
        <f t="shared" si="1443"/>
        <v>1.0827071735836633</v>
      </c>
      <c r="CG177" s="73">
        <f t="shared" si="1444"/>
        <v>5.7941790536009163</v>
      </c>
      <c r="CH177" s="73">
        <f t="shared" si="1445"/>
        <v>1.9731454278947542</v>
      </c>
      <c r="CI177" s="73">
        <f t="shared" si="1446"/>
        <v>0.81393658051157891</v>
      </c>
      <c r="CJ177" s="73">
        <f t="shared" si="1447"/>
        <v>1.4188382204021772</v>
      </c>
      <c r="CK177" s="73">
        <f t="shared" si="1448"/>
        <v>0.73027845457297613</v>
      </c>
      <c r="CL177" s="73">
        <f t="shared" si="1449"/>
        <v>0.22529691026724638</v>
      </c>
      <c r="CM177" s="73">
        <f t="shared" si="1450"/>
        <v>14.697647329622772</v>
      </c>
      <c r="CN177" s="73">
        <f t="shared" si="1451"/>
        <v>26.463540033976958</v>
      </c>
      <c r="CO177" s="73">
        <f t="shared" si="1452"/>
        <v>10.999019513018894</v>
      </c>
      <c r="CP177" s="73">
        <f t="shared" si="1453"/>
        <v>37.025836133658224</v>
      </c>
      <c r="CQ177" s="73">
        <f t="shared" si="1454"/>
        <v>30.156300762688485</v>
      </c>
      <c r="CR177" s="73">
        <f t="shared" si="1455"/>
        <v>3.2604972403210342</v>
      </c>
      <c r="CS177" s="73">
        <f t="shared" si="1456"/>
        <v>7.9430350118237243</v>
      </c>
      <c r="CT177" s="73">
        <f t="shared" si="1457"/>
        <v>5.4954309218789934</v>
      </c>
      <c r="CU177" s="73">
        <f t="shared" si="1458"/>
        <v>1.7437434600455306</v>
      </c>
      <c r="CV177" s="73">
        <f t="shared" si="1459"/>
        <v>7.4705718364908442</v>
      </c>
      <c r="CW177" s="73">
        <f t="shared" si="1460"/>
        <v>2.8431163460284457</v>
      </c>
      <c r="CX177" s="73">
        <f t="shared" si="1461"/>
        <v>3.7160946090993536</v>
      </c>
      <c r="CY177" s="73">
        <f t="shared" si="1462"/>
        <v>0.80556616120586866</v>
      </c>
      <c r="CZ177" s="190"/>
      <c r="DA177" s="66">
        <v>2023</v>
      </c>
      <c r="DB177" s="218">
        <f t="shared" si="1352"/>
        <v>84.448178810213648</v>
      </c>
      <c r="DC177" s="218">
        <f t="shared" si="1353"/>
        <v>3776.4576480432638</v>
      </c>
      <c r="DD177" s="73">
        <f t="shared" si="1354"/>
        <v>3360.6626167413142</v>
      </c>
      <c r="DE177" s="73">
        <f t="shared" si="1355"/>
        <v>1798.5591843030957</v>
      </c>
      <c r="DF177" s="73">
        <f t="shared" si="1356"/>
        <v>137.41436960342924</v>
      </c>
      <c r="DG177" s="73">
        <f t="shared" si="1357"/>
        <v>301.11092272545716</v>
      </c>
      <c r="DH177" s="72">
        <f t="shared" si="1385"/>
        <v>0.91776910300976577</v>
      </c>
      <c r="DI177" s="72">
        <f t="shared" si="1386"/>
        <v>0.92902053371227811</v>
      </c>
      <c r="DJ177" s="73">
        <f>SUM(AV158:AV177,BB158:BB177,BI158:BI177)</f>
        <v>4811.5823519567393</v>
      </c>
      <c r="DK177" s="73">
        <f>SUM(AV164:AV177,BB164:BB177,BI164:BI177)</f>
        <v>4811.5823519567393</v>
      </c>
      <c r="DL177" s="190"/>
    </row>
    <row r="178" spans="1:120" s="127" customFormat="1" x14ac:dyDescent="0.25">
      <c r="A178" s="190"/>
      <c r="B178" s="190" t="s">
        <v>576</v>
      </c>
      <c r="C178" s="182"/>
      <c r="D178" s="183"/>
      <c r="E178" s="183"/>
      <c r="F178" s="183"/>
      <c r="G178" s="183"/>
      <c r="H178" s="183"/>
      <c r="I178" s="183"/>
      <c r="J178" s="183"/>
      <c r="K178" s="183"/>
      <c r="L178" s="183"/>
      <c r="M178" s="183"/>
      <c r="N178" s="183"/>
      <c r="O178" s="183"/>
      <c r="P178" s="183"/>
      <c r="Q178" s="183"/>
      <c r="R178" s="183"/>
      <c r="S178" s="183"/>
      <c r="T178" s="183"/>
      <c r="U178" s="178"/>
      <c r="V178" s="190"/>
      <c r="W178" s="197" t="s">
        <v>583</v>
      </c>
      <c r="X178" s="190"/>
      <c r="Y178" s="190"/>
      <c r="Z178" s="190"/>
      <c r="AA178" s="190"/>
      <c r="AB178" s="190"/>
      <c r="AC178" s="190"/>
      <c r="AD178" s="190"/>
      <c r="AE178" s="190"/>
      <c r="AF178" s="190"/>
      <c r="AG178" s="190"/>
      <c r="AH178" s="190"/>
      <c r="AI178" s="190"/>
      <c r="AJ178" s="190"/>
      <c r="AK178" s="190"/>
      <c r="AL178" s="190"/>
      <c r="AM178" s="190"/>
      <c r="AN178" s="190"/>
      <c r="AO178" s="190"/>
      <c r="AP178" s="190"/>
      <c r="AQ178" s="193" t="s">
        <v>90</v>
      </c>
      <c r="AR178" s="25"/>
      <c r="AS178" s="213"/>
      <c r="AT178" s="213"/>
      <c r="AU178" s="213"/>
      <c r="AV178" s="213"/>
      <c r="AW178" s="213"/>
      <c r="AX178" s="213"/>
      <c r="AY178" s="213"/>
      <c r="AZ178" s="213"/>
      <c r="BA178" s="213"/>
      <c r="BB178" s="213"/>
      <c r="BC178" s="213"/>
      <c r="BD178" s="213"/>
      <c r="BE178" s="213"/>
      <c r="BF178" s="213"/>
      <c r="BG178" s="213"/>
      <c r="BH178" s="213"/>
      <c r="BI178" s="213"/>
      <c r="BJ178" s="25"/>
      <c r="BK178" s="25"/>
      <c r="BL178" s="25"/>
      <c r="BM178" s="348" t="s">
        <v>570</v>
      </c>
      <c r="BN178" s="349"/>
      <c r="BO178" s="349"/>
      <c r="BP178" s="349"/>
      <c r="BQ178" s="350" t="s">
        <v>570</v>
      </c>
      <c r="BR178" s="350"/>
      <c r="BS178" s="350"/>
      <c r="BT178" s="350"/>
      <c r="BU178" s="350"/>
      <c r="BV178" s="350"/>
      <c r="BW178" s="350"/>
      <c r="BX178" s="351"/>
      <c r="BY178" s="199"/>
      <c r="BZ178" s="25"/>
      <c r="CA178" s="25"/>
      <c r="CB178" s="350" t="s">
        <v>302</v>
      </c>
      <c r="CC178" s="350"/>
      <c r="CD178" s="350"/>
      <c r="CE178" s="350" t="s">
        <v>302</v>
      </c>
      <c r="CF178" s="350"/>
      <c r="CG178" s="350"/>
      <c r="CH178" s="350"/>
      <c r="CI178" s="350"/>
      <c r="CJ178" s="350"/>
      <c r="CK178" s="350"/>
      <c r="CL178" s="350"/>
      <c r="CM178" s="350" t="s">
        <v>302</v>
      </c>
      <c r="CN178" s="350"/>
      <c r="CO178" s="350"/>
      <c r="CP178" s="350"/>
      <c r="CQ178" s="350"/>
      <c r="CR178" s="350"/>
      <c r="CS178" s="350"/>
      <c r="CT178" s="350"/>
      <c r="CU178" s="350"/>
      <c r="CV178" s="350"/>
      <c r="CW178" s="350"/>
      <c r="CX178" s="350"/>
      <c r="CY178" s="350"/>
      <c r="CZ178" s="190"/>
      <c r="DA178" s="190" t="s">
        <v>100</v>
      </c>
      <c r="DB178" s="217"/>
      <c r="DC178" s="217"/>
      <c r="DD178" s="217"/>
      <c r="DE178" s="217"/>
      <c r="DF178" s="217"/>
      <c r="DG178" s="217"/>
      <c r="DH178" s="222"/>
      <c r="DI178" s="222"/>
      <c r="DJ178" s="217"/>
      <c r="DK178" s="217"/>
      <c r="DL178" s="190"/>
    </row>
    <row r="179" spans="1:120" x14ac:dyDescent="0.25">
      <c r="A179" s="190"/>
      <c r="B179" s="188">
        <v>2012</v>
      </c>
      <c r="C179" s="187"/>
      <c r="D179" s="181" t="s">
        <v>320</v>
      </c>
      <c r="E179" s="181" t="s">
        <v>319</v>
      </c>
      <c r="F179" s="181" t="s">
        <v>318</v>
      </c>
      <c r="G179" s="181" t="s">
        <v>317</v>
      </c>
      <c r="H179" s="181" t="s">
        <v>321</v>
      </c>
      <c r="I179" s="181" t="s">
        <v>322</v>
      </c>
      <c r="J179" s="181" t="s">
        <v>323</v>
      </c>
      <c r="K179" s="181" t="s">
        <v>324</v>
      </c>
      <c r="L179" s="181" t="s">
        <v>325</v>
      </c>
      <c r="M179" s="181" t="s">
        <v>326</v>
      </c>
      <c r="N179" s="181" t="s">
        <v>327</v>
      </c>
      <c r="O179" s="181" t="s">
        <v>328</v>
      </c>
      <c r="P179" s="181" t="s">
        <v>329</v>
      </c>
      <c r="Q179" s="181" t="s">
        <v>330</v>
      </c>
      <c r="R179" s="181" t="s">
        <v>331</v>
      </c>
      <c r="S179" s="181" t="s">
        <v>332</v>
      </c>
      <c r="T179" s="181" t="s">
        <v>333</v>
      </c>
      <c r="U179" s="181" t="s">
        <v>87</v>
      </c>
      <c r="V179" s="190"/>
      <c r="W179" s="66" t="s">
        <v>88</v>
      </c>
      <c r="X179" s="66" t="s">
        <v>89</v>
      </c>
      <c r="Y179" s="61" t="s">
        <v>320</v>
      </c>
      <c r="Z179" s="61" t="s">
        <v>319</v>
      </c>
      <c r="AA179" s="61" t="s">
        <v>318</v>
      </c>
      <c r="AB179" s="61" t="s">
        <v>317</v>
      </c>
      <c r="AC179" s="61" t="s">
        <v>321</v>
      </c>
      <c r="AD179" s="61" t="s">
        <v>322</v>
      </c>
      <c r="AE179" s="61" t="s">
        <v>323</v>
      </c>
      <c r="AF179" s="61" t="s">
        <v>324</v>
      </c>
      <c r="AG179" s="61" t="s">
        <v>325</v>
      </c>
      <c r="AH179" s="61" t="s">
        <v>326</v>
      </c>
      <c r="AI179" s="61" t="s">
        <v>327</v>
      </c>
      <c r="AJ179" s="61" t="s">
        <v>328</v>
      </c>
      <c r="AK179" s="61" t="s">
        <v>329</v>
      </c>
      <c r="AL179" s="61" t="s">
        <v>330</v>
      </c>
      <c r="AM179" s="61" t="s">
        <v>331</v>
      </c>
      <c r="AN179" s="61" t="s">
        <v>332</v>
      </c>
      <c r="AO179" s="61" t="s">
        <v>333</v>
      </c>
      <c r="AP179" s="190"/>
      <c r="AQ179" s="66" t="s">
        <v>88</v>
      </c>
      <c r="AR179" s="66" t="s">
        <v>89</v>
      </c>
      <c r="AS179" s="214" t="s">
        <v>320</v>
      </c>
      <c r="AT179" s="214" t="s">
        <v>319</v>
      </c>
      <c r="AU179" s="214" t="s">
        <v>318</v>
      </c>
      <c r="AV179" s="214" t="s">
        <v>317</v>
      </c>
      <c r="AW179" s="214" t="s">
        <v>321</v>
      </c>
      <c r="AX179" s="214" t="s">
        <v>322</v>
      </c>
      <c r="AY179" s="214" t="s">
        <v>323</v>
      </c>
      <c r="AZ179" s="214" t="s">
        <v>324</v>
      </c>
      <c r="BA179" s="214" t="s">
        <v>325</v>
      </c>
      <c r="BB179" s="214" t="s">
        <v>326</v>
      </c>
      <c r="BC179" s="214" t="s">
        <v>327</v>
      </c>
      <c r="BD179" s="214" t="s">
        <v>328</v>
      </c>
      <c r="BE179" s="214" t="s">
        <v>329</v>
      </c>
      <c r="BF179" s="214" t="s">
        <v>330</v>
      </c>
      <c r="BG179" s="214" t="s">
        <v>331</v>
      </c>
      <c r="BH179" s="214" t="s">
        <v>332</v>
      </c>
      <c r="BI179" s="214" t="s">
        <v>333</v>
      </c>
      <c r="BJ179" s="189"/>
      <c r="BK179" s="66" t="s">
        <v>88</v>
      </c>
      <c r="BL179" s="66" t="s">
        <v>89</v>
      </c>
      <c r="BM179" s="122" t="s">
        <v>627</v>
      </c>
      <c r="BN179" s="122" t="s">
        <v>715</v>
      </c>
      <c r="BO179" s="122" t="s">
        <v>628</v>
      </c>
      <c r="BP179" s="122" t="s">
        <v>629</v>
      </c>
      <c r="BQ179" s="122" t="s">
        <v>627</v>
      </c>
      <c r="BR179" s="122" t="s">
        <v>716</v>
      </c>
      <c r="BS179" s="122" t="s">
        <v>717</v>
      </c>
      <c r="BT179" s="122" t="s">
        <v>721</v>
      </c>
      <c r="BU179" s="122" t="s">
        <v>720</v>
      </c>
      <c r="BV179" s="122" t="s">
        <v>719</v>
      </c>
      <c r="BW179" s="122" t="s">
        <v>629</v>
      </c>
      <c r="BX179" s="122" t="s">
        <v>722</v>
      </c>
      <c r="BY179" s="182"/>
      <c r="BZ179" s="192" t="s">
        <v>88</v>
      </c>
      <c r="CA179" s="66" t="s">
        <v>89</v>
      </c>
      <c r="CB179" s="218" t="s">
        <v>124</v>
      </c>
      <c r="CC179" s="218" t="s">
        <v>630</v>
      </c>
      <c r="CD179" s="218" t="s">
        <v>570</v>
      </c>
      <c r="CE179" s="218" t="s">
        <v>124</v>
      </c>
      <c r="CF179" s="218" t="s">
        <v>630</v>
      </c>
      <c r="CG179" s="218" t="s">
        <v>631</v>
      </c>
      <c r="CH179" s="218" t="s">
        <v>632</v>
      </c>
      <c r="CI179" s="227" t="s">
        <v>624</v>
      </c>
      <c r="CJ179" s="227" t="s">
        <v>725</v>
      </c>
      <c r="CK179" s="227" t="s">
        <v>625</v>
      </c>
      <c r="CL179" s="227" t="s">
        <v>626</v>
      </c>
      <c r="CM179" s="218" t="s">
        <v>124</v>
      </c>
      <c r="CN179" s="218" t="s">
        <v>633</v>
      </c>
      <c r="CO179" s="218" t="s">
        <v>634</v>
      </c>
      <c r="CP179" s="218" t="s">
        <v>635</v>
      </c>
      <c r="CQ179" s="218" t="s">
        <v>632</v>
      </c>
      <c r="CR179" s="122" t="s">
        <v>624</v>
      </c>
      <c r="CS179" s="122" t="s">
        <v>726</v>
      </c>
      <c r="CT179" s="122" t="s">
        <v>727</v>
      </c>
      <c r="CU179" s="122" t="s">
        <v>637</v>
      </c>
      <c r="CV179" s="122" t="s">
        <v>638</v>
      </c>
      <c r="CW179" s="122" t="s">
        <v>728</v>
      </c>
      <c r="CX179" s="122" t="s">
        <v>626</v>
      </c>
      <c r="CY179" s="122" t="s">
        <v>729</v>
      </c>
      <c r="CZ179" s="190"/>
      <c r="DA179" s="67" t="s">
        <v>89</v>
      </c>
      <c r="DB179" s="219" t="s">
        <v>91</v>
      </c>
      <c r="DC179" s="219" t="s">
        <v>99</v>
      </c>
      <c r="DD179" s="215" t="s">
        <v>92</v>
      </c>
      <c r="DE179" s="215" t="s">
        <v>97</v>
      </c>
      <c r="DF179" s="215" t="s">
        <v>93</v>
      </c>
      <c r="DG179" s="215" t="s">
        <v>94</v>
      </c>
      <c r="DH179" s="223" t="s">
        <v>96</v>
      </c>
      <c r="DI179" s="223" t="s">
        <v>98</v>
      </c>
      <c r="DJ179" s="219" t="s">
        <v>95</v>
      </c>
      <c r="DK179" s="219" t="s">
        <v>102</v>
      </c>
      <c r="DL179" s="190"/>
      <c r="DM179" s="127"/>
      <c r="DN179" s="127"/>
      <c r="DO179" s="127"/>
      <c r="DP179" s="127"/>
    </row>
    <row r="180" spans="1:120" x14ac:dyDescent="0.25">
      <c r="A180" s="190"/>
      <c r="B180" s="188">
        <v>2012</v>
      </c>
      <c r="C180" s="61" t="s">
        <v>320</v>
      </c>
      <c r="D180" s="172">
        <f>pAsympt_NoCare_2010_2012</f>
        <v>0.63376008575865694</v>
      </c>
      <c r="E180" s="172">
        <f>pAsympt_NoCare_Asympt_InCare_2010_2012</f>
        <v>7.4027434914144222E-2</v>
      </c>
      <c r="F180" s="169">
        <v>0</v>
      </c>
      <c r="G180" s="170">
        <f>pAsympt_NoCare_Asympt_Dead_2010_2012</f>
        <v>1.818504441305463E-2</v>
      </c>
      <c r="H180" s="170">
        <f>pAsympt_NoCare_Int_NoCare_2010_2012</f>
        <v>0.2</v>
      </c>
      <c r="I180" s="172">
        <f>pAsympt_NoCare_Int_InCare_2010_2012</f>
        <v>7.4027434914144222E-2</v>
      </c>
      <c r="J180" s="171">
        <f>pAsympt_NoCare_Int_ART1_2010_2012</f>
        <v>0</v>
      </c>
      <c r="K180" s="169">
        <v>0</v>
      </c>
      <c r="L180" s="169">
        <v>0</v>
      </c>
      <c r="M180" s="169">
        <v>0</v>
      </c>
      <c r="N180" s="169">
        <v>0</v>
      </c>
      <c r="O180" s="169">
        <v>0</v>
      </c>
      <c r="P180" s="169">
        <v>0</v>
      </c>
      <c r="Q180" s="169">
        <v>0</v>
      </c>
      <c r="R180" s="169">
        <v>0</v>
      </c>
      <c r="S180" s="169">
        <v>0</v>
      </c>
      <c r="T180" s="169">
        <v>0</v>
      </c>
      <c r="U180" s="61">
        <f>SUM(D180:T180)</f>
        <v>0.99999999999999989</v>
      </c>
      <c r="V180" s="190"/>
      <c r="W180" s="66">
        <v>0</v>
      </c>
      <c r="X180" s="66">
        <v>2004</v>
      </c>
      <c r="Y180" s="69">
        <v>0</v>
      </c>
      <c r="Z180" s="69">
        <v>0</v>
      </c>
      <c r="AA180" s="69">
        <v>0</v>
      </c>
      <c r="AB180" s="69">
        <v>0</v>
      </c>
      <c r="AC180" s="69">
        <v>0</v>
      </c>
      <c r="AD180" s="69">
        <v>0</v>
      </c>
      <c r="AE180" s="69">
        <v>0</v>
      </c>
      <c r="AF180" s="69">
        <v>0</v>
      </c>
      <c r="AG180" s="69">
        <v>0</v>
      </c>
      <c r="AH180" s="69">
        <v>0</v>
      </c>
      <c r="AI180" s="69">
        <v>0</v>
      </c>
      <c r="AJ180" s="69">
        <v>0</v>
      </c>
      <c r="AK180" s="69">
        <v>0</v>
      </c>
      <c r="AL180" s="69">
        <v>0</v>
      </c>
      <c r="AM180" s="69">
        <v>0</v>
      </c>
      <c r="AN180" s="69">
        <v>0</v>
      </c>
      <c r="AO180" s="69">
        <v>0</v>
      </c>
      <c r="AP180" s="190"/>
      <c r="AQ180" s="66">
        <v>0</v>
      </c>
      <c r="AR180" s="66">
        <v>2004</v>
      </c>
      <c r="AS180" s="215">
        <f t="shared" ref="AS180:AS199" si="1464">Inc_2012*Y180</f>
        <v>0</v>
      </c>
      <c r="AT180" s="215">
        <f t="shared" ref="AT180:AT199" si="1465">Inc_2012*Z180</f>
        <v>0</v>
      </c>
      <c r="AU180" s="215">
        <f t="shared" ref="AU180:AU199" si="1466">Inc_2012*AA180</f>
        <v>0</v>
      </c>
      <c r="AV180" s="215">
        <f t="shared" ref="AV180:AV199" si="1467">Inc_2012*AB180</f>
        <v>0</v>
      </c>
      <c r="AW180" s="215">
        <f t="shared" ref="AW180:AW199" si="1468">Inc_2012*AC180</f>
        <v>0</v>
      </c>
      <c r="AX180" s="215">
        <f t="shared" ref="AX180:AX199" si="1469">Inc_2012*AD180</f>
        <v>0</v>
      </c>
      <c r="AY180" s="215">
        <f t="shared" ref="AY180:AY199" si="1470">Inc_2012*AE180</f>
        <v>0</v>
      </c>
      <c r="AZ180" s="215">
        <f t="shared" ref="AZ180:AZ199" si="1471">Inc_2012*AF180</f>
        <v>0</v>
      </c>
      <c r="BA180" s="215">
        <f t="shared" ref="BA180:BA199" si="1472">Inc_2012*AG180</f>
        <v>0</v>
      </c>
      <c r="BB180" s="215">
        <f t="shared" ref="BB180:BB199" si="1473">Inc_2012*AH180</f>
        <v>0</v>
      </c>
      <c r="BC180" s="215">
        <f t="shared" ref="BC180:BC199" si="1474">Inc_2012*AI180</f>
        <v>0</v>
      </c>
      <c r="BD180" s="215">
        <f t="shared" ref="BD180:BD199" si="1475">Inc_2012*AJ180</f>
        <v>0</v>
      </c>
      <c r="BE180" s="215">
        <f t="shared" ref="BE180:BE199" si="1476">Inc_2012*AK180</f>
        <v>0</v>
      </c>
      <c r="BF180" s="215">
        <f t="shared" ref="BF180:BF199" si="1477">Inc_2012*AL180</f>
        <v>0</v>
      </c>
      <c r="BG180" s="215">
        <f t="shared" ref="BG180:BG199" si="1478">Inc_2012*AM180</f>
        <v>0</v>
      </c>
      <c r="BH180" s="215">
        <f t="shared" ref="BH180:BH199" si="1479">Inc_2012*AN180</f>
        <v>0</v>
      </c>
      <c r="BI180" s="215">
        <f t="shared" ref="BI180:BI199" si="1480">Inc_2012*AO180</f>
        <v>0</v>
      </c>
      <c r="BJ180" s="194"/>
      <c r="BK180" s="66">
        <v>0</v>
      </c>
      <c r="BL180" s="66">
        <v>2004</v>
      </c>
      <c r="BM180" s="215">
        <f>BA180</f>
        <v>0</v>
      </c>
      <c r="BN180" s="219">
        <v>0</v>
      </c>
      <c r="BO180" s="219">
        <v>0</v>
      </c>
      <c r="BP180" s="219">
        <v>0</v>
      </c>
      <c r="BQ180" s="219">
        <f>BH180</f>
        <v>0</v>
      </c>
      <c r="BR180" s="219">
        <v>0</v>
      </c>
      <c r="BS180" s="219">
        <v>0</v>
      </c>
      <c r="BT180" s="219">
        <v>0</v>
      </c>
      <c r="BU180" s="219">
        <v>0</v>
      </c>
      <c r="BV180" s="219">
        <v>0</v>
      </c>
      <c r="BW180" s="219">
        <v>0</v>
      </c>
      <c r="BX180" s="219">
        <v>0</v>
      </c>
      <c r="BY180" s="195"/>
      <c r="BZ180" s="192">
        <v>0</v>
      </c>
      <c r="CA180" s="66">
        <v>2004</v>
      </c>
      <c r="CB180" s="218">
        <v>0</v>
      </c>
      <c r="CC180" s="218">
        <v>0</v>
      </c>
      <c r="CD180" s="218">
        <v>0</v>
      </c>
      <c r="CE180" s="218">
        <v>0</v>
      </c>
      <c r="CF180" s="218">
        <v>0</v>
      </c>
      <c r="CG180" s="218">
        <v>0</v>
      </c>
      <c r="CH180" s="218">
        <v>0</v>
      </c>
      <c r="CI180" s="218">
        <v>0</v>
      </c>
      <c r="CJ180" s="218">
        <v>0</v>
      </c>
      <c r="CK180" s="218">
        <v>0</v>
      </c>
      <c r="CL180" s="218">
        <v>0</v>
      </c>
      <c r="CM180" s="218">
        <v>0</v>
      </c>
      <c r="CN180" s="218">
        <v>0</v>
      </c>
      <c r="CO180" s="218">
        <v>0</v>
      </c>
      <c r="CP180" s="218">
        <v>0</v>
      </c>
      <c r="CQ180" s="218">
        <v>0</v>
      </c>
      <c r="CR180" s="218">
        <v>0</v>
      </c>
      <c r="CS180" s="218">
        <v>0</v>
      </c>
      <c r="CT180" s="218">
        <v>0</v>
      </c>
      <c r="CU180" s="218">
        <v>0</v>
      </c>
      <c r="CV180" s="218">
        <v>0</v>
      </c>
      <c r="CW180" s="218">
        <v>0</v>
      </c>
      <c r="CX180" s="218">
        <v>0</v>
      </c>
      <c r="CY180" s="218">
        <v>0</v>
      </c>
      <c r="CZ180" s="190"/>
      <c r="DA180" s="67">
        <v>2004</v>
      </c>
      <c r="DB180" s="218">
        <f t="shared" ref="DB180:DB199" si="1481">SUM(AT180,AX180,BD180)</f>
        <v>0</v>
      </c>
      <c r="DC180" s="218">
        <f t="shared" ref="DC180:DC199" si="1482">SUM(AS180:AU180,AW180:BA180,BC180:BH180)</f>
        <v>0</v>
      </c>
      <c r="DD180" s="73">
        <f t="shared" ref="DD180:DD199" si="1483">SUM(AY180:AZ180,BE180:BG180)</f>
        <v>0</v>
      </c>
      <c r="DE180" s="73">
        <f t="shared" ref="DE180:DE199" si="1484">SUM(BE180:BG180)</f>
        <v>0</v>
      </c>
      <c r="DF180" s="73">
        <f t="shared" ref="DF180:DF199" si="1485">SUM(BC180,BD180,BH180)</f>
        <v>0</v>
      </c>
      <c r="DG180" s="73">
        <f t="shared" ref="DG180:DG199" si="1486">SUM(BC180,BD180,BH180,AW180,AX180,BA180)</f>
        <v>0</v>
      </c>
      <c r="DH180" s="72" t="e">
        <f>DD180/(DD180+DG180)</f>
        <v>#DIV/0!</v>
      </c>
      <c r="DI180" s="72" t="e">
        <f>DE180/(DE180+DF180)</f>
        <v>#DIV/0!</v>
      </c>
      <c r="DJ180" s="73">
        <f>SUM(AV180,BB180,BI180)</f>
        <v>0</v>
      </c>
      <c r="DK180" s="73">
        <v>0</v>
      </c>
      <c r="DL180" s="190"/>
    </row>
    <row r="181" spans="1:120" x14ac:dyDescent="0.25">
      <c r="A181" s="190"/>
      <c r="B181" s="188">
        <v>2012</v>
      </c>
      <c r="C181" s="61" t="s">
        <v>319</v>
      </c>
      <c r="D181" s="169">
        <v>0</v>
      </c>
      <c r="E181" s="172">
        <f>pAsympt_InCare_2004_2012</f>
        <v>0.43814160225821164</v>
      </c>
      <c r="F181" s="170">
        <f>pAsympt_InCare_Asympt_LTFU_2004_2012</f>
        <v>0.30679530417926698</v>
      </c>
      <c r="G181" s="170">
        <f>pAsympt_InCare_Asympt_Dead_2004_2012</f>
        <v>1.7063093562521336E-2</v>
      </c>
      <c r="H181" s="169">
        <v>0</v>
      </c>
      <c r="I181" s="170">
        <f>pAsympt_InCare_Int_InCare_2004_2012</f>
        <v>0.2</v>
      </c>
      <c r="J181" s="170">
        <f>pAsympt_InCare_Int_ART1_2004_2012</f>
        <v>3.7999999999999999E-2</v>
      </c>
      <c r="K181" s="169">
        <v>0</v>
      </c>
      <c r="L181" s="169">
        <v>0</v>
      </c>
      <c r="M181" s="169">
        <v>0</v>
      </c>
      <c r="N181" s="169">
        <v>0</v>
      </c>
      <c r="O181" s="169">
        <v>0</v>
      </c>
      <c r="P181" s="169">
        <v>0</v>
      </c>
      <c r="Q181" s="169">
        <v>0</v>
      </c>
      <c r="R181" s="169">
        <v>0</v>
      </c>
      <c r="S181" s="169">
        <v>0</v>
      </c>
      <c r="T181" s="169">
        <v>0</v>
      </c>
      <c r="U181" s="61">
        <f t="shared" ref="U181:U196" si="1487">SUM(D181:T181)</f>
        <v>1</v>
      </c>
      <c r="V181" s="190"/>
      <c r="W181" s="66">
        <v>1</v>
      </c>
      <c r="X181" s="66">
        <v>2005</v>
      </c>
      <c r="Y181" s="69">
        <v>0</v>
      </c>
      <c r="Z181" s="69">
        <v>0</v>
      </c>
      <c r="AA181" s="69">
        <v>0</v>
      </c>
      <c r="AB181" s="69">
        <v>0</v>
      </c>
      <c r="AC181" s="69">
        <v>0</v>
      </c>
      <c r="AD181" s="69">
        <v>0</v>
      </c>
      <c r="AE181" s="69">
        <v>0</v>
      </c>
      <c r="AF181" s="69">
        <v>0</v>
      </c>
      <c r="AG181" s="69">
        <v>0</v>
      </c>
      <c r="AH181" s="69">
        <v>0</v>
      </c>
      <c r="AI181" s="69">
        <v>0</v>
      </c>
      <c r="AJ181" s="69">
        <v>0</v>
      </c>
      <c r="AK181" s="69">
        <v>0</v>
      </c>
      <c r="AL181" s="69">
        <v>0</v>
      </c>
      <c r="AM181" s="69">
        <v>0</v>
      </c>
      <c r="AN181" s="69">
        <v>0</v>
      </c>
      <c r="AO181" s="69">
        <v>0</v>
      </c>
      <c r="AP181" s="190"/>
      <c r="AQ181" s="66">
        <v>1</v>
      </c>
      <c r="AR181" s="66">
        <v>2005</v>
      </c>
      <c r="AS181" s="215">
        <f t="shared" si="1464"/>
        <v>0</v>
      </c>
      <c r="AT181" s="215">
        <f t="shared" si="1465"/>
        <v>0</v>
      </c>
      <c r="AU181" s="215">
        <f t="shared" si="1466"/>
        <v>0</v>
      </c>
      <c r="AV181" s="215">
        <f t="shared" si="1467"/>
        <v>0</v>
      </c>
      <c r="AW181" s="215">
        <f t="shared" si="1468"/>
        <v>0</v>
      </c>
      <c r="AX181" s="215">
        <f t="shared" si="1469"/>
        <v>0</v>
      </c>
      <c r="AY181" s="215">
        <f t="shared" si="1470"/>
        <v>0</v>
      </c>
      <c r="AZ181" s="215">
        <f t="shared" si="1471"/>
        <v>0</v>
      </c>
      <c r="BA181" s="215">
        <f t="shared" si="1472"/>
        <v>0</v>
      </c>
      <c r="BB181" s="215">
        <f t="shared" si="1473"/>
        <v>0</v>
      </c>
      <c r="BC181" s="215">
        <f t="shared" si="1474"/>
        <v>0</v>
      </c>
      <c r="BD181" s="215">
        <f t="shared" si="1475"/>
        <v>0</v>
      </c>
      <c r="BE181" s="215">
        <f t="shared" si="1476"/>
        <v>0</v>
      </c>
      <c r="BF181" s="215">
        <f t="shared" si="1477"/>
        <v>0</v>
      </c>
      <c r="BG181" s="215">
        <f t="shared" si="1478"/>
        <v>0</v>
      </c>
      <c r="BH181" s="215">
        <f t="shared" si="1479"/>
        <v>0</v>
      </c>
      <c r="BI181" s="215">
        <f t="shared" si="1480"/>
        <v>0</v>
      </c>
      <c r="BJ181" s="194"/>
      <c r="BK181" s="66">
        <v>1</v>
      </c>
      <c r="BL181" s="66">
        <v>2005</v>
      </c>
      <c r="BM181" s="215">
        <f t="shared" ref="BM181:BM188" si="1488">(AX180*pInt_InCare_Int_LTFU_2004_2012)+(BM180*pInt_LTFU_2004_2012)</f>
        <v>0</v>
      </c>
      <c r="BN181" s="219">
        <f t="shared" ref="BN181:BN188" si="1489">(AU180*pAsympt_LTFU_Int_LTFU_2004_2012)+(BN180*pInt_LTFU_2004_2012)</f>
        <v>0</v>
      </c>
      <c r="BO181" s="219">
        <f t="shared" ref="BO181:BO188" si="1490">(AY180*pInt_ART1_Int_LTFU_2004_2012)+(BO180*pInt_LTFU_2004_2012)</f>
        <v>0</v>
      </c>
      <c r="BP181" s="219">
        <v>0</v>
      </c>
      <c r="BQ181" s="219">
        <f t="shared" ref="BQ181:BQ188" si="1491">(BD180*pAIDS_InCare_AIDS_LTFU_2004_2012)+(BQ180*pAIDS_LTFU_2004_2012)</f>
        <v>0</v>
      </c>
      <c r="BR181" s="220">
        <f>(BN180*pInt_LTFU_AIDS_LTFU_2004_2012)</f>
        <v>0</v>
      </c>
      <c r="BS181" s="219">
        <f>(BM180*pInt_LTFU_AIDS_LTFU_2004_2012)</f>
        <v>0</v>
      </c>
      <c r="BT181" s="219">
        <f>(BE180*pAIDS_ART1ear_AIDS_LTFU_2004_2012)</f>
        <v>0</v>
      </c>
      <c r="BU181" s="219">
        <f>(BF180*pAIDS_ART1late_AIDS_LTFU_2004_2012)</f>
        <v>0</v>
      </c>
      <c r="BV181" s="219">
        <f>(BO180*pInt_LTFU_AIDS_LTFU_2004_2012)</f>
        <v>0</v>
      </c>
      <c r="BW181" s="219">
        <f>(BG180*pAIDS_ART2_AIDS_LTFU_2004_2012)</f>
        <v>0</v>
      </c>
      <c r="BX181" s="220">
        <f>(BP180*pInt_LTFU_AIDS_LTFU_2004_2012)</f>
        <v>0</v>
      </c>
      <c r="BY181" s="195"/>
      <c r="BZ181" s="192">
        <v>1</v>
      </c>
      <c r="CA181" s="66">
        <v>2005</v>
      </c>
      <c r="CB181" s="218">
        <f>pAsympt_NoCare_Asympt_Dead_2004_2006*AS180</f>
        <v>0</v>
      </c>
      <c r="CC181" s="218">
        <f t="shared" ref="CC181:CC188" si="1492">pAsympt_InCare_Asympt_Dead_2004_2012*AT180</f>
        <v>0</v>
      </c>
      <c r="CD181" s="73">
        <f t="shared" ref="CD181:CD188" si="1493">pAsympt_LTFU_Asympt_Dead_2004_2012*AU180</f>
        <v>0</v>
      </c>
      <c r="CE181" s="73">
        <f>pInt_NoCare_Int_Dead_2004_2006*AW180</f>
        <v>0</v>
      </c>
      <c r="CF181" s="73">
        <f t="shared" ref="CF181:CF188" si="1494">pInt_InCare_Int_Dead_2004_2012*AX180</f>
        <v>0</v>
      </c>
      <c r="CG181" s="73">
        <f t="shared" ref="CG181:CG188" si="1495">pInt_ART1_Int_Dead_2004_2012*AY180</f>
        <v>0</v>
      </c>
      <c r="CH181" s="73">
        <f t="shared" ref="CH181:CH188" si="1496">pInt_ART2_Int_Dead_2004_2012*AZ180</f>
        <v>0</v>
      </c>
      <c r="CI181" s="73">
        <f t="shared" ref="CI181:CI188" si="1497">(BM180*pInt_LTFU_Int_Dead_2004_2012)</f>
        <v>0</v>
      </c>
      <c r="CJ181" s="73">
        <f t="shared" ref="CJ181:CJ188" si="1498">(BN180*pInt_LTFU_Int_Dead_2004_2012)</f>
        <v>0</v>
      </c>
      <c r="CK181" s="73">
        <f t="shared" ref="CK181:CK188" si="1499">(BO180*pInt_LTFU_Int_Dead_2004_2012)</f>
        <v>0</v>
      </c>
      <c r="CL181" s="73">
        <f t="shared" ref="CL181:CL188" si="1500">(BP180*pInt_LTFU_Int_Dead_2004_2012)</f>
        <v>0</v>
      </c>
      <c r="CM181" s="73">
        <f t="shared" ref="CM181:CM182" si="1501">pAIDS_NoCare_AIDS_Dead_2004_2006*BC180</f>
        <v>0</v>
      </c>
      <c r="CN181" s="73">
        <f t="shared" ref="CN181:CN188" si="1502">pAIDS_InCare_AIDS_Dead_2004_2012*BD180</f>
        <v>0</v>
      </c>
      <c r="CO181" s="73">
        <f t="shared" ref="CO181:CO188" si="1503">pAIDS_ART1ear_AIDS_Dead_2004_2012*BE180</f>
        <v>0</v>
      </c>
      <c r="CP181" s="73">
        <f t="shared" ref="CP181:CP188" si="1504">pAIDS_ART1late_AIDS_Dead_2004_2012*BF180</f>
        <v>0</v>
      </c>
      <c r="CQ181" s="73">
        <f t="shared" ref="CQ181:CQ188" si="1505">pAIDS_ART2_AIDS_Dead_2004_2012*BG180</f>
        <v>0</v>
      </c>
      <c r="CR181" s="73">
        <f t="shared" ref="CR181:CR188" si="1506">(BQ180*pAIDS_LTFU_AIDS_Dead_2004_2012)</f>
        <v>0</v>
      </c>
      <c r="CS181" s="73">
        <f t="shared" ref="CS181:CS188" si="1507">(BR180*pAIDS_LTFU_AIDS_Dead_2004_2012)</f>
        <v>0</v>
      </c>
      <c r="CT181" s="73">
        <f t="shared" ref="CT181:CT188" si="1508">(BS180*pAIDS_LTFU_AIDS_Dead_2004_2012)</f>
        <v>0</v>
      </c>
      <c r="CU181" s="73">
        <f t="shared" ref="CU181:CU188" si="1509">(BT180*pAIDS_LTFU_AIDS_Dead_2004_2012)</f>
        <v>0</v>
      </c>
      <c r="CV181" s="73">
        <f t="shared" ref="CV181:CV188" si="1510">(BU180*pAIDS_LTFU_AIDS_Dead_2004_2012)</f>
        <v>0</v>
      </c>
      <c r="CW181" s="73">
        <f t="shared" ref="CW181:CW188" si="1511">(BV180*pAIDS_LTFU_AIDS_Dead_2004_2012)</f>
        <v>0</v>
      </c>
      <c r="CX181" s="73">
        <f t="shared" ref="CX181:CX188" si="1512">(BW180*pAIDS_LTFU_AIDS_Dead_2004_2012)</f>
        <v>0</v>
      </c>
      <c r="CY181" s="73">
        <f t="shared" ref="CY181:CY188" si="1513">(BX180*pAIDS_LTFU_AIDS_Dead_2004_2012)</f>
        <v>0</v>
      </c>
      <c r="CZ181" s="190"/>
      <c r="DA181" s="67">
        <v>2005</v>
      </c>
      <c r="DB181" s="218">
        <f t="shared" si="1481"/>
        <v>0</v>
      </c>
      <c r="DC181" s="218">
        <f t="shared" si="1482"/>
        <v>0</v>
      </c>
      <c r="DD181" s="73">
        <f t="shared" si="1483"/>
        <v>0</v>
      </c>
      <c r="DE181" s="73">
        <f t="shared" si="1484"/>
        <v>0</v>
      </c>
      <c r="DF181" s="73">
        <f t="shared" si="1485"/>
        <v>0</v>
      </c>
      <c r="DG181" s="73">
        <f t="shared" si="1486"/>
        <v>0</v>
      </c>
      <c r="DH181" s="72" t="e">
        <f t="shared" ref="DH181:DH199" si="1514">DD181/(DD181+DG181)</f>
        <v>#DIV/0!</v>
      </c>
      <c r="DI181" s="72" t="e">
        <f t="shared" ref="DI181:DI199" si="1515">DE181/(DE181+DF181)</f>
        <v>#DIV/0!</v>
      </c>
      <c r="DJ181" s="73">
        <f>SUM(AV180:AV181,BB180:BB181,BI180:BI181)</f>
        <v>0</v>
      </c>
      <c r="DK181" s="73">
        <v>0</v>
      </c>
      <c r="DL181" s="190"/>
    </row>
    <row r="182" spans="1:120" x14ac:dyDescent="0.25">
      <c r="A182" s="190"/>
      <c r="B182" s="188">
        <v>2012</v>
      </c>
      <c r="C182" s="61" t="s">
        <v>318</v>
      </c>
      <c r="D182" s="169">
        <v>0</v>
      </c>
      <c r="E182" s="169">
        <v>0</v>
      </c>
      <c r="F182" s="172">
        <f>pAsympt_LTFU_2004_2012</f>
        <v>0.66061495558694538</v>
      </c>
      <c r="G182" s="170">
        <f>pAsympt_LTFU_Asympt_Dead_2004_2012</f>
        <v>1.818504441305463E-2</v>
      </c>
      <c r="H182" s="169">
        <v>0</v>
      </c>
      <c r="I182" s="169">
        <v>0</v>
      </c>
      <c r="J182" s="171">
        <f>pAsympt_LTFU_Int_ART1_2004_2012</f>
        <v>0.1212</v>
      </c>
      <c r="K182" s="169">
        <v>0</v>
      </c>
      <c r="L182" s="170">
        <f>pAsympt_LTFU_Int_LTFU_2004_2012</f>
        <v>0.2</v>
      </c>
      <c r="M182" s="169">
        <v>0</v>
      </c>
      <c r="N182" s="169">
        <v>0</v>
      </c>
      <c r="O182" s="169">
        <v>0</v>
      </c>
      <c r="P182" s="169">
        <v>0</v>
      </c>
      <c r="Q182" s="169">
        <v>0</v>
      </c>
      <c r="R182" s="169">
        <v>0</v>
      </c>
      <c r="S182" s="169">
        <v>0</v>
      </c>
      <c r="T182" s="169">
        <v>0</v>
      </c>
      <c r="U182" s="61">
        <f t="shared" si="1487"/>
        <v>1</v>
      </c>
      <c r="V182" s="190"/>
      <c r="W182" s="66">
        <v>2</v>
      </c>
      <c r="X182" s="66">
        <v>2006</v>
      </c>
      <c r="Y182" s="69">
        <v>0</v>
      </c>
      <c r="Z182" s="69">
        <v>0</v>
      </c>
      <c r="AA182" s="69">
        <v>0</v>
      </c>
      <c r="AB182" s="69">
        <v>0</v>
      </c>
      <c r="AC182" s="69">
        <v>0</v>
      </c>
      <c r="AD182" s="69">
        <v>0</v>
      </c>
      <c r="AE182" s="69">
        <v>0</v>
      </c>
      <c r="AF182" s="69">
        <v>0</v>
      </c>
      <c r="AG182" s="69">
        <v>0</v>
      </c>
      <c r="AH182" s="69">
        <v>0</v>
      </c>
      <c r="AI182" s="69">
        <v>0</v>
      </c>
      <c r="AJ182" s="69">
        <v>0</v>
      </c>
      <c r="AK182" s="69">
        <v>0</v>
      </c>
      <c r="AL182" s="69">
        <v>0</v>
      </c>
      <c r="AM182" s="69">
        <v>0</v>
      </c>
      <c r="AN182" s="69">
        <v>0</v>
      </c>
      <c r="AO182" s="69">
        <v>0</v>
      </c>
      <c r="AP182" s="190"/>
      <c r="AQ182" s="66">
        <v>2</v>
      </c>
      <c r="AR182" s="66">
        <v>2006</v>
      </c>
      <c r="AS182" s="215">
        <f t="shared" si="1464"/>
        <v>0</v>
      </c>
      <c r="AT182" s="215">
        <f t="shared" si="1465"/>
        <v>0</v>
      </c>
      <c r="AU182" s="215">
        <f t="shared" si="1466"/>
        <v>0</v>
      </c>
      <c r="AV182" s="215">
        <f t="shared" si="1467"/>
        <v>0</v>
      </c>
      <c r="AW182" s="215">
        <f t="shared" si="1468"/>
        <v>0</v>
      </c>
      <c r="AX182" s="215">
        <f t="shared" si="1469"/>
        <v>0</v>
      </c>
      <c r="AY182" s="215">
        <f t="shared" si="1470"/>
        <v>0</v>
      </c>
      <c r="AZ182" s="215">
        <f t="shared" si="1471"/>
        <v>0</v>
      </c>
      <c r="BA182" s="215">
        <f t="shared" si="1472"/>
        <v>0</v>
      </c>
      <c r="BB182" s="215">
        <f t="shared" si="1473"/>
        <v>0</v>
      </c>
      <c r="BC182" s="215">
        <f t="shared" si="1474"/>
        <v>0</v>
      </c>
      <c r="BD182" s="215">
        <f t="shared" si="1475"/>
        <v>0</v>
      </c>
      <c r="BE182" s="215">
        <f t="shared" si="1476"/>
        <v>0</v>
      </c>
      <c r="BF182" s="215">
        <f t="shared" si="1477"/>
        <v>0</v>
      </c>
      <c r="BG182" s="215">
        <f t="shared" si="1478"/>
        <v>0</v>
      </c>
      <c r="BH182" s="215">
        <f t="shared" si="1479"/>
        <v>0</v>
      </c>
      <c r="BI182" s="215">
        <f t="shared" si="1480"/>
        <v>0</v>
      </c>
      <c r="BJ182" s="194"/>
      <c r="BK182" s="66">
        <v>2</v>
      </c>
      <c r="BL182" s="66">
        <v>2006</v>
      </c>
      <c r="BM182" s="215">
        <f t="shared" si="1488"/>
        <v>0</v>
      </c>
      <c r="BN182" s="219">
        <f t="shared" si="1489"/>
        <v>0</v>
      </c>
      <c r="BO182" s="219">
        <f t="shared" si="1490"/>
        <v>0</v>
      </c>
      <c r="BP182" s="219">
        <f t="shared" ref="BP182:BP188" si="1516">(AZ181*pInt_ART2_Int_LTFU_2004_2012)+(BP181*pInt_LTFU_2004_2012)</f>
        <v>0</v>
      </c>
      <c r="BQ182" s="219">
        <f t="shared" si="1491"/>
        <v>0</v>
      </c>
      <c r="BR182" s="220">
        <f t="shared" ref="BR182:BR188" si="1517">(BN181*pInt_LTFU_AIDS_LTFU_2004_2012)+(BR181*pAIDS_LTFU_2004_2012)</f>
        <v>0</v>
      </c>
      <c r="BS182" s="219">
        <f t="shared" ref="BS182:BS188" si="1518">(BM181*pInt_LTFU_AIDS_LTFU_2004_2012)+(BS181*pAIDS_LTFU_2004_2012)</f>
        <v>0</v>
      </c>
      <c r="BT182" s="219">
        <f t="shared" ref="BT182:BT188" si="1519">(BE181*pAIDS_ART1ear_AIDS_LTFU_2004_2012)+(BT181*pAIDS_LTFU_2004_2012)</f>
        <v>0</v>
      </c>
      <c r="BU182" s="219">
        <f t="shared" ref="BU182:BU188" si="1520">(BF181*pAIDS_ART1late_AIDS_LTFU_2004_2012)+(BU181*pAIDS_LTFU_2004_2012)</f>
        <v>0</v>
      </c>
      <c r="BV182" s="219">
        <f t="shared" ref="BV182:BV188" si="1521">(BO181*pInt_LTFU_AIDS_LTFU_2004_2012)+(BV181*pAIDS_LTFU_2004_2012)</f>
        <v>0</v>
      </c>
      <c r="BW182" s="219">
        <f t="shared" ref="BW182:BW188" si="1522">(BG181*pAIDS_ART2_AIDS_LTFU_2004_2012)+(BW181*pAIDS_LTFU_2004_2012)</f>
        <v>0</v>
      </c>
      <c r="BX182" s="220">
        <f t="shared" ref="BX182:BX188" si="1523">(BP181*pInt_LTFU_AIDS_LTFU_2004_2012)+(BX181*pAIDS_LTFU_2004_2012)</f>
        <v>0</v>
      </c>
      <c r="BY182" s="195"/>
      <c r="BZ182" s="192">
        <v>2</v>
      </c>
      <c r="CA182" s="66">
        <v>2006</v>
      </c>
      <c r="CB182" s="218">
        <f>pAsympt_NoCare_Asympt_Dead_2004_2006*AS181</f>
        <v>0</v>
      </c>
      <c r="CC182" s="218">
        <f t="shared" si="1492"/>
        <v>0</v>
      </c>
      <c r="CD182" s="73">
        <f t="shared" si="1493"/>
        <v>0</v>
      </c>
      <c r="CE182" s="73">
        <f>pInt_NoCare_Int_Dead_2004_2006*AW181</f>
        <v>0</v>
      </c>
      <c r="CF182" s="73">
        <f t="shared" si="1494"/>
        <v>0</v>
      </c>
      <c r="CG182" s="73">
        <f t="shared" si="1495"/>
        <v>0</v>
      </c>
      <c r="CH182" s="73">
        <f t="shared" si="1496"/>
        <v>0</v>
      </c>
      <c r="CI182" s="73">
        <f t="shared" si="1497"/>
        <v>0</v>
      </c>
      <c r="CJ182" s="73">
        <f t="shared" si="1498"/>
        <v>0</v>
      </c>
      <c r="CK182" s="73">
        <f t="shared" si="1499"/>
        <v>0</v>
      </c>
      <c r="CL182" s="73">
        <f t="shared" si="1500"/>
        <v>0</v>
      </c>
      <c r="CM182" s="73">
        <f t="shared" si="1501"/>
        <v>0</v>
      </c>
      <c r="CN182" s="73">
        <f t="shared" si="1502"/>
        <v>0</v>
      </c>
      <c r="CO182" s="73">
        <f t="shared" si="1503"/>
        <v>0</v>
      </c>
      <c r="CP182" s="73">
        <f t="shared" si="1504"/>
        <v>0</v>
      </c>
      <c r="CQ182" s="73">
        <f t="shared" si="1505"/>
        <v>0</v>
      </c>
      <c r="CR182" s="73">
        <f t="shared" si="1506"/>
        <v>0</v>
      </c>
      <c r="CS182" s="73">
        <f t="shared" si="1507"/>
        <v>0</v>
      </c>
      <c r="CT182" s="73">
        <f t="shared" si="1508"/>
        <v>0</v>
      </c>
      <c r="CU182" s="73">
        <f t="shared" si="1509"/>
        <v>0</v>
      </c>
      <c r="CV182" s="73">
        <f t="shared" si="1510"/>
        <v>0</v>
      </c>
      <c r="CW182" s="73">
        <f t="shared" si="1511"/>
        <v>0</v>
      </c>
      <c r="CX182" s="73">
        <f t="shared" si="1512"/>
        <v>0</v>
      </c>
      <c r="CY182" s="73">
        <f t="shared" si="1513"/>
        <v>0</v>
      </c>
      <c r="CZ182" s="190"/>
      <c r="DA182" s="66">
        <v>2006</v>
      </c>
      <c r="DB182" s="218">
        <f t="shared" si="1481"/>
        <v>0</v>
      </c>
      <c r="DC182" s="218">
        <f t="shared" si="1482"/>
        <v>0</v>
      </c>
      <c r="DD182" s="73">
        <f t="shared" si="1483"/>
        <v>0</v>
      </c>
      <c r="DE182" s="73">
        <f t="shared" si="1484"/>
        <v>0</v>
      </c>
      <c r="DF182" s="73">
        <f t="shared" si="1485"/>
        <v>0</v>
      </c>
      <c r="DG182" s="73">
        <f t="shared" si="1486"/>
        <v>0</v>
      </c>
      <c r="DH182" s="72" t="e">
        <f t="shared" si="1514"/>
        <v>#DIV/0!</v>
      </c>
      <c r="DI182" s="72" t="e">
        <f t="shared" si="1515"/>
        <v>#DIV/0!</v>
      </c>
      <c r="DJ182" s="73">
        <f>SUM(AV180:AV182,BB180:BB182,BI180:BI182)</f>
        <v>0</v>
      </c>
      <c r="DK182" s="73">
        <v>0</v>
      </c>
      <c r="DL182" s="190"/>
    </row>
    <row r="183" spans="1:120" x14ac:dyDescent="0.25">
      <c r="A183" s="190"/>
      <c r="B183" s="188">
        <v>2012</v>
      </c>
      <c r="C183" s="61" t="s">
        <v>317</v>
      </c>
      <c r="D183" s="169">
        <v>0</v>
      </c>
      <c r="E183" s="169">
        <v>0</v>
      </c>
      <c r="F183" s="169">
        <v>0</v>
      </c>
      <c r="G183" s="169">
        <v>0</v>
      </c>
      <c r="H183" s="169">
        <v>0</v>
      </c>
      <c r="I183" s="169">
        <v>0</v>
      </c>
      <c r="J183" s="169">
        <v>0</v>
      </c>
      <c r="K183" s="169">
        <v>0</v>
      </c>
      <c r="L183" s="169">
        <v>0</v>
      </c>
      <c r="M183" s="169">
        <v>0</v>
      </c>
      <c r="N183" s="169">
        <v>0</v>
      </c>
      <c r="O183" s="169">
        <v>0</v>
      </c>
      <c r="P183" s="169">
        <v>0</v>
      </c>
      <c r="Q183" s="169">
        <v>0</v>
      </c>
      <c r="R183" s="169">
        <v>0</v>
      </c>
      <c r="S183" s="169">
        <v>0</v>
      </c>
      <c r="T183" s="169">
        <v>0</v>
      </c>
      <c r="U183" s="61">
        <f t="shared" si="1487"/>
        <v>0</v>
      </c>
      <c r="V183" s="190"/>
      <c r="W183" s="66">
        <v>3</v>
      </c>
      <c r="X183" s="66">
        <v>2007</v>
      </c>
      <c r="Y183" s="69">
        <v>0</v>
      </c>
      <c r="Z183" s="69">
        <v>0</v>
      </c>
      <c r="AA183" s="69">
        <v>0</v>
      </c>
      <c r="AB183" s="69">
        <v>0</v>
      </c>
      <c r="AC183" s="69">
        <v>0</v>
      </c>
      <c r="AD183" s="69">
        <v>0</v>
      </c>
      <c r="AE183" s="69">
        <v>0</v>
      </c>
      <c r="AF183" s="69">
        <v>0</v>
      </c>
      <c r="AG183" s="69">
        <v>0</v>
      </c>
      <c r="AH183" s="69">
        <v>0</v>
      </c>
      <c r="AI183" s="69">
        <v>0</v>
      </c>
      <c r="AJ183" s="69">
        <v>0</v>
      </c>
      <c r="AK183" s="69">
        <v>0</v>
      </c>
      <c r="AL183" s="69">
        <v>0</v>
      </c>
      <c r="AM183" s="69">
        <v>0</v>
      </c>
      <c r="AN183" s="69">
        <v>0</v>
      </c>
      <c r="AO183" s="69">
        <v>0</v>
      </c>
      <c r="AP183" s="190"/>
      <c r="AQ183" s="66">
        <v>3</v>
      </c>
      <c r="AR183" s="66">
        <v>2007</v>
      </c>
      <c r="AS183" s="215">
        <f t="shared" si="1464"/>
        <v>0</v>
      </c>
      <c r="AT183" s="215">
        <f t="shared" si="1465"/>
        <v>0</v>
      </c>
      <c r="AU183" s="215">
        <f t="shared" si="1466"/>
        <v>0</v>
      </c>
      <c r="AV183" s="215">
        <f t="shared" si="1467"/>
        <v>0</v>
      </c>
      <c r="AW183" s="215">
        <f t="shared" si="1468"/>
        <v>0</v>
      </c>
      <c r="AX183" s="215">
        <f t="shared" si="1469"/>
        <v>0</v>
      </c>
      <c r="AY183" s="215">
        <f t="shared" si="1470"/>
        <v>0</v>
      </c>
      <c r="AZ183" s="215">
        <f t="shared" si="1471"/>
        <v>0</v>
      </c>
      <c r="BA183" s="215">
        <f t="shared" si="1472"/>
        <v>0</v>
      </c>
      <c r="BB183" s="215">
        <f t="shared" si="1473"/>
        <v>0</v>
      </c>
      <c r="BC183" s="215">
        <f t="shared" si="1474"/>
        <v>0</v>
      </c>
      <c r="BD183" s="215">
        <f t="shared" si="1475"/>
        <v>0</v>
      </c>
      <c r="BE183" s="215">
        <f t="shared" si="1476"/>
        <v>0</v>
      </c>
      <c r="BF183" s="215">
        <f t="shared" si="1477"/>
        <v>0</v>
      </c>
      <c r="BG183" s="215">
        <f t="shared" si="1478"/>
        <v>0</v>
      </c>
      <c r="BH183" s="215">
        <f t="shared" si="1479"/>
        <v>0</v>
      </c>
      <c r="BI183" s="215">
        <f t="shared" si="1480"/>
        <v>0</v>
      </c>
      <c r="BJ183" s="194"/>
      <c r="BK183" s="66">
        <v>3</v>
      </c>
      <c r="BL183" s="66">
        <v>2007</v>
      </c>
      <c r="BM183" s="215">
        <f t="shared" si="1488"/>
        <v>0</v>
      </c>
      <c r="BN183" s="219">
        <f t="shared" si="1489"/>
        <v>0</v>
      </c>
      <c r="BO183" s="219">
        <f t="shared" si="1490"/>
        <v>0</v>
      </c>
      <c r="BP183" s="219">
        <f t="shared" si="1516"/>
        <v>0</v>
      </c>
      <c r="BQ183" s="219">
        <f t="shared" si="1491"/>
        <v>0</v>
      </c>
      <c r="BR183" s="220">
        <f t="shared" si="1517"/>
        <v>0</v>
      </c>
      <c r="BS183" s="219">
        <f t="shared" si="1518"/>
        <v>0</v>
      </c>
      <c r="BT183" s="219">
        <f t="shared" si="1519"/>
        <v>0</v>
      </c>
      <c r="BU183" s="219">
        <f t="shared" si="1520"/>
        <v>0</v>
      </c>
      <c r="BV183" s="219">
        <f t="shared" si="1521"/>
        <v>0</v>
      </c>
      <c r="BW183" s="219">
        <f t="shared" si="1522"/>
        <v>0</v>
      </c>
      <c r="BX183" s="220">
        <f t="shared" si="1523"/>
        <v>0</v>
      </c>
      <c r="BY183" s="195"/>
      <c r="BZ183" s="192">
        <v>3</v>
      </c>
      <c r="CA183" s="66">
        <v>2007</v>
      </c>
      <c r="CB183" s="218">
        <f>pAsympt_NoCare_Asympt_Dead_2007_2009*AS182</f>
        <v>0</v>
      </c>
      <c r="CC183" s="218">
        <f t="shared" si="1492"/>
        <v>0</v>
      </c>
      <c r="CD183" s="73">
        <f t="shared" si="1493"/>
        <v>0</v>
      </c>
      <c r="CE183" s="73">
        <f>pInt_NoCare_Int_Dead_2007_2009*AW182</f>
        <v>0</v>
      </c>
      <c r="CF183" s="73">
        <f t="shared" si="1494"/>
        <v>0</v>
      </c>
      <c r="CG183" s="73">
        <f t="shared" si="1495"/>
        <v>0</v>
      </c>
      <c r="CH183" s="73">
        <f t="shared" si="1496"/>
        <v>0</v>
      </c>
      <c r="CI183" s="73">
        <f t="shared" si="1497"/>
        <v>0</v>
      </c>
      <c r="CJ183" s="73">
        <f t="shared" si="1498"/>
        <v>0</v>
      </c>
      <c r="CK183" s="73">
        <f t="shared" si="1499"/>
        <v>0</v>
      </c>
      <c r="CL183" s="73">
        <f t="shared" si="1500"/>
        <v>0</v>
      </c>
      <c r="CM183" s="73">
        <f>pAIDS_NoCare_AIDS_Dead_2007_2009*BC182</f>
        <v>0</v>
      </c>
      <c r="CN183" s="73">
        <f t="shared" si="1502"/>
        <v>0</v>
      </c>
      <c r="CO183" s="73">
        <f t="shared" si="1503"/>
        <v>0</v>
      </c>
      <c r="CP183" s="73">
        <f t="shared" si="1504"/>
        <v>0</v>
      </c>
      <c r="CQ183" s="73">
        <f t="shared" si="1505"/>
        <v>0</v>
      </c>
      <c r="CR183" s="73">
        <f t="shared" si="1506"/>
        <v>0</v>
      </c>
      <c r="CS183" s="73">
        <f t="shared" si="1507"/>
        <v>0</v>
      </c>
      <c r="CT183" s="73">
        <f t="shared" si="1508"/>
        <v>0</v>
      </c>
      <c r="CU183" s="73">
        <f t="shared" si="1509"/>
        <v>0</v>
      </c>
      <c r="CV183" s="73">
        <f t="shared" si="1510"/>
        <v>0</v>
      </c>
      <c r="CW183" s="73">
        <f t="shared" si="1511"/>
        <v>0</v>
      </c>
      <c r="CX183" s="73">
        <f t="shared" si="1512"/>
        <v>0</v>
      </c>
      <c r="CY183" s="73">
        <f t="shared" si="1513"/>
        <v>0</v>
      </c>
      <c r="CZ183" s="190"/>
      <c r="DA183" s="66">
        <v>2007</v>
      </c>
      <c r="DB183" s="218">
        <f t="shared" si="1481"/>
        <v>0</v>
      </c>
      <c r="DC183" s="218">
        <f t="shared" si="1482"/>
        <v>0</v>
      </c>
      <c r="DD183" s="73">
        <f t="shared" si="1483"/>
        <v>0</v>
      </c>
      <c r="DE183" s="73">
        <f t="shared" si="1484"/>
        <v>0</v>
      </c>
      <c r="DF183" s="73">
        <f t="shared" si="1485"/>
        <v>0</v>
      </c>
      <c r="DG183" s="73">
        <f t="shared" si="1486"/>
        <v>0</v>
      </c>
      <c r="DH183" s="72" t="e">
        <f t="shared" si="1514"/>
        <v>#DIV/0!</v>
      </c>
      <c r="DI183" s="72" t="e">
        <f t="shared" si="1515"/>
        <v>#DIV/0!</v>
      </c>
      <c r="DJ183" s="73">
        <f>SUM(AV180:AV183,BB180:BB183,BI180:BI183)</f>
        <v>0</v>
      </c>
      <c r="DK183" s="218">
        <v>0</v>
      </c>
      <c r="DL183" s="190"/>
    </row>
    <row r="184" spans="1:120" x14ac:dyDescent="0.25">
      <c r="A184" s="190"/>
      <c r="B184" s="188">
        <v>2012</v>
      </c>
      <c r="C184" s="61" t="s">
        <v>321</v>
      </c>
      <c r="D184" s="169">
        <v>0</v>
      </c>
      <c r="E184" s="169">
        <v>0</v>
      </c>
      <c r="F184" s="169">
        <v>0</v>
      </c>
      <c r="G184" s="169">
        <v>0</v>
      </c>
      <c r="H184" s="172">
        <f>pInt_NoCare_2010_2012</f>
        <v>0.47470496953425423</v>
      </c>
      <c r="I184" s="172">
        <f>pInt_NoCare_Int_InCare_2010_2012</f>
        <v>9.8703246552192314E-2</v>
      </c>
      <c r="J184" s="170">
        <f>pInt_NoCare_Int_ART1_2010_2012</f>
        <v>0</v>
      </c>
      <c r="K184" s="169">
        <v>0</v>
      </c>
      <c r="L184" s="169">
        <v>0</v>
      </c>
      <c r="M184" s="170">
        <f>pInt_NoCare_Int_Dead_2010_2012</f>
        <v>2.7888537361361161E-2</v>
      </c>
      <c r="N184" s="170">
        <f>pInt_NoCare_AIDS_NoCare_2010_2012</f>
        <v>0.3</v>
      </c>
      <c r="O184" s="172">
        <f>pInt_NoCare_AIDS_InCare_2010_2012</f>
        <v>9.8703246552192314E-2</v>
      </c>
      <c r="P184" s="171">
        <f>pInt_NoCare_AIDS_ART1ear_2010_2012</f>
        <v>0</v>
      </c>
      <c r="Q184" s="169">
        <v>0</v>
      </c>
      <c r="R184" s="169">
        <v>0</v>
      </c>
      <c r="S184" s="169">
        <v>0</v>
      </c>
      <c r="T184" s="169">
        <v>0</v>
      </c>
      <c r="U184" s="61">
        <f t="shared" si="1487"/>
        <v>1</v>
      </c>
      <c r="V184" s="190"/>
      <c r="W184" s="66">
        <v>4</v>
      </c>
      <c r="X184" s="66">
        <v>2008</v>
      </c>
      <c r="Y184" s="69">
        <v>0</v>
      </c>
      <c r="Z184" s="69">
        <v>0</v>
      </c>
      <c r="AA184" s="69">
        <v>0</v>
      </c>
      <c r="AB184" s="69">
        <v>0</v>
      </c>
      <c r="AC184" s="69">
        <v>0</v>
      </c>
      <c r="AD184" s="69">
        <v>0</v>
      </c>
      <c r="AE184" s="69">
        <v>0</v>
      </c>
      <c r="AF184" s="69">
        <v>0</v>
      </c>
      <c r="AG184" s="69">
        <v>0</v>
      </c>
      <c r="AH184" s="69">
        <v>0</v>
      </c>
      <c r="AI184" s="69">
        <v>0</v>
      </c>
      <c r="AJ184" s="69">
        <v>0</v>
      </c>
      <c r="AK184" s="69">
        <v>0</v>
      </c>
      <c r="AL184" s="69">
        <v>0</v>
      </c>
      <c r="AM184" s="69">
        <v>0</v>
      </c>
      <c r="AN184" s="69">
        <v>0</v>
      </c>
      <c r="AO184" s="69">
        <v>0</v>
      </c>
      <c r="AP184" s="190"/>
      <c r="AQ184" s="66">
        <v>4</v>
      </c>
      <c r="AR184" s="66">
        <v>2008</v>
      </c>
      <c r="AS184" s="215">
        <f t="shared" si="1464"/>
        <v>0</v>
      </c>
      <c r="AT184" s="215">
        <f t="shared" si="1465"/>
        <v>0</v>
      </c>
      <c r="AU184" s="215">
        <f t="shared" si="1466"/>
        <v>0</v>
      </c>
      <c r="AV184" s="215">
        <f t="shared" si="1467"/>
        <v>0</v>
      </c>
      <c r="AW184" s="215">
        <f t="shared" si="1468"/>
        <v>0</v>
      </c>
      <c r="AX184" s="215">
        <f t="shared" si="1469"/>
        <v>0</v>
      </c>
      <c r="AY184" s="215">
        <f t="shared" si="1470"/>
        <v>0</v>
      </c>
      <c r="AZ184" s="215">
        <f t="shared" si="1471"/>
        <v>0</v>
      </c>
      <c r="BA184" s="215">
        <f t="shared" si="1472"/>
        <v>0</v>
      </c>
      <c r="BB184" s="215">
        <f t="shared" si="1473"/>
        <v>0</v>
      </c>
      <c r="BC184" s="215">
        <f t="shared" si="1474"/>
        <v>0</v>
      </c>
      <c r="BD184" s="215">
        <f t="shared" si="1475"/>
        <v>0</v>
      </c>
      <c r="BE184" s="215">
        <f t="shared" si="1476"/>
        <v>0</v>
      </c>
      <c r="BF184" s="215">
        <f t="shared" si="1477"/>
        <v>0</v>
      </c>
      <c r="BG184" s="215">
        <f t="shared" si="1478"/>
        <v>0</v>
      </c>
      <c r="BH184" s="215">
        <f t="shared" si="1479"/>
        <v>0</v>
      </c>
      <c r="BI184" s="215">
        <f t="shared" si="1480"/>
        <v>0</v>
      </c>
      <c r="BJ184" s="194"/>
      <c r="BK184" s="66">
        <v>4</v>
      </c>
      <c r="BL184" s="66">
        <v>2008</v>
      </c>
      <c r="BM184" s="215">
        <f t="shared" si="1488"/>
        <v>0</v>
      </c>
      <c r="BN184" s="219">
        <f t="shared" si="1489"/>
        <v>0</v>
      </c>
      <c r="BO184" s="219">
        <f t="shared" si="1490"/>
        <v>0</v>
      </c>
      <c r="BP184" s="219">
        <f t="shared" si="1516"/>
        <v>0</v>
      </c>
      <c r="BQ184" s="219">
        <f t="shared" si="1491"/>
        <v>0</v>
      </c>
      <c r="BR184" s="220">
        <f t="shared" si="1517"/>
        <v>0</v>
      </c>
      <c r="BS184" s="219">
        <f t="shared" si="1518"/>
        <v>0</v>
      </c>
      <c r="BT184" s="219">
        <f t="shared" si="1519"/>
        <v>0</v>
      </c>
      <c r="BU184" s="219">
        <f t="shared" si="1520"/>
        <v>0</v>
      </c>
      <c r="BV184" s="219">
        <f t="shared" si="1521"/>
        <v>0</v>
      </c>
      <c r="BW184" s="219">
        <f t="shared" si="1522"/>
        <v>0</v>
      </c>
      <c r="BX184" s="220">
        <f t="shared" si="1523"/>
        <v>0</v>
      </c>
      <c r="BY184" s="195"/>
      <c r="BZ184" s="192">
        <v>4</v>
      </c>
      <c r="CA184" s="66">
        <v>2008</v>
      </c>
      <c r="CB184" s="218">
        <f>pAsympt_NoCare_Asympt_Dead_2007_2009*AS183</f>
        <v>0</v>
      </c>
      <c r="CC184" s="218">
        <f t="shared" si="1492"/>
        <v>0</v>
      </c>
      <c r="CD184" s="73">
        <f t="shared" si="1493"/>
        <v>0</v>
      </c>
      <c r="CE184" s="73">
        <f>pInt_NoCare_Int_Dead_2007_2009*AW183</f>
        <v>0</v>
      </c>
      <c r="CF184" s="73">
        <f t="shared" si="1494"/>
        <v>0</v>
      </c>
      <c r="CG184" s="73">
        <f t="shared" si="1495"/>
        <v>0</v>
      </c>
      <c r="CH184" s="73">
        <f t="shared" si="1496"/>
        <v>0</v>
      </c>
      <c r="CI184" s="73">
        <f t="shared" si="1497"/>
        <v>0</v>
      </c>
      <c r="CJ184" s="73">
        <f t="shared" si="1498"/>
        <v>0</v>
      </c>
      <c r="CK184" s="73">
        <f t="shared" si="1499"/>
        <v>0</v>
      </c>
      <c r="CL184" s="73">
        <f t="shared" si="1500"/>
        <v>0</v>
      </c>
      <c r="CM184" s="73">
        <f>pAIDS_NoCare_AIDS_Dead_2007_2009*BC183</f>
        <v>0</v>
      </c>
      <c r="CN184" s="73">
        <f t="shared" si="1502"/>
        <v>0</v>
      </c>
      <c r="CO184" s="73">
        <f t="shared" si="1503"/>
        <v>0</v>
      </c>
      <c r="CP184" s="73">
        <f t="shared" si="1504"/>
        <v>0</v>
      </c>
      <c r="CQ184" s="73">
        <f t="shared" si="1505"/>
        <v>0</v>
      </c>
      <c r="CR184" s="73">
        <f t="shared" si="1506"/>
        <v>0</v>
      </c>
      <c r="CS184" s="73">
        <f t="shared" si="1507"/>
        <v>0</v>
      </c>
      <c r="CT184" s="73">
        <f t="shared" si="1508"/>
        <v>0</v>
      </c>
      <c r="CU184" s="73">
        <f t="shared" si="1509"/>
        <v>0</v>
      </c>
      <c r="CV184" s="73">
        <f t="shared" si="1510"/>
        <v>0</v>
      </c>
      <c r="CW184" s="73">
        <f t="shared" si="1511"/>
        <v>0</v>
      </c>
      <c r="CX184" s="73">
        <f t="shared" si="1512"/>
        <v>0</v>
      </c>
      <c r="CY184" s="73">
        <f t="shared" si="1513"/>
        <v>0</v>
      </c>
      <c r="CZ184" s="190"/>
      <c r="DA184" s="66">
        <v>2008</v>
      </c>
      <c r="DB184" s="218">
        <f t="shared" si="1481"/>
        <v>0</v>
      </c>
      <c r="DC184" s="218">
        <f t="shared" si="1482"/>
        <v>0</v>
      </c>
      <c r="DD184" s="73">
        <f t="shared" si="1483"/>
        <v>0</v>
      </c>
      <c r="DE184" s="73">
        <f t="shared" si="1484"/>
        <v>0</v>
      </c>
      <c r="DF184" s="73">
        <f t="shared" si="1485"/>
        <v>0</v>
      </c>
      <c r="DG184" s="73">
        <f t="shared" si="1486"/>
        <v>0</v>
      </c>
      <c r="DH184" s="72" t="e">
        <f t="shared" si="1514"/>
        <v>#DIV/0!</v>
      </c>
      <c r="DI184" s="72" t="e">
        <f t="shared" si="1515"/>
        <v>#DIV/0!</v>
      </c>
      <c r="DJ184" s="73">
        <f>SUM(AV180:AV184,BB180:BB184,BI180:BI184)</f>
        <v>0</v>
      </c>
      <c r="DK184" s="218">
        <v>0</v>
      </c>
      <c r="DL184" s="190"/>
    </row>
    <row r="185" spans="1:120" x14ac:dyDescent="0.25">
      <c r="A185" s="190"/>
      <c r="B185" s="188">
        <v>2012</v>
      </c>
      <c r="C185" s="61" t="s">
        <v>322</v>
      </c>
      <c r="D185" s="169">
        <v>0</v>
      </c>
      <c r="E185" s="169">
        <v>0</v>
      </c>
      <c r="F185" s="169">
        <v>0</v>
      </c>
      <c r="G185" s="169">
        <v>0</v>
      </c>
      <c r="H185" s="169">
        <v>0</v>
      </c>
      <c r="I185" s="172">
        <f>pInt_InCare_2004_2012</f>
        <v>0.27388069643828394</v>
      </c>
      <c r="J185" s="172">
        <f>pInt_InCare_Int_ART1_2004_2012</f>
        <v>0.12845640705966965</v>
      </c>
      <c r="K185" s="169">
        <v>0</v>
      </c>
      <c r="L185" s="170">
        <f>pInt_InCare_Int_LTFU_2004_2012</f>
        <v>0.18249498008072801</v>
      </c>
      <c r="M185" s="170">
        <f>pInt_InCare_Int_Dead_2004_2012</f>
        <v>2.6167916421318438E-2</v>
      </c>
      <c r="N185" s="169">
        <v>0</v>
      </c>
      <c r="O185" s="170">
        <f>pInt_InCare_AIDS_InCare_2004_2012</f>
        <v>0.3</v>
      </c>
      <c r="P185" s="170">
        <f>pInt_InCare_AIDS_ART1ear_2004_2012</f>
        <v>8.8999999999999996E-2</v>
      </c>
      <c r="Q185" s="169">
        <v>0</v>
      </c>
      <c r="R185" s="169">
        <v>0</v>
      </c>
      <c r="S185" s="169">
        <v>0</v>
      </c>
      <c r="T185" s="169">
        <v>0</v>
      </c>
      <c r="U185" s="61">
        <f t="shared" si="1487"/>
        <v>1</v>
      </c>
      <c r="V185" s="190"/>
      <c r="W185" s="66">
        <v>5</v>
      </c>
      <c r="X185" s="66">
        <v>2009</v>
      </c>
      <c r="Y185" s="69">
        <v>0</v>
      </c>
      <c r="Z185" s="69">
        <v>0</v>
      </c>
      <c r="AA185" s="69">
        <v>0</v>
      </c>
      <c r="AB185" s="69">
        <v>0</v>
      </c>
      <c r="AC185" s="69">
        <v>0</v>
      </c>
      <c r="AD185" s="69">
        <v>0</v>
      </c>
      <c r="AE185" s="69">
        <v>0</v>
      </c>
      <c r="AF185" s="69">
        <v>0</v>
      </c>
      <c r="AG185" s="69">
        <v>0</v>
      </c>
      <c r="AH185" s="69">
        <v>0</v>
      </c>
      <c r="AI185" s="69">
        <v>0</v>
      </c>
      <c r="AJ185" s="69">
        <v>0</v>
      </c>
      <c r="AK185" s="69">
        <v>0</v>
      </c>
      <c r="AL185" s="69">
        <v>0</v>
      </c>
      <c r="AM185" s="69">
        <v>0</v>
      </c>
      <c r="AN185" s="69">
        <v>0</v>
      </c>
      <c r="AO185" s="69">
        <v>0</v>
      </c>
      <c r="AP185" s="190"/>
      <c r="AQ185" s="66">
        <v>5</v>
      </c>
      <c r="AR185" s="66">
        <v>2009</v>
      </c>
      <c r="AS185" s="215">
        <f t="shared" si="1464"/>
        <v>0</v>
      </c>
      <c r="AT185" s="215">
        <f t="shared" si="1465"/>
        <v>0</v>
      </c>
      <c r="AU185" s="215">
        <f t="shared" si="1466"/>
        <v>0</v>
      </c>
      <c r="AV185" s="215">
        <f t="shared" si="1467"/>
        <v>0</v>
      </c>
      <c r="AW185" s="215">
        <f t="shared" si="1468"/>
        <v>0</v>
      </c>
      <c r="AX185" s="215">
        <f t="shared" si="1469"/>
        <v>0</v>
      </c>
      <c r="AY185" s="215">
        <f t="shared" si="1470"/>
        <v>0</v>
      </c>
      <c r="AZ185" s="215">
        <f t="shared" si="1471"/>
        <v>0</v>
      </c>
      <c r="BA185" s="215">
        <f t="shared" si="1472"/>
        <v>0</v>
      </c>
      <c r="BB185" s="215">
        <f t="shared" si="1473"/>
        <v>0</v>
      </c>
      <c r="BC185" s="215">
        <f t="shared" si="1474"/>
        <v>0</v>
      </c>
      <c r="BD185" s="215">
        <f t="shared" si="1475"/>
        <v>0</v>
      </c>
      <c r="BE185" s="215">
        <f t="shared" si="1476"/>
        <v>0</v>
      </c>
      <c r="BF185" s="215">
        <f t="shared" si="1477"/>
        <v>0</v>
      </c>
      <c r="BG185" s="215">
        <f t="shared" si="1478"/>
        <v>0</v>
      </c>
      <c r="BH185" s="215">
        <f t="shared" si="1479"/>
        <v>0</v>
      </c>
      <c r="BI185" s="215">
        <f t="shared" si="1480"/>
        <v>0</v>
      </c>
      <c r="BJ185" s="194"/>
      <c r="BK185" s="66">
        <v>5</v>
      </c>
      <c r="BL185" s="66">
        <v>2009</v>
      </c>
      <c r="BM185" s="215">
        <f t="shared" si="1488"/>
        <v>0</v>
      </c>
      <c r="BN185" s="219">
        <f t="shared" si="1489"/>
        <v>0</v>
      </c>
      <c r="BO185" s="219">
        <f t="shared" si="1490"/>
        <v>0</v>
      </c>
      <c r="BP185" s="219">
        <f t="shared" si="1516"/>
        <v>0</v>
      </c>
      <c r="BQ185" s="219">
        <f t="shared" si="1491"/>
        <v>0</v>
      </c>
      <c r="BR185" s="220">
        <f t="shared" si="1517"/>
        <v>0</v>
      </c>
      <c r="BS185" s="219">
        <f t="shared" si="1518"/>
        <v>0</v>
      </c>
      <c r="BT185" s="219">
        <f t="shared" si="1519"/>
        <v>0</v>
      </c>
      <c r="BU185" s="219">
        <f t="shared" si="1520"/>
        <v>0</v>
      </c>
      <c r="BV185" s="219">
        <f t="shared" si="1521"/>
        <v>0</v>
      </c>
      <c r="BW185" s="219">
        <f t="shared" si="1522"/>
        <v>0</v>
      </c>
      <c r="BX185" s="220">
        <f t="shared" si="1523"/>
        <v>0</v>
      </c>
      <c r="BY185" s="195"/>
      <c r="BZ185" s="192">
        <v>5</v>
      </c>
      <c r="CA185" s="66">
        <v>2009</v>
      </c>
      <c r="CB185" s="218">
        <f>pAsympt_NoCare_Asympt_Dead_2007_2009*AS184</f>
        <v>0</v>
      </c>
      <c r="CC185" s="218">
        <f t="shared" si="1492"/>
        <v>0</v>
      </c>
      <c r="CD185" s="73">
        <f t="shared" si="1493"/>
        <v>0</v>
      </c>
      <c r="CE185" s="73">
        <f>pInt_NoCare_Int_Dead_2007_2009*AW184</f>
        <v>0</v>
      </c>
      <c r="CF185" s="73">
        <f t="shared" si="1494"/>
        <v>0</v>
      </c>
      <c r="CG185" s="73">
        <f t="shared" si="1495"/>
        <v>0</v>
      </c>
      <c r="CH185" s="73">
        <f t="shared" si="1496"/>
        <v>0</v>
      </c>
      <c r="CI185" s="73">
        <f t="shared" si="1497"/>
        <v>0</v>
      </c>
      <c r="CJ185" s="73">
        <f t="shared" si="1498"/>
        <v>0</v>
      </c>
      <c r="CK185" s="73">
        <f t="shared" si="1499"/>
        <v>0</v>
      </c>
      <c r="CL185" s="73">
        <f t="shared" si="1500"/>
        <v>0</v>
      </c>
      <c r="CM185" s="73">
        <f>pAIDS_NoCare_AIDS_Dead_2007_2009*BC184</f>
        <v>0</v>
      </c>
      <c r="CN185" s="73">
        <f t="shared" si="1502"/>
        <v>0</v>
      </c>
      <c r="CO185" s="73">
        <f t="shared" si="1503"/>
        <v>0</v>
      </c>
      <c r="CP185" s="73">
        <f t="shared" si="1504"/>
        <v>0</v>
      </c>
      <c r="CQ185" s="73">
        <f t="shared" si="1505"/>
        <v>0</v>
      </c>
      <c r="CR185" s="73">
        <f t="shared" si="1506"/>
        <v>0</v>
      </c>
      <c r="CS185" s="73">
        <f t="shared" si="1507"/>
        <v>0</v>
      </c>
      <c r="CT185" s="73">
        <f t="shared" si="1508"/>
        <v>0</v>
      </c>
      <c r="CU185" s="73">
        <f t="shared" si="1509"/>
        <v>0</v>
      </c>
      <c r="CV185" s="73">
        <f t="shared" si="1510"/>
        <v>0</v>
      </c>
      <c r="CW185" s="73">
        <f t="shared" si="1511"/>
        <v>0</v>
      </c>
      <c r="CX185" s="73">
        <f t="shared" si="1512"/>
        <v>0</v>
      </c>
      <c r="CY185" s="73">
        <f t="shared" si="1513"/>
        <v>0</v>
      </c>
      <c r="CZ185" s="190"/>
      <c r="DA185" s="66">
        <v>2009</v>
      </c>
      <c r="DB185" s="218">
        <f t="shared" si="1481"/>
        <v>0</v>
      </c>
      <c r="DC185" s="218">
        <f t="shared" si="1482"/>
        <v>0</v>
      </c>
      <c r="DD185" s="73">
        <f t="shared" si="1483"/>
        <v>0</v>
      </c>
      <c r="DE185" s="73">
        <f t="shared" si="1484"/>
        <v>0</v>
      </c>
      <c r="DF185" s="73">
        <f t="shared" si="1485"/>
        <v>0</v>
      </c>
      <c r="DG185" s="73">
        <f t="shared" si="1486"/>
        <v>0</v>
      </c>
      <c r="DH185" s="72" t="e">
        <f t="shared" si="1514"/>
        <v>#DIV/0!</v>
      </c>
      <c r="DI185" s="72" t="e">
        <f t="shared" si="1515"/>
        <v>#DIV/0!</v>
      </c>
      <c r="DJ185" s="73">
        <f>SUM(AV180:AV185,BB180:BB185,BI180:BI185)</f>
        <v>0</v>
      </c>
      <c r="DK185" s="218">
        <v>0</v>
      </c>
      <c r="DL185" s="190"/>
    </row>
    <row r="186" spans="1:120" x14ac:dyDescent="0.25">
      <c r="A186" s="190"/>
      <c r="B186" s="188">
        <v>2012</v>
      </c>
      <c r="C186" s="61" t="s">
        <v>323</v>
      </c>
      <c r="D186" s="169">
        <v>0</v>
      </c>
      <c r="E186" s="169">
        <v>0</v>
      </c>
      <c r="F186" s="169">
        <v>0</v>
      </c>
      <c r="G186" s="169">
        <v>0</v>
      </c>
      <c r="H186" s="169">
        <v>0</v>
      </c>
      <c r="I186" s="169">
        <v>0</v>
      </c>
      <c r="J186" s="172">
        <f>pInt_ART1_2004_2012</f>
        <v>0.97189504107250524</v>
      </c>
      <c r="K186" s="170">
        <f>pInt_ART1_Int_ART2_2004_2012</f>
        <v>8.6622645122074182E-3</v>
      </c>
      <c r="L186" s="170">
        <f>pInt_ART1_Int_LTFU_2004_2012</f>
        <v>1.438552517214986E-2</v>
      </c>
      <c r="M186" s="170">
        <f>pInt_ART1_Int_Dead_2004_2012</f>
        <v>5.0571692431374826E-3</v>
      </c>
      <c r="N186" s="169">
        <v>0</v>
      </c>
      <c r="O186" s="169">
        <v>0</v>
      </c>
      <c r="P186" s="169">
        <v>0</v>
      </c>
      <c r="Q186" s="169">
        <v>0</v>
      </c>
      <c r="R186" s="169">
        <v>0</v>
      </c>
      <c r="S186" s="169">
        <v>0</v>
      </c>
      <c r="T186" s="169">
        <v>0</v>
      </c>
      <c r="U186" s="61">
        <f t="shared" si="1487"/>
        <v>1</v>
      </c>
      <c r="V186" s="190"/>
      <c r="W186" s="66">
        <v>6</v>
      </c>
      <c r="X186" s="66">
        <v>2010</v>
      </c>
      <c r="Y186" s="69">
        <v>0</v>
      </c>
      <c r="Z186" s="69">
        <v>0</v>
      </c>
      <c r="AA186" s="69">
        <v>0</v>
      </c>
      <c r="AB186" s="69">
        <v>0</v>
      </c>
      <c r="AC186" s="69">
        <v>0</v>
      </c>
      <c r="AD186" s="69">
        <v>0</v>
      </c>
      <c r="AE186" s="69">
        <v>0</v>
      </c>
      <c r="AF186" s="69">
        <v>0</v>
      </c>
      <c r="AG186" s="69">
        <v>0</v>
      </c>
      <c r="AH186" s="69">
        <v>0</v>
      </c>
      <c r="AI186" s="69">
        <v>0</v>
      </c>
      <c r="AJ186" s="69">
        <v>0</v>
      </c>
      <c r="AK186" s="69">
        <v>0</v>
      </c>
      <c r="AL186" s="69">
        <v>0</v>
      </c>
      <c r="AM186" s="69">
        <v>0</v>
      </c>
      <c r="AN186" s="69">
        <v>0</v>
      </c>
      <c r="AO186" s="69">
        <v>0</v>
      </c>
      <c r="AP186" s="190"/>
      <c r="AQ186" s="66">
        <v>6</v>
      </c>
      <c r="AR186" s="66">
        <v>2010</v>
      </c>
      <c r="AS186" s="215">
        <f t="shared" si="1464"/>
        <v>0</v>
      </c>
      <c r="AT186" s="215">
        <f t="shared" si="1465"/>
        <v>0</v>
      </c>
      <c r="AU186" s="215">
        <f t="shared" si="1466"/>
        <v>0</v>
      </c>
      <c r="AV186" s="215">
        <f t="shared" si="1467"/>
        <v>0</v>
      </c>
      <c r="AW186" s="215">
        <f t="shared" si="1468"/>
        <v>0</v>
      </c>
      <c r="AX186" s="215">
        <f t="shared" si="1469"/>
        <v>0</v>
      </c>
      <c r="AY186" s="215">
        <f t="shared" si="1470"/>
        <v>0</v>
      </c>
      <c r="AZ186" s="215">
        <f t="shared" si="1471"/>
        <v>0</v>
      </c>
      <c r="BA186" s="215">
        <f t="shared" si="1472"/>
        <v>0</v>
      </c>
      <c r="BB186" s="215">
        <f t="shared" si="1473"/>
        <v>0</v>
      </c>
      <c r="BC186" s="215">
        <f t="shared" si="1474"/>
        <v>0</v>
      </c>
      <c r="BD186" s="215">
        <f t="shared" si="1475"/>
        <v>0</v>
      </c>
      <c r="BE186" s="215">
        <f t="shared" si="1476"/>
        <v>0</v>
      </c>
      <c r="BF186" s="215">
        <f t="shared" si="1477"/>
        <v>0</v>
      </c>
      <c r="BG186" s="215">
        <f t="shared" si="1478"/>
        <v>0</v>
      </c>
      <c r="BH186" s="215">
        <f t="shared" si="1479"/>
        <v>0</v>
      </c>
      <c r="BI186" s="215">
        <f t="shared" si="1480"/>
        <v>0</v>
      </c>
      <c r="BJ186" s="194"/>
      <c r="BK186" s="66">
        <v>6</v>
      </c>
      <c r="BL186" s="66">
        <v>2010</v>
      </c>
      <c r="BM186" s="215">
        <f t="shared" si="1488"/>
        <v>0</v>
      </c>
      <c r="BN186" s="219">
        <f t="shared" si="1489"/>
        <v>0</v>
      </c>
      <c r="BO186" s="219">
        <f t="shared" si="1490"/>
        <v>0</v>
      </c>
      <c r="BP186" s="219">
        <f t="shared" si="1516"/>
        <v>0</v>
      </c>
      <c r="BQ186" s="219">
        <f t="shared" si="1491"/>
        <v>0</v>
      </c>
      <c r="BR186" s="220">
        <f t="shared" si="1517"/>
        <v>0</v>
      </c>
      <c r="BS186" s="219">
        <f t="shared" si="1518"/>
        <v>0</v>
      </c>
      <c r="BT186" s="219">
        <f t="shared" si="1519"/>
        <v>0</v>
      </c>
      <c r="BU186" s="219">
        <f t="shared" si="1520"/>
        <v>0</v>
      </c>
      <c r="BV186" s="219">
        <f t="shared" si="1521"/>
        <v>0</v>
      </c>
      <c r="BW186" s="219">
        <f t="shared" si="1522"/>
        <v>0</v>
      </c>
      <c r="BX186" s="220">
        <f t="shared" si="1523"/>
        <v>0</v>
      </c>
      <c r="BY186" s="195"/>
      <c r="BZ186" s="192">
        <v>6</v>
      </c>
      <c r="CA186" s="66">
        <v>2010</v>
      </c>
      <c r="CB186" s="218">
        <f>pAsympt_NoCare_Asympt_Dead_2010_2012*AS185</f>
        <v>0</v>
      </c>
      <c r="CC186" s="218">
        <f t="shared" si="1492"/>
        <v>0</v>
      </c>
      <c r="CD186" s="73">
        <f t="shared" si="1493"/>
        <v>0</v>
      </c>
      <c r="CE186" s="73">
        <f>pInt_NoCare_Int_Dead_2010_2012*AW185</f>
        <v>0</v>
      </c>
      <c r="CF186" s="73">
        <f t="shared" si="1494"/>
        <v>0</v>
      </c>
      <c r="CG186" s="73">
        <f t="shared" si="1495"/>
        <v>0</v>
      </c>
      <c r="CH186" s="73">
        <f t="shared" si="1496"/>
        <v>0</v>
      </c>
      <c r="CI186" s="73">
        <f t="shared" si="1497"/>
        <v>0</v>
      </c>
      <c r="CJ186" s="73">
        <f t="shared" si="1498"/>
        <v>0</v>
      </c>
      <c r="CK186" s="73">
        <f t="shared" si="1499"/>
        <v>0</v>
      </c>
      <c r="CL186" s="73">
        <f t="shared" si="1500"/>
        <v>0</v>
      </c>
      <c r="CM186" s="73">
        <f>pAIDS_NoCare_AIDS_Dead_2010_2012*BC185</f>
        <v>0</v>
      </c>
      <c r="CN186" s="73">
        <f t="shared" si="1502"/>
        <v>0</v>
      </c>
      <c r="CO186" s="73">
        <f t="shared" si="1503"/>
        <v>0</v>
      </c>
      <c r="CP186" s="73">
        <f t="shared" si="1504"/>
        <v>0</v>
      </c>
      <c r="CQ186" s="73">
        <f t="shared" si="1505"/>
        <v>0</v>
      </c>
      <c r="CR186" s="73">
        <f t="shared" si="1506"/>
        <v>0</v>
      </c>
      <c r="CS186" s="73">
        <f t="shared" si="1507"/>
        <v>0</v>
      </c>
      <c r="CT186" s="73">
        <f t="shared" si="1508"/>
        <v>0</v>
      </c>
      <c r="CU186" s="73">
        <f t="shared" si="1509"/>
        <v>0</v>
      </c>
      <c r="CV186" s="73">
        <f t="shared" si="1510"/>
        <v>0</v>
      </c>
      <c r="CW186" s="73">
        <f t="shared" si="1511"/>
        <v>0</v>
      </c>
      <c r="CX186" s="73">
        <f t="shared" si="1512"/>
        <v>0</v>
      </c>
      <c r="CY186" s="73">
        <f t="shared" si="1513"/>
        <v>0</v>
      </c>
      <c r="CZ186" s="190"/>
      <c r="DA186" s="66">
        <v>2010</v>
      </c>
      <c r="DB186" s="218">
        <f t="shared" si="1481"/>
        <v>0</v>
      </c>
      <c r="DC186" s="218">
        <f t="shared" si="1482"/>
        <v>0</v>
      </c>
      <c r="DD186" s="73">
        <f t="shared" si="1483"/>
        <v>0</v>
      </c>
      <c r="DE186" s="73">
        <f t="shared" si="1484"/>
        <v>0</v>
      </c>
      <c r="DF186" s="73">
        <f t="shared" si="1485"/>
        <v>0</v>
      </c>
      <c r="DG186" s="73">
        <f t="shared" si="1486"/>
        <v>0</v>
      </c>
      <c r="DH186" s="72" t="e">
        <f t="shared" si="1514"/>
        <v>#DIV/0!</v>
      </c>
      <c r="DI186" s="72" t="e">
        <f t="shared" si="1515"/>
        <v>#DIV/0!</v>
      </c>
      <c r="DJ186" s="73">
        <f>SUM(AV180:AV186,BB180:BB186,BI180:BI186)</f>
        <v>0</v>
      </c>
      <c r="DK186" s="218">
        <f>SUM(AV186,BB186,BI186)</f>
        <v>0</v>
      </c>
      <c r="DL186" s="190"/>
    </row>
    <row r="187" spans="1:120" x14ac:dyDescent="0.25">
      <c r="A187" s="190"/>
      <c r="B187" s="188">
        <v>2012</v>
      </c>
      <c r="C187" s="61" t="s">
        <v>324</v>
      </c>
      <c r="D187" s="169">
        <v>0</v>
      </c>
      <c r="E187" s="169">
        <v>0</v>
      </c>
      <c r="F187" s="169">
        <v>0</v>
      </c>
      <c r="G187" s="169">
        <v>0</v>
      </c>
      <c r="H187" s="169">
        <v>0</v>
      </c>
      <c r="I187" s="169">
        <v>0</v>
      </c>
      <c r="J187" s="169">
        <v>0</v>
      </c>
      <c r="K187" s="172">
        <f>pInt_ART2_2004_2012</f>
        <v>0.98055730558471266</v>
      </c>
      <c r="L187" s="170">
        <f>pInt_ART2_Int_LTFU_2004_2012</f>
        <v>1.438552517214986E-2</v>
      </c>
      <c r="M187" s="170">
        <f>pInt_ART2_Int_Dead_2004_2012</f>
        <v>5.0571692431374826E-3</v>
      </c>
      <c r="N187" s="169">
        <v>0</v>
      </c>
      <c r="O187" s="169">
        <v>0</v>
      </c>
      <c r="P187" s="169">
        <v>0</v>
      </c>
      <c r="Q187" s="169">
        <v>0</v>
      </c>
      <c r="R187" s="169">
        <v>0</v>
      </c>
      <c r="S187" s="169">
        <v>0</v>
      </c>
      <c r="T187" s="169">
        <v>0</v>
      </c>
      <c r="U187" s="61">
        <f t="shared" si="1487"/>
        <v>1</v>
      </c>
      <c r="V187" s="190"/>
      <c r="W187" s="66">
        <v>7</v>
      </c>
      <c r="X187" s="66">
        <v>2011</v>
      </c>
      <c r="Y187" s="69">
        <v>0</v>
      </c>
      <c r="Z187" s="69">
        <v>0</v>
      </c>
      <c r="AA187" s="69">
        <v>0</v>
      </c>
      <c r="AB187" s="69">
        <v>0</v>
      </c>
      <c r="AC187" s="69">
        <v>0</v>
      </c>
      <c r="AD187" s="69">
        <v>0</v>
      </c>
      <c r="AE187" s="69">
        <v>0</v>
      </c>
      <c r="AF187" s="69">
        <v>0</v>
      </c>
      <c r="AG187" s="69">
        <v>0</v>
      </c>
      <c r="AH187" s="69">
        <v>0</v>
      </c>
      <c r="AI187" s="69">
        <v>0</v>
      </c>
      <c r="AJ187" s="69">
        <v>0</v>
      </c>
      <c r="AK187" s="69">
        <v>0</v>
      </c>
      <c r="AL187" s="69">
        <v>0</v>
      </c>
      <c r="AM187" s="69">
        <v>0</v>
      </c>
      <c r="AN187" s="69">
        <v>0</v>
      </c>
      <c r="AO187" s="69">
        <v>0</v>
      </c>
      <c r="AP187" s="190"/>
      <c r="AQ187" s="66">
        <v>7</v>
      </c>
      <c r="AR187" s="66">
        <v>2011</v>
      </c>
      <c r="AS187" s="215">
        <f t="shared" si="1464"/>
        <v>0</v>
      </c>
      <c r="AT187" s="215">
        <f t="shared" si="1465"/>
        <v>0</v>
      </c>
      <c r="AU187" s="215">
        <f t="shared" si="1466"/>
        <v>0</v>
      </c>
      <c r="AV187" s="215">
        <f t="shared" si="1467"/>
        <v>0</v>
      </c>
      <c r="AW187" s="215">
        <f t="shared" si="1468"/>
        <v>0</v>
      </c>
      <c r="AX187" s="215">
        <f t="shared" si="1469"/>
        <v>0</v>
      </c>
      <c r="AY187" s="215">
        <f t="shared" si="1470"/>
        <v>0</v>
      </c>
      <c r="AZ187" s="215">
        <f t="shared" si="1471"/>
        <v>0</v>
      </c>
      <c r="BA187" s="215">
        <f t="shared" si="1472"/>
        <v>0</v>
      </c>
      <c r="BB187" s="215">
        <f t="shared" si="1473"/>
        <v>0</v>
      </c>
      <c r="BC187" s="215">
        <f t="shared" si="1474"/>
        <v>0</v>
      </c>
      <c r="BD187" s="215">
        <f t="shared" si="1475"/>
        <v>0</v>
      </c>
      <c r="BE187" s="215">
        <f t="shared" si="1476"/>
        <v>0</v>
      </c>
      <c r="BF187" s="215">
        <f t="shared" si="1477"/>
        <v>0</v>
      </c>
      <c r="BG187" s="215">
        <f t="shared" si="1478"/>
        <v>0</v>
      </c>
      <c r="BH187" s="215">
        <f t="shared" si="1479"/>
        <v>0</v>
      </c>
      <c r="BI187" s="215">
        <f t="shared" si="1480"/>
        <v>0</v>
      </c>
      <c r="BJ187" s="194"/>
      <c r="BK187" s="66">
        <v>7</v>
      </c>
      <c r="BL187" s="66">
        <v>2011</v>
      </c>
      <c r="BM187" s="215">
        <f t="shared" si="1488"/>
        <v>0</v>
      </c>
      <c r="BN187" s="219">
        <f t="shared" si="1489"/>
        <v>0</v>
      </c>
      <c r="BO187" s="219">
        <f t="shared" si="1490"/>
        <v>0</v>
      </c>
      <c r="BP187" s="219">
        <f t="shared" si="1516"/>
        <v>0</v>
      </c>
      <c r="BQ187" s="219">
        <f t="shared" si="1491"/>
        <v>0</v>
      </c>
      <c r="BR187" s="220">
        <f t="shared" si="1517"/>
        <v>0</v>
      </c>
      <c r="BS187" s="219">
        <f t="shared" si="1518"/>
        <v>0</v>
      </c>
      <c r="BT187" s="219">
        <f t="shared" si="1519"/>
        <v>0</v>
      </c>
      <c r="BU187" s="219">
        <f t="shared" si="1520"/>
        <v>0</v>
      </c>
      <c r="BV187" s="219">
        <f t="shared" si="1521"/>
        <v>0</v>
      </c>
      <c r="BW187" s="219">
        <f t="shared" si="1522"/>
        <v>0</v>
      </c>
      <c r="BX187" s="220">
        <f t="shared" si="1523"/>
        <v>0</v>
      </c>
      <c r="BY187" s="195"/>
      <c r="BZ187" s="192">
        <v>7</v>
      </c>
      <c r="CA187" s="66">
        <v>2011</v>
      </c>
      <c r="CB187" s="218">
        <f>pAsympt_NoCare_Asympt_Dead_2010_2012*AS186</f>
        <v>0</v>
      </c>
      <c r="CC187" s="218">
        <f t="shared" si="1492"/>
        <v>0</v>
      </c>
      <c r="CD187" s="73">
        <f t="shared" si="1493"/>
        <v>0</v>
      </c>
      <c r="CE187" s="73">
        <f>pInt_NoCare_Int_Dead_2010_2012*AW186</f>
        <v>0</v>
      </c>
      <c r="CF187" s="73">
        <f t="shared" si="1494"/>
        <v>0</v>
      </c>
      <c r="CG187" s="73">
        <f t="shared" si="1495"/>
        <v>0</v>
      </c>
      <c r="CH187" s="73">
        <f t="shared" si="1496"/>
        <v>0</v>
      </c>
      <c r="CI187" s="73">
        <f t="shared" si="1497"/>
        <v>0</v>
      </c>
      <c r="CJ187" s="73">
        <f t="shared" si="1498"/>
        <v>0</v>
      </c>
      <c r="CK187" s="73">
        <f t="shared" si="1499"/>
        <v>0</v>
      </c>
      <c r="CL187" s="73">
        <f t="shared" si="1500"/>
        <v>0</v>
      </c>
      <c r="CM187" s="73">
        <f>pAIDS_NoCare_AIDS_Dead_2010_2012*BC186</f>
        <v>0</v>
      </c>
      <c r="CN187" s="73">
        <f t="shared" si="1502"/>
        <v>0</v>
      </c>
      <c r="CO187" s="73">
        <f t="shared" si="1503"/>
        <v>0</v>
      </c>
      <c r="CP187" s="73">
        <f t="shared" si="1504"/>
        <v>0</v>
      </c>
      <c r="CQ187" s="73">
        <f t="shared" si="1505"/>
        <v>0</v>
      </c>
      <c r="CR187" s="73">
        <f t="shared" si="1506"/>
        <v>0</v>
      </c>
      <c r="CS187" s="73">
        <f t="shared" si="1507"/>
        <v>0</v>
      </c>
      <c r="CT187" s="73">
        <f t="shared" si="1508"/>
        <v>0</v>
      </c>
      <c r="CU187" s="73">
        <f t="shared" si="1509"/>
        <v>0</v>
      </c>
      <c r="CV187" s="73">
        <f t="shared" si="1510"/>
        <v>0</v>
      </c>
      <c r="CW187" s="73">
        <f t="shared" si="1511"/>
        <v>0</v>
      </c>
      <c r="CX187" s="73">
        <f t="shared" si="1512"/>
        <v>0</v>
      </c>
      <c r="CY187" s="73">
        <f t="shared" si="1513"/>
        <v>0</v>
      </c>
      <c r="CZ187" s="190"/>
      <c r="DA187" s="66">
        <v>2011</v>
      </c>
      <c r="DB187" s="218">
        <f t="shared" si="1481"/>
        <v>0</v>
      </c>
      <c r="DC187" s="218">
        <f t="shared" si="1482"/>
        <v>0</v>
      </c>
      <c r="DD187" s="73">
        <f t="shared" si="1483"/>
        <v>0</v>
      </c>
      <c r="DE187" s="73">
        <f t="shared" si="1484"/>
        <v>0</v>
      </c>
      <c r="DF187" s="73">
        <f t="shared" si="1485"/>
        <v>0</v>
      </c>
      <c r="DG187" s="73">
        <f t="shared" si="1486"/>
        <v>0</v>
      </c>
      <c r="DH187" s="72" t="e">
        <f t="shared" si="1514"/>
        <v>#DIV/0!</v>
      </c>
      <c r="DI187" s="72" t="e">
        <f t="shared" si="1515"/>
        <v>#DIV/0!</v>
      </c>
      <c r="DJ187" s="73">
        <f>SUM(AV180:AV187,BB180:BB187,BI180:BI187)</f>
        <v>0</v>
      </c>
      <c r="DK187" s="218">
        <f>SUM(AV186:AV187,BB186:BB187,BI186:BI187)</f>
        <v>0</v>
      </c>
      <c r="DL187" s="190"/>
    </row>
    <row r="188" spans="1:120" x14ac:dyDescent="0.25">
      <c r="A188" s="190"/>
      <c r="B188" s="188">
        <v>2012</v>
      </c>
      <c r="C188" s="61" t="s">
        <v>325</v>
      </c>
      <c r="D188" s="169">
        <v>0</v>
      </c>
      <c r="E188" s="169">
        <v>0</v>
      </c>
      <c r="F188" s="169">
        <v>0</v>
      </c>
      <c r="G188" s="169">
        <v>0</v>
      </c>
      <c r="H188" s="169">
        <v>0</v>
      </c>
      <c r="I188" s="169">
        <v>0</v>
      </c>
      <c r="J188" s="171">
        <f>pInt_LTFU_Int_ART1_2004_2012</f>
        <v>0.1414</v>
      </c>
      <c r="K188" s="171">
        <f>pInt_LTFU_Int_ART2_2004_2012</f>
        <v>0.1515</v>
      </c>
      <c r="L188" s="172">
        <f>pInt_LTFU_2004_2012</f>
        <v>0.43882838478243957</v>
      </c>
      <c r="M188" s="171">
        <f>pInt_LTFU_Int_Dead_2004_2012</f>
        <v>2.7888537361361161E-2</v>
      </c>
      <c r="N188" s="169">
        <v>0</v>
      </c>
      <c r="O188" s="169">
        <v>0</v>
      </c>
      <c r="P188" s="169">
        <v>0</v>
      </c>
      <c r="Q188" s="169">
        <v>0</v>
      </c>
      <c r="R188" s="169">
        <v>0</v>
      </c>
      <c r="S188" s="170">
        <f>pInt_LTFU_AIDS_LTFU_2004_2012</f>
        <v>0.24038307785619925</v>
      </c>
      <c r="T188" s="169">
        <v>0</v>
      </c>
      <c r="U188" s="61">
        <f t="shared" si="1487"/>
        <v>1</v>
      </c>
      <c r="V188" s="190"/>
      <c r="W188" s="66">
        <v>8</v>
      </c>
      <c r="X188" s="66">
        <v>2012</v>
      </c>
      <c r="Y188" s="69">
        <v>1</v>
      </c>
      <c r="Z188" s="69">
        <v>0</v>
      </c>
      <c r="AA188" s="69">
        <v>0</v>
      </c>
      <c r="AB188" s="69">
        <v>0</v>
      </c>
      <c r="AC188" s="69">
        <v>0</v>
      </c>
      <c r="AD188" s="69">
        <v>0</v>
      </c>
      <c r="AE188" s="69">
        <v>0</v>
      </c>
      <c r="AF188" s="69">
        <v>0</v>
      </c>
      <c r="AG188" s="69">
        <v>0</v>
      </c>
      <c r="AH188" s="69">
        <v>0</v>
      </c>
      <c r="AI188" s="69">
        <v>0</v>
      </c>
      <c r="AJ188" s="69">
        <v>0</v>
      </c>
      <c r="AK188" s="69">
        <v>0</v>
      </c>
      <c r="AL188" s="69">
        <v>0</v>
      </c>
      <c r="AM188" s="69">
        <v>0</v>
      </c>
      <c r="AN188" s="69">
        <v>0</v>
      </c>
      <c r="AO188" s="69">
        <v>0</v>
      </c>
      <c r="AP188" s="190"/>
      <c r="AQ188" s="66">
        <v>8</v>
      </c>
      <c r="AR188" s="66">
        <v>2012</v>
      </c>
      <c r="AS188" s="215">
        <f t="shared" si="1464"/>
        <v>8588.0400000000009</v>
      </c>
      <c r="AT188" s="215">
        <f t="shared" si="1465"/>
        <v>0</v>
      </c>
      <c r="AU188" s="215">
        <f t="shared" si="1466"/>
        <v>0</v>
      </c>
      <c r="AV188" s="215">
        <f t="shared" si="1467"/>
        <v>0</v>
      </c>
      <c r="AW188" s="215">
        <f t="shared" si="1468"/>
        <v>0</v>
      </c>
      <c r="AX188" s="215">
        <f t="shared" si="1469"/>
        <v>0</v>
      </c>
      <c r="AY188" s="215">
        <f t="shared" si="1470"/>
        <v>0</v>
      </c>
      <c r="AZ188" s="215">
        <f t="shared" si="1471"/>
        <v>0</v>
      </c>
      <c r="BA188" s="215">
        <f t="shared" si="1472"/>
        <v>0</v>
      </c>
      <c r="BB188" s="215">
        <f t="shared" si="1473"/>
        <v>0</v>
      </c>
      <c r="BC188" s="215">
        <f t="shared" si="1474"/>
        <v>0</v>
      </c>
      <c r="BD188" s="215">
        <f t="shared" si="1475"/>
        <v>0</v>
      </c>
      <c r="BE188" s="215">
        <f t="shared" si="1476"/>
        <v>0</v>
      </c>
      <c r="BF188" s="215">
        <f t="shared" si="1477"/>
        <v>0</v>
      </c>
      <c r="BG188" s="215">
        <f t="shared" si="1478"/>
        <v>0</v>
      </c>
      <c r="BH188" s="215">
        <f t="shared" si="1479"/>
        <v>0</v>
      </c>
      <c r="BI188" s="215">
        <f t="shared" si="1480"/>
        <v>0</v>
      </c>
      <c r="BJ188" s="194"/>
      <c r="BK188" s="66">
        <v>8</v>
      </c>
      <c r="BL188" s="66">
        <v>2012</v>
      </c>
      <c r="BM188" s="215">
        <f t="shared" si="1488"/>
        <v>0</v>
      </c>
      <c r="BN188" s="219">
        <f t="shared" si="1489"/>
        <v>0</v>
      </c>
      <c r="BO188" s="219">
        <f t="shared" si="1490"/>
        <v>0</v>
      </c>
      <c r="BP188" s="219">
        <f t="shared" si="1516"/>
        <v>0</v>
      </c>
      <c r="BQ188" s="219">
        <f t="shared" si="1491"/>
        <v>0</v>
      </c>
      <c r="BR188" s="220">
        <f t="shared" si="1517"/>
        <v>0</v>
      </c>
      <c r="BS188" s="219">
        <f t="shared" si="1518"/>
        <v>0</v>
      </c>
      <c r="BT188" s="219">
        <f t="shared" si="1519"/>
        <v>0</v>
      </c>
      <c r="BU188" s="219">
        <f t="shared" si="1520"/>
        <v>0</v>
      </c>
      <c r="BV188" s="219">
        <f t="shared" si="1521"/>
        <v>0</v>
      </c>
      <c r="BW188" s="219">
        <f t="shared" si="1522"/>
        <v>0</v>
      </c>
      <c r="BX188" s="220">
        <f t="shared" si="1523"/>
        <v>0</v>
      </c>
      <c r="BY188" s="195"/>
      <c r="BZ188" s="192">
        <v>8</v>
      </c>
      <c r="CA188" s="66">
        <v>2012</v>
      </c>
      <c r="CB188" s="218">
        <f>pAsympt_NoCare_Asympt_Dead_2010_2012*AS187</f>
        <v>0</v>
      </c>
      <c r="CC188" s="218">
        <f t="shared" si="1492"/>
        <v>0</v>
      </c>
      <c r="CD188" s="73">
        <f t="shared" si="1493"/>
        <v>0</v>
      </c>
      <c r="CE188" s="73">
        <f>pInt_NoCare_Int_Dead_2010_2012*AW187</f>
        <v>0</v>
      </c>
      <c r="CF188" s="73">
        <f t="shared" si="1494"/>
        <v>0</v>
      </c>
      <c r="CG188" s="73">
        <f t="shared" si="1495"/>
        <v>0</v>
      </c>
      <c r="CH188" s="73">
        <f t="shared" si="1496"/>
        <v>0</v>
      </c>
      <c r="CI188" s="73">
        <f t="shared" si="1497"/>
        <v>0</v>
      </c>
      <c r="CJ188" s="73">
        <f t="shared" si="1498"/>
        <v>0</v>
      </c>
      <c r="CK188" s="73">
        <f t="shared" si="1499"/>
        <v>0</v>
      </c>
      <c r="CL188" s="73">
        <f t="shared" si="1500"/>
        <v>0</v>
      </c>
      <c r="CM188" s="73">
        <f>pAIDS_NoCare_AIDS_Dead_2010_2012*BC187</f>
        <v>0</v>
      </c>
      <c r="CN188" s="73">
        <f t="shared" si="1502"/>
        <v>0</v>
      </c>
      <c r="CO188" s="73">
        <f t="shared" si="1503"/>
        <v>0</v>
      </c>
      <c r="CP188" s="73">
        <f t="shared" si="1504"/>
        <v>0</v>
      </c>
      <c r="CQ188" s="73">
        <f t="shared" si="1505"/>
        <v>0</v>
      </c>
      <c r="CR188" s="73">
        <f t="shared" si="1506"/>
        <v>0</v>
      </c>
      <c r="CS188" s="73">
        <f t="shared" si="1507"/>
        <v>0</v>
      </c>
      <c r="CT188" s="73">
        <f t="shared" si="1508"/>
        <v>0</v>
      </c>
      <c r="CU188" s="73">
        <f t="shared" si="1509"/>
        <v>0</v>
      </c>
      <c r="CV188" s="73">
        <f t="shared" si="1510"/>
        <v>0</v>
      </c>
      <c r="CW188" s="73">
        <f t="shared" si="1511"/>
        <v>0</v>
      </c>
      <c r="CX188" s="73">
        <f t="shared" si="1512"/>
        <v>0</v>
      </c>
      <c r="CY188" s="73">
        <f t="shared" si="1513"/>
        <v>0</v>
      </c>
      <c r="CZ188" s="190"/>
      <c r="DA188" s="66">
        <v>2012</v>
      </c>
      <c r="DB188" s="218">
        <f t="shared" si="1481"/>
        <v>0</v>
      </c>
      <c r="DC188" s="218">
        <f t="shared" si="1482"/>
        <v>8588.0400000000009</v>
      </c>
      <c r="DD188" s="73">
        <f t="shared" si="1483"/>
        <v>0</v>
      </c>
      <c r="DE188" s="73">
        <f t="shared" si="1484"/>
        <v>0</v>
      </c>
      <c r="DF188" s="73">
        <f t="shared" si="1485"/>
        <v>0</v>
      </c>
      <c r="DG188" s="73">
        <f t="shared" si="1486"/>
        <v>0</v>
      </c>
      <c r="DH188" s="72" t="e">
        <f t="shared" si="1514"/>
        <v>#DIV/0!</v>
      </c>
      <c r="DI188" s="72" t="e">
        <f t="shared" si="1515"/>
        <v>#DIV/0!</v>
      </c>
      <c r="DJ188" s="73">
        <f>SUM(AV180:AV188,BB180:BB188,BI180:BI188)</f>
        <v>0</v>
      </c>
      <c r="DK188" s="73">
        <f>SUM(AV186:AV188,BB186:BB188,BI186:BI188)</f>
        <v>0</v>
      </c>
      <c r="DL188" s="190"/>
    </row>
    <row r="189" spans="1:120" x14ac:dyDescent="0.25">
      <c r="A189" s="190"/>
      <c r="B189" s="188">
        <v>2012</v>
      </c>
      <c r="C189" s="61" t="s">
        <v>326</v>
      </c>
      <c r="D189" s="169">
        <v>0</v>
      </c>
      <c r="E189" s="169">
        <v>0</v>
      </c>
      <c r="F189" s="169">
        <v>0</v>
      </c>
      <c r="G189" s="169">
        <v>0</v>
      </c>
      <c r="H189" s="169">
        <v>0</v>
      </c>
      <c r="I189" s="169">
        <v>0</v>
      </c>
      <c r="J189" s="169">
        <v>0</v>
      </c>
      <c r="K189" s="169">
        <v>0</v>
      </c>
      <c r="L189" s="169">
        <v>0</v>
      </c>
      <c r="M189" s="169">
        <v>0</v>
      </c>
      <c r="N189" s="169">
        <v>0</v>
      </c>
      <c r="O189" s="169">
        <v>0</v>
      </c>
      <c r="P189" s="169">
        <v>0</v>
      </c>
      <c r="Q189" s="169">
        <v>0</v>
      </c>
      <c r="R189" s="169">
        <v>0</v>
      </c>
      <c r="S189" s="169">
        <v>0</v>
      </c>
      <c r="T189" s="169">
        <v>0</v>
      </c>
      <c r="U189" s="61">
        <f t="shared" si="1487"/>
        <v>0</v>
      </c>
      <c r="V189" s="190"/>
      <c r="W189" s="66">
        <v>9</v>
      </c>
      <c r="X189" s="66">
        <v>2013</v>
      </c>
      <c r="Y189" s="70">
        <f>MMULT($Y188:$AO188,D$202:D$218)</f>
        <v>0.63376008575865694</v>
      </c>
      <c r="Z189" s="70">
        <f t="shared" ref="Z189:Z199" si="1524">MMULT($Y188:$AO188,E$202:E$218)</f>
        <v>7.4027434914144222E-2</v>
      </c>
      <c r="AA189" s="70">
        <f t="shared" ref="AA189:AA199" si="1525">MMULT($Y188:$AO188,F$202:F$218)</f>
        <v>0</v>
      </c>
      <c r="AB189" s="70">
        <f t="shared" ref="AB189:AB199" si="1526">MMULT($Y188:$AO188,G$202:G$218)</f>
        <v>1.818504441305463E-2</v>
      </c>
      <c r="AC189" s="70">
        <f t="shared" ref="AC189:AC199" si="1527">MMULT($Y188:$AO188,H$202:H$218)</f>
        <v>0.2</v>
      </c>
      <c r="AD189" s="70">
        <f t="shared" ref="AD189:AD199" si="1528">MMULT($Y188:$AO188,I$202:I$218)</f>
        <v>7.4027434914144222E-2</v>
      </c>
      <c r="AE189" s="70">
        <f t="shared" ref="AE189:AE199" si="1529">MMULT($Y188:$AO188,J$202:J$218)</f>
        <v>0</v>
      </c>
      <c r="AF189" s="70">
        <f t="shared" ref="AF189:AF199" si="1530">MMULT($Y188:$AO188,K$202:K$218)</f>
        <v>0</v>
      </c>
      <c r="AG189" s="70">
        <f t="shared" ref="AG189:AG199" si="1531">MMULT($Y188:$AO188,L$202:L$218)</f>
        <v>0</v>
      </c>
      <c r="AH189" s="70">
        <f t="shared" ref="AH189:AH199" si="1532">MMULT($Y188:$AO188,M$202:M$218)</f>
        <v>0</v>
      </c>
      <c r="AI189" s="70">
        <f t="shared" ref="AI189:AI199" si="1533">MMULT($Y188:$AO188,N$202:N$218)</f>
        <v>0</v>
      </c>
      <c r="AJ189" s="70">
        <f t="shared" ref="AJ189:AJ199" si="1534">MMULT($Y188:$AO188,O$202:O$218)</f>
        <v>0</v>
      </c>
      <c r="AK189" s="70">
        <f t="shared" ref="AK189:AK199" si="1535">MMULT($Y188:$AO188,P$202:P$218)</f>
        <v>0</v>
      </c>
      <c r="AL189" s="70">
        <f t="shared" ref="AL189:AL199" si="1536">MMULT($Y188:$AO188,Q$202:Q$218)</f>
        <v>0</v>
      </c>
      <c r="AM189" s="70">
        <f t="shared" ref="AM189:AM199" si="1537">MMULT($Y188:$AO188,R$202:R$218)</f>
        <v>0</v>
      </c>
      <c r="AN189" s="70">
        <f t="shared" ref="AN189:AN199" si="1538">MMULT($Y188:$AO188,S$202:S$218)</f>
        <v>0</v>
      </c>
      <c r="AO189" s="70">
        <f t="shared" ref="AO189:AO199" si="1539">MMULT($Y188:$AO188,T$202:T$218)</f>
        <v>0</v>
      </c>
      <c r="AP189" s="190"/>
      <c r="AQ189" s="66">
        <v>9</v>
      </c>
      <c r="AR189" s="66">
        <v>2013</v>
      </c>
      <c r="AS189" s="215">
        <f t="shared" si="1464"/>
        <v>5442.7569668987771</v>
      </c>
      <c r="AT189" s="215">
        <f t="shared" si="1465"/>
        <v>635.75057214006722</v>
      </c>
      <c r="AU189" s="215">
        <f t="shared" si="1466"/>
        <v>0</v>
      </c>
      <c r="AV189" s="215">
        <f t="shared" si="1467"/>
        <v>156.17388882108969</v>
      </c>
      <c r="AW189" s="215">
        <f t="shared" si="1468"/>
        <v>1717.6080000000002</v>
      </c>
      <c r="AX189" s="215">
        <f t="shared" si="1469"/>
        <v>635.75057214006722</v>
      </c>
      <c r="AY189" s="215">
        <f t="shared" si="1470"/>
        <v>0</v>
      </c>
      <c r="AZ189" s="215">
        <f t="shared" si="1471"/>
        <v>0</v>
      </c>
      <c r="BA189" s="215">
        <f t="shared" si="1472"/>
        <v>0</v>
      </c>
      <c r="BB189" s="215">
        <f t="shared" si="1473"/>
        <v>0</v>
      </c>
      <c r="BC189" s="215">
        <f t="shared" si="1474"/>
        <v>0</v>
      </c>
      <c r="BD189" s="215">
        <f t="shared" si="1475"/>
        <v>0</v>
      </c>
      <c r="BE189" s="215">
        <f t="shared" si="1476"/>
        <v>0</v>
      </c>
      <c r="BF189" s="215">
        <f t="shared" si="1477"/>
        <v>0</v>
      </c>
      <c r="BG189" s="215">
        <f t="shared" si="1478"/>
        <v>0</v>
      </c>
      <c r="BH189" s="215">
        <f t="shared" si="1479"/>
        <v>0</v>
      </c>
      <c r="BI189" s="215">
        <f t="shared" si="1480"/>
        <v>0</v>
      </c>
      <c r="BJ189" s="194"/>
      <c r="BK189" s="66">
        <v>9</v>
      </c>
      <c r="BL189" s="66">
        <v>2013</v>
      </c>
      <c r="BM189" s="215">
        <f t="shared" ref="BM189:BM199" si="1540">(AX188*pInt_InCare_Int_LTFU_2013plus_u)+(BM188*pInt_LTFU_2013plus_u)</f>
        <v>0</v>
      </c>
      <c r="BN189" s="219">
        <f t="shared" ref="BN189:BN199" si="1541">(AU188*pAsympt_LTFU_Int_LTFU_2013plus_u)+(BN188*pInt_LTFU_2013plus_u)</f>
        <v>0</v>
      </c>
      <c r="BO189" s="219">
        <f t="shared" ref="BO189:BO199" si="1542">(AY188*pInt_ART1_Int_LTFU_2013plus_u)+(BO188*pInt_LTFU_2013plus_u)</f>
        <v>0</v>
      </c>
      <c r="BP189" s="219">
        <f t="shared" ref="BP189:BP199" si="1543">(AZ188*pInt_ART2_Int_LTFU_2013plus_u)+(BP188*pInt_LTFU_2013plus_u)</f>
        <v>0</v>
      </c>
      <c r="BQ189" s="219">
        <f t="shared" ref="BQ189:BQ199" si="1544">(BD188*pAIDS_InCare_AIDS_LTFU_2013plus_u)+(BQ188*pAIDS_LTFU_2013plus_u)</f>
        <v>0</v>
      </c>
      <c r="BR189" s="220">
        <f t="shared" ref="BR189:BR199" si="1545">(BN188*pInt_LTFU_AIDS_LTFU_2013plus_u)+(BR188*pAIDS_LTFU_2013plus_u)</f>
        <v>0</v>
      </c>
      <c r="BS189" s="219">
        <f t="shared" ref="BS189:BS199" si="1546">(BM188*pInt_LTFU_AIDS_LTFU_2013plus_u)+(BS188*pAIDS_LTFU_2013plus_u)</f>
        <v>0</v>
      </c>
      <c r="BT189" s="219">
        <f t="shared" ref="BT189:BT199" si="1547">(BE188*pAIDS_ART1ear_AIDS_LTFU_2013plus_u)+(BT188*pAIDS_LTFU_2013plus_u)</f>
        <v>0</v>
      </c>
      <c r="BU189" s="219">
        <f t="shared" ref="BU189:BU199" si="1548">(BF188*pAIDS_ART1late_AIDS_LTFU_2013plus_u)+(BU188*pAIDS_LTFU_2013plus_u)</f>
        <v>0</v>
      </c>
      <c r="BV189" s="219">
        <f t="shared" ref="BV189:BV199" si="1549">(BO188*pInt_LTFU_AIDS_LTFU_2013plus_u)+(BV188*pAIDS_LTFU_2013plus_u)</f>
        <v>0</v>
      </c>
      <c r="BW189" s="219">
        <f t="shared" ref="BW189:BW199" si="1550">(BG188*pAIDS_ART2_AIDS_LTFU_2013plus_u)+(BW188*pAIDS_LTFU_2013plus_u)</f>
        <v>0</v>
      </c>
      <c r="BX189" s="220">
        <f t="shared" ref="BX189:BX199" si="1551">(BP188*pInt_LTFU_AIDS_LTFU_2013plus_u)+(BX188*pAIDS_LTFU_2013plus_u)</f>
        <v>0</v>
      </c>
      <c r="BY189" s="195"/>
      <c r="BZ189" s="192">
        <v>9</v>
      </c>
      <c r="CA189" s="66">
        <v>2013</v>
      </c>
      <c r="CB189" s="218">
        <f t="shared" ref="CB189:CB199" si="1552">pAsympt_NoCare_Asympt_Dead_2013plus_u*AS188</f>
        <v>156.17388882108969</v>
      </c>
      <c r="CC189" s="218">
        <f t="shared" ref="CC189:CC199" si="1553">pAsympt_InCare_Asympt_Dead_2013plus_u*AT188</f>
        <v>0</v>
      </c>
      <c r="CD189" s="73">
        <f t="shared" ref="CD189:CD199" si="1554">pAsympt_LTFU_Asympt_Dead_2013plus_u*AU188</f>
        <v>0</v>
      </c>
      <c r="CE189" s="73">
        <f t="shared" ref="CE189:CE199" si="1555">pInt_NoCare_Int_Dead_2013plus_u*AW188</f>
        <v>0</v>
      </c>
      <c r="CF189" s="73">
        <f t="shared" ref="CF189:CF199" si="1556">pInt_InCare_Int_Dead_2013plus_u*AX188</f>
        <v>0</v>
      </c>
      <c r="CG189" s="73">
        <f t="shared" ref="CG189:CG199" si="1557">pInt_ART1_Int_Dead_2013plus_u*AY188</f>
        <v>0</v>
      </c>
      <c r="CH189" s="73">
        <f t="shared" ref="CH189:CH199" si="1558">pInt_ART2_Int_Dead_2013plus_u*AZ188</f>
        <v>0</v>
      </c>
      <c r="CI189" s="73">
        <f t="shared" ref="CI189:CI199" si="1559">(BM188*pInt_LTFU_Int_Dead_2013plus_u)</f>
        <v>0</v>
      </c>
      <c r="CJ189" s="73">
        <f t="shared" ref="CJ189:CJ199" si="1560">(BN188*pInt_LTFU_Int_Dead_2013plus_u)</f>
        <v>0</v>
      </c>
      <c r="CK189" s="73">
        <f t="shared" ref="CK189:CK199" si="1561">(BO188*pInt_LTFU_Int_Dead_2013plus_u)</f>
        <v>0</v>
      </c>
      <c r="CL189" s="73">
        <f t="shared" ref="CL189:CL199" si="1562">(BP188*pInt_LTFU_Int_Dead_2013plus_u)</f>
        <v>0</v>
      </c>
      <c r="CM189" s="73">
        <f t="shared" ref="CM189:CM199" si="1563">pAIDS_NoCare_AIDS_Dead_2013plus_u*BC188</f>
        <v>0</v>
      </c>
      <c r="CN189" s="73">
        <f t="shared" ref="CN189:CN199" si="1564">pAIDS_InCare_AIDS_Dead_2013plus_u*BD188</f>
        <v>0</v>
      </c>
      <c r="CO189" s="73">
        <f t="shared" ref="CO189:CO199" si="1565">pAIDS_ART1ear_AIDS_Dead_2013plus_u*BE188</f>
        <v>0</v>
      </c>
      <c r="CP189" s="73">
        <f t="shared" ref="CP189:CP199" si="1566">pAIDS_ART1late_AIDS_Dead_2013plus_u*BF188</f>
        <v>0</v>
      </c>
      <c r="CQ189" s="73">
        <f t="shared" ref="CQ189:CQ199" si="1567">pAIDS_ART2_AIDS_Dead_2013plus_u*BG188</f>
        <v>0</v>
      </c>
      <c r="CR189" s="73">
        <f t="shared" ref="CR189:CR199" si="1568">(BQ188*pAIDS_LTFU_AIDS_Dead_2013plus_u)</f>
        <v>0</v>
      </c>
      <c r="CS189" s="73">
        <f t="shared" ref="CS189:CS199" si="1569">(BR188*pAIDS_LTFU_AIDS_Dead_2013plus_u)</f>
        <v>0</v>
      </c>
      <c r="CT189" s="73">
        <f t="shared" ref="CT189:CT199" si="1570">(BS188*pAIDS_LTFU_AIDS_Dead_2013plus_u)</f>
        <v>0</v>
      </c>
      <c r="CU189" s="73">
        <f t="shared" ref="CU189:CU199" si="1571">(BT188*pAIDS_LTFU_AIDS_Dead_2013plus_u)</f>
        <v>0</v>
      </c>
      <c r="CV189" s="73">
        <f t="shared" ref="CV189:CV199" si="1572">(BU188*pAIDS_LTFU_AIDS_Dead_2013plus_u)</f>
        <v>0</v>
      </c>
      <c r="CW189" s="73">
        <f t="shared" ref="CW189:CW199" si="1573">(BV188*pAIDS_LTFU_AIDS_Dead_2013plus_u)</f>
        <v>0</v>
      </c>
      <c r="CX189" s="73">
        <f t="shared" ref="CX189:CX199" si="1574">(BW188*pAIDS_LTFU_AIDS_Dead_2013plus_u)</f>
        <v>0</v>
      </c>
      <c r="CY189" s="73">
        <f t="shared" ref="CY189:CY199" si="1575">(BX188*pAIDS_LTFU_AIDS_Dead_2013plus_u)</f>
        <v>0</v>
      </c>
      <c r="CZ189" s="190"/>
      <c r="DA189" s="66">
        <v>2013</v>
      </c>
      <c r="DB189" s="218">
        <f t="shared" si="1481"/>
        <v>1271.5011442801344</v>
      </c>
      <c r="DC189" s="218">
        <f t="shared" si="1482"/>
        <v>8431.8661111789115</v>
      </c>
      <c r="DD189" s="73">
        <f t="shared" si="1483"/>
        <v>0</v>
      </c>
      <c r="DE189" s="73">
        <f t="shared" si="1484"/>
        <v>0</v>
      </c>
      <c r="DF189" s="73">
        <f t="shared" si="1485"/>
        <v>0</v>
      </c>
      <c r="DG189" s="73">
        <f t="shared" si="1486"/>
        <v>2353.3585721400673</v>
      </c>
      <c r="DH189" s="72">
        <f t="shared" si="1514"/>
        <v>0</v>
      </c>
      <c r="DI189" s="72" t="e">
        <f t="shared" si="1515"/>
        <v>#DIV/0!</v>
      </c>
      <c r="DJ189" s="73">
        <f>SUM(AV180:AV189,BB180:BB189,BI180:BI189)</f>
        <v>156.17388882108969</v>
      </c>
      <c r="DK189" s="73">
        <f>SUM(AV186:AV189,BB186:BB189,BI186:BI189)</f>
        <v>156.17388882108969</v>
      </c>
      <c r="DL189" s="190"/>
    </row>
    <row r="190" spans="1:120" x14ac:dyDescent="0.25">
      <c r="A190" s="190"/>
      <c r="B190" s="188">
        <v>2012</v>
      </c>
      <c r="C190" s="61" t="s">
        <v>327</v>
      </c>
      <c r="D190" s="169">
        <v>0</v>
      </c>
      <c r="E190" s="169">
        <v>0</v>
      </c>
      <c r="F190" s="169">
        <v>0</v>
      </c>
      <c r="G190" s="169">
        <v>0</v>
      </c>
      <c r="H190" s="169">
        <v>0</v>
      </c>
      <c r="I190" s="169">
        <v>0</v>
      </c>
      <c r="J190" s="169">
        <v>0</v>
      </c>
      <c r="K190" s="169">
        <v>0</v>
      </c>
      <c r="L190" s="169">
        <v>0</v>
      </c>
      <c r="M190" s="169">
        <v>0</v>
      </c>
      <c r="N190" s="172">
        <f>pAIDS_NoCare_2010_2012</f>
        <v>6.9057483924386043E-2</v>
      </c>
      <c r="O190" s="172">
        <f>pAIDS_NoCare_AIDS_InCare_2010_2012</f>
        <v>0.46884042112291341</v>
      </c>
      <c r="P190" s="170">
        <f>pAIDS_NoCare_AIDS_ART1ear_2010_2012</f>
        <v>5.1587356649849515E-2</v>
      </c>
      <c r="Q190" s="169">
        <v>0</v>
      </c>
      <c r="R190" s="169">
        <v>0</v>
      </c>
      <c r="S190" s="169">
        <v>0</v>
      </c>
      <c r="T190" s="170">
        <f>pAIDS_NoCare_AIDS_Dead_2010_2012</f>
        <v>0.41051473830285101</v>
      </c>
      <c r="U190" s="61">
        <f t="shared" si="1487"/>
        <v>0.99999999999999989</v>
      </c>
      <c r="V190" s="190"/>
      <c r="W190" s="66">
        <v>10</v>
      </c>
      <c r="X190" s="66">
        <v>2014</v>
      </c>
      <c r="Y190" s="70">
        <f t="shared" ref="Y190:Y199" si="1576">MMULT($Y189:$AO189,D$202:D$218)</f>
        <v>0.40165184630082018</v>
      </c>
      <c r="Z190" s="70">
        <f t="shared" si="1524"/>
        <v>7.9350132444030066E-2</v>
      </c>
      <c r="AA190" s="70">
        <f t="shared" si="1525"/>
        <v>2.2711269412095766E-2</v>
      </c>
      <c r="AB190" s="70">
        <f t="shared" si="1526"/>
        <v>1.2788092354875989E-2</v>
      </c>
      <c r="AC190" s="70">
        <f t="shared" si="1527"/>
        <v>0.22169301105858225</v>
      </c>
      <c r="AD190" s="70">
        <f t="shared" si="1528"/>
        <v>0.1017364552227743</v>
      </c>
      <c r="AE190" s="70">
        <f t="shared" si="1529"/>
        <v>1.2322340839651991E-2</v>
      </c>
      <c r="AF190" s="70">
        <f t="shared" si="1530"/>
        <v>0</v>
      </c>
      <c r="AG190" s="70">
        <f t="shared" si="1531"/>
        <v>1.3509635260084139E-2</v>
      </c>
      <c r="AH190" s="70">
        <f t="shared" si="1532"/>
        <v>7.5148512019901498E-3</v>
      </c>
      <c r="AI190" s="70">
        <f t="shared" si="1533"/>
        <v>0.06</v>
      </c>
      <c r="AJ190" s="70">
        <f t="shared" si="1534"/>
        <v>4.1948879784681731E-2</v>
      </c>
      <c r="AK190" s="70">
        <f t="shared" si="1535"/>
        <v>6.5884417073588351E-3</v>
      </c>
      <c r="AL190" s="70">
        <f t="shared" si="1536"/>
        <v>0</v>
      </c>
      <c r="AM190" s="70">
        <f t="shared" si="1537"/>
        <v>0</v>
      </c>
      <c r="AN190" s="70">
        <f t="shared" si="1538"/>
        <v>0</v>
      </c>
      <c r="AO190" s="70">
        <f t="shared" si="1539"/>
        <v>0</v>
      </c>
      <c r="AP190" s="190"/>
      <c r="AQ190" s="66">
        <v>10</v>
      </c>
      <c r="AR190" s="66">
        <v>2014</v>
      </c>
      <c r="AS190" s="215">
        <f t="shared" si="1464"/>
        <v>3449.4021221052963</v>
      </c>
      <c r="AT190" s="215">
        <f t="shared" si="1465"/>
        <v>681.46211143462801</v>
      </c>
      <c r="AU190" s="215">
        <f t="shared" si="1466"/>
        <v>195.04529016185495</v>
      </c>
      <c r="AV190" s="215">
        <f t="shared" si="1467"/>
        <v>109.8246486673692</v>
      </c>
      <c r="AW190" s="215">
        <f t="shared" si="1468"/>
        <v>1903.9084466915469</v>
      </c>
      <c r="AX190" s="215">
        <f t="shared" si="1469"/>
        <v>873.71674691139469</v>
      </c>
      <c r="AY190" s="215">
        <f t="shared" si="1470"/>
        <v>105.82475602456491</v>
      </c>
      <c r="AZ190" s="215">
        <f t="shared" si="1471"/>
        <v>0</v>
      </c>
      <c r="BA190" s="215">
        <f t="shared" si="1472"/>
        <v>116.021287999013</v>
      </c>
      <c r="BB190" s="215">
        <f t="shared" si="1473"/>
        <v>64.53784271673949</v>
      </c>
      <c r="BC190" s="215">
        <f t="shared" si="1474"/>
        <v>515.28240000000005</v>
      </c>
      <c r="BD190" s="215">
        <f t="shared" si="1475"/>
        <v>360.25865754603814</v>
      </c>
      <c r="BE190" s="215">
        <f t="shared" si="1476"/>
        <v>56.581800920465973</v>
      </c>
      <c r="BF190" s="215">
        <f t="shared" si="1477"/>
        <v>0</v>
      </c>
      <c r="BG190" s="215">
        <f t="shared" si="1478"/>
        <v>0</v>
      </c>
      <c r="BH190" s="215">
        <f t="shared" si="1479"/>
        <v>0</v>
      </c>
      <c r="BI190" s="215">
        <f t="shared" si="1480"/>
        <v>0</v>
      </c>
      <c r="BJ190" s="194"/>
      <c r="BK190" s="66">
        <v>10</v>
      </c>
      <c r="BL190" s="66">
        <v>2014</v>
      </c>
      <c r="BM190" s="215">
        <f t="shared" si="1540"/>
        <v>116.021287999013</v>
      </c>
      <c r="BN190" s="219">
        <f t="shared" si="1541"/>
        <v>0</v>
      </c>
      <c r="BO190" s="219">
        <f t="shared" si="1542"/>
        <v>0</v>
      </c>
      <c r="BP190" s="219">
        <f t="shared" si="1543"/>
        <v>0</v>
      </c>
      <c r="BQ190" s="219">
        <f t="shared" si="1544"/>
        <v>0</v>
      </c>
      <c r="BR190" s="220">
        <f t="shared" si="1545"/>
        <v>0</v>
      </c>
      <c r="BS190" s="219">
        <f t="shared" si="1546"/>
        <v>0</v>
      </c>
      <c r="BT190" s="219">
        <f t="shared" si="1547"/>
        <v>0</v>
      </c>
      <c r="BU190" s="219">
        <f t="shared" si="1548"/>
        <v>0</v>
      </c>
      <c r="BV190" s="219">
        <f t="shared" si="1549"/>
        <v>0</v>
      </c>
      <c r="BW190" s="219">
        <f t="shared" si="1550"/>
        <v>0</v>
      </c>
      <c r="BX190" s="220">
        <f t="shared" si="1551"/>
        <v>0</v>
      </c>
      <c r="BY190" s="195"/>
      <c r="BZ190" s="192">
        <v>10</v>
      </c>
      <c r="CA190" s="66">
        <v>2014</v>
      </c>
      <c r="CB190" s="218">
        <f t="shared" si="1552"/>
        <v>98.976777172516762</v>
      </c>
      <c r="CC190" s="218">
        <f t="shared" si="1553"/>
        <v>10.847871494852438</v>
      </c>
      <c r="CD190" s="73">
        <f t="shared" si="1554"/>
        <v>0</v>
      </c>
      <c r="CE190" s="73">
        <f t="shared" si="1555"/>
        <v>47.901574880172824</v>
      </c>
      <c r="CF190" s="73">
        <f t="shared" si="1556"/>
        <v>16.636267836566656</v>
      </c>
      <c r="CG190" s="73">
        <f t="shared" si="1557"/>
        <v>0</v>
      </c>
      <c r="CH190" s="73">
        <f t="shared" si="1558"/>
        <v>0</v>
      </c>
      <c r="CI190" s="73">
        <f t="shared" si="1559"/>
        <v>0</v>
      </c>
      <c r="CJ190" s="73">
        <f t="shared" si="1560"/>
        <v>0</v>
      </c>
      <c r="CK190" s="73">
        <f t="shared" si="1561"/>
        <v>0</v>
      </c>
      <c r="CL190" s="73">
        <f t="shared" si="1562"/>
        <v>0</v>
      </c>
      <c r="CM190" s="73">
        <f t="shared" si="1563"/>
        <v>0</v>
      </c>
      <c r="CN190" s="73">
        <f t="shared" si="1564"/>
        <v>0</v>
      </c>
      <c r="CO190" s="73">
        <f t="shared" si="1565"/>
        <v>0</v>
      </c>
      <c r="CP190" s="73">
        <f t="shared" si="1566"/>
        <v>0</v>
      </c>
      <c r="CQ190" s="73">
        <f t="shared" si="1567"/>
        <v>0</v>
      </c>
      <c r="CR190" s="73">
        <f t="shared" si="1568"/>
        <v>0</v>
      </c>
      <c r="CS190" s="73">
        <f t="shared" si="1569"/>
        <v>0</v>
      </c>
      <c r="CT190" s="73">
        <f t="shared" si="1570"/>
        <v>0</v>
      </c>
      <c r="CU190" s="73">
        <f t="shared" si="1571"/>
        <v>0</v>
      </c>
      <c r="CV190" s="73">
        <f t="shared" si="1572"/>
        <v>0</v>
      </c>
      <c r="CW190" s="73">
        <f t="shared" si="1573"/>
        <v>0</v>
      </c>
      <c r="CX190" s="73">
        <f t="shared" si="1574"/>
        <v>0</v>
      </c>
      <c r="CY190" s="73">
        <f t="shared" si="1575"/>
        <v>0</v>
      </c>
      <c r="CZ190" s="190"/>
      <c r="DA190" s="66">
        <v>2014</v>
      </c>
      <c r="DB190" s="218">
        <f t="shared" si="1481"/>
        <v>1915.4375158920609</v>
      </c>
      <c r="DC190" s="218">
        <f t="shared" si="1482"/>
        <v>8257.5036197948029</v>
      </c>
      <c r="DD190" s="73">
        <f t="shared" si="1483"/>
        <v>162.40655694503087</v>
      </c>
      <c r="DE190" s="73">
        <f t="shared" si="1484"/>
        <v>56.581800920465973</v>
      </c>
      <c r="DF190" s="73">
        <f t="shared" si="1485"/>
        <v>875.54105754603825</v>
      </c>
      <c r="DG190" s="73">
        <f t="shared" si="1486"/>
        <v>3769.187539147993</v>
      </c>
      <c r="DH190" s="72">
        <f t="shared" si="1514"/>
        <v>4.1308068171742478E-2</v>
      </c>
      <c r="DI190" s="72">
        <f t="shared" si="1515"/>
        <v>6.0702084930684311E-2</v>
      </c>
      <c r="DJ190" s="73">
        <f>SUM(AV180:AV190,BB180:BB190,BI180:BI190)</f>
        <v>330.53638020519838</v>
      </c>
      <c r="DK190" s="73">
        <f>SUM(AV186:AV190,BB186:BB190,BI186:BI190)</f>
        <v>330.53638020519838</v>
      </c>
      <c r="DL190" s="190"/>
    </row>
    <row r="191" spans="1:120" x14ac:dyDescent="0.25">
      <c r="A191" s="190"/>
      <c r="B191" s="188">
        <v>2012</v>
      </c>
      <c r="C191" s="61" t="s">
        <v>328</v>
      </c>
      <c r="D191" s="169">
        <v>0</v>
      </c>
      <c r="E191" s="169">
        <v>0</v>
      </c>
      <c r="F191" s="169">
        <v>0</v>
      </c>
      <c r="G191" s="169">
        <v>0</v>
      </c>
      <c r="H191" s="169">
        <v>0</v>
      </c>
      <c r="I191" s="169">
        <v>0</v>
      </c>
      <c r="J191" s="169">
        <v>0</v>
      </c>
      <c r="K191" s="169">
        <v>0</v>
      </c>
      <c r="L191" s="169">
        <v>0</v>
      </c>
      <c r="M191" s="169">
        <v>0</v>
      </c>
      <c r="N191" s="169">
        <v>0</v>
      </c>
      <c r="O191" s="172">
        <f>pAIDS_InCare_2012</f>
        <v>0.12310001975146179</v>
      </c>
      <c r="P191" s="172">
        <f>pAIDS_InCare_AIDS_ART1ear_2012</f>
        <v>0.43290702569058864</v>
      </c>
      <c r="Q191" s="169">
        <v>0</v>
      </c>
      <c r="R191" s="169">
        <v>0</v>
      </c>
      <c r="S191" s="170">
        <f>pAIDS_InCare_AIDS_LTFU_2004_2012</f>
        <v>5.8805476905872532E-2</v>
      </c>
      <c r="T191" s="170">
        <f>pAIDS_InCare_AIDS_Dead_2004_2012</f>
        <v>0.385187477652077</v>
      </c>
      <c r="U191" s="61">
        <f t="shared" si="1487"/>
        <v>1</v>
      </c>
      <c r="V191" s="190"/>
      <c r="W191" s="66">
        <v>11</v>
      </c>
      <c r="X191" s="66">
        <v>2015</v>
      </c>
      <c r="Y191" s="70">
        <f t="shared" si="1576"/>
        <v>0.25455090855673068</v>
      </c>
      <c r="Z191" s="70">
        <f t="shared" si="1524"/>
        <v>6.4499850078608451E-2</v>
      </c>
      <c r="AA191" s="70">
        <f t="shared" si="1525"/>
        <v>3.9118268432763954E-2</v>
      </c>
      <c r="AB191" s="70">
        <f t="shared" si="1526"/>
        <v>9.0710208405925634E-3</v>
      </c>
      <c r="AC191" s="70">
        <f t="shared" si="1527"/>
        <v>0.18556914332068541</v>
      </c>
      <c r="AD191" s="70">
        <f t="shared" si="1528"/>
        <v>9.5348753537974687E-2</v>
      </c>
      <c r="AE191" s="70">
        <f t="shared" si="1529"/>
        <v>3.3225173226078444E-2</v>
      </c>
      <c r="AF191" s="70">
        <f t="shared" si="1530"/>
        <v>2.4263437499190883E-3</v>
      </c>
      <c r="AG191" s="70">
        <f t="shared" si="1531"/>
        <v>2.8668531751787067E-2</v>
      </c>
      <c r="AH191" s="70">
        <f t="shared" si="1532"/>
        <v>9.2840050097176517E-3</v>
      </c>
      <c r="AI191" s="70">
        <f t="shared" si="1533"/>
        <v>7.0651352353037836E-2</v>
      </c>
      <c r="AJ191" s="70">
        <f t="shared" si="1534"/>
        <v>8.569708969366624E-2</v>
      </c>
      <c r="AK191" s="70">
        <f t="shared" si="1535"/>
        <v>3.0309750692456512E-2</v>
      </c>
      <c r="AL191" s="70">
        <f t="shared" si="1536"/>
        <v>5.4057491247627015E-3</v>
      </c>
      <c r="AM191" s="70">
        <f t="shared" si="1537"/>
        <v>0</v>
      </c>
      <c r="AN191" s="70">
        <f t="shared" si="1538"/>
        <v>5.9232001121558263E-3</v>
      </c>
      <c r="AO191" s="70">
        <f t="shared" si="1539"/>
        <v>4.1762871549142107E-2</v>
      </c>
      <c r="AP191" s="190"/>
      <c r="AQ191" s="66">
        <v>11</v>
      </c>
      <c r="AR191" s="66">
        <v>2015</v>
      </c>
      <c r="AS191" s="215">
        <f t="shared" si="1464"/>
        <v>2186.0933847215456</v>
      </c>
      <c r="AT191" s="215">
        <f t="shared" si="1465"/>
        <v>553.92729246909255</v>
      </c>
      <c r="AU191" s="215">
        <f t="shared" si="1466"/>
        <v>335.94925403131418</v>
      </c>
      <c r="AV191" s="215">
        <f t="shared" si="1467"/>
        <v>77.902289819842565</v>
      </c>
      <c r="AW191" s="215">
        <f t="shared" si="1468"/>
        <v>1593.6752256037794</v>
      </c>
      <c r="AX191" s="215">
        <f t="shared" si="1469"/>
        <v>818.85890933426822</v>
      </c>
      <c r="AY191" s="215">
        <f t="shared" si="1470"/>
        <v>285.33911667249077</v>
      </c>
      <c r="AZ191" s="215">
        <f t="shared" si="1471"/>
        <v>20.837537178055129</v>
      </c>
      <c r="BA191" s="215">
        <f t="shared" si="1472"/>
        <v>246.20649742561744</v>
      </c>
      <c r="BB191" s="215">
        <f t="shared" si="1473"/>
        <v>79.731406383655596</v>
      </c>
      <c r="BC191" s="215">
        <f t="shared" si="1474"/>
        <v>606.75664006198315</v>
      </c>
      <c r="BD191" s="215">
        <f t="shared" si="1475"/>
        <v>735.97003417279348</v>
      </c>
      <c r="BE191" s="215">
        <f t="shared" si="1476"/>
        <v>260.30135133684428</v>
      </c>
      <c r="BF191" s="215">
        <f t="shared" si="1477"/>
        <v>46.424789713427074</v>
      </c>
      <c r="BG191" s="215">
        <f t="shared" si="1478"/>
        <v>0</v>
      </c>
      <c r="BH191" s="215">
        <f t="shared" si="1479"/>
        <v>50.868679491198726</v>
      </c>
      <c r="BI191" s="215">
        <f t="shared" si="1480"/>
        <v>358.66121137889439</v>
      </c>
      <c r="BJ191" s="194"/>
      <c r="BK191" s="66">
        <v>11</v>
      </c>
      <c r="BL191" s="66">
        <v>2015</v>
      </c>
      <c r="BM191" s="215">
        <f t="shared" si="1540"/>
        <v>205.67509470161843</v>
      </c>
      <c r="BN191" s="219">
        <f t="shared" si="1541"/>
        <v>39.009058032370994</v>
      </c>
      <c r="BO191" s="219">
        <f t="shared" si="1542"/>
        <v>1.5223446916279959</v>
      </c>
      <c r="BP191" s="219">
        <f t="shared" si="1543"/>
        <v>0</v>
      </c>
      <c r="BQ191" s="219">
        <f t="shared" si="1544"/>
        <v>21.185182166464188</v>
      </c>
      <c r="BR191" s="220">
        <f t="shared" si="1545"/>
        <v>0</v>
      </c>
      <c r="BS191" s="219">
        <f t="shared" si="1546"/>
        <v>27.889554306043259</v>
      </c>
      <c r="BT191" s="219">
        <f t="shared" si="1547"/>
        <v>1.7939430186912875</v>
      </c>
      <c r="BU191" s="219">
        <f t="shared" si="1548"/>
        <v>0</v>
      </c>
      <c r="BV191" s="219">
        <f t="shared" si="1549"/>
        <v>0</v>
      </c>
      <c r="BW191" s="219">
        <f t="shared" si="1550"/>
        <v>0</v>
      </c>
      <c r="BX191" s="220">
        <f t="shared" si="1551"/>
        <v>0</v>
      </c>
      <c r="BY191" s="195"/>
      <c r="BZ191" s="192">
        <v>11</v>
      </c>
      <c r="CA191" s="66">
        <v>2015</v>
      </c>
      <c r="CB191" s="218">
        <f t="shared" si="1552"/>
        <v>62.727530788969702</v>
      </c>
      <c r="CC191" s="218">
        <f t="shared" si="1553"/>
        <v>11.627851766722399</v>
      </c>
      <c r="CD191" s="73">
        <f t="shared" si="1554"/>
        <v>3.5469072641504593</v>
      </c>
      <c r="CE191" s="73">
        <f t="shared" si="1555"/>
        <v>53.097221848168303</v>
      </c>
      <c r="CF191" s="73">
        <f t="shared" si="1556"/>
        <v>22.863346809083612</v>
      </c>
      <c r="CG191" s="73">
        <f t="shared" si="1557"/>
        <v>0.53517370132995767</v>
      </c>
      <c r="CH191" s="73">
        <f t="shared" si="1558"/>
        <v>0</v>
      </c>
      <c r="CI191" s="73">
        <f t="shared" si="1559"/>
        <v>3.2356640250737172</v>
      </c>
      <c r="CJ191" s="73">
        <f t="shared" si="1560"/>
        <v>0</v>
      </c>
      <c r="CK191" s="73">
        <f t="shared" si="1561"/>
        <v>0</v>
      </c>
      <c r="CL191" s="73">
        <f t="shared" si="1562"/>
        <v>0</v>
      </c>
      <c r="CM191" s="73">
        <f t="shared" si="1563"/>
        <v>211.53101958806502</v>
      </c>
      <c r="CN191" s="73">
        <f t="shared" si="1564"/>
        <v>138.76712360248183</v>
      </c>
      <c r="CO191" s="73">
        <f t="shared" si="1565"/>
        <v>8.3630681883476132</v>
      </c>
      <c r="CP191" s="73">
        <f t="shared" si="1566"/>
        <v>0</v>
      </c>
      <c r="CQ191" s="73">
        <f t="shared" si="1567"/>
        <v>0</v>
      </c>
      <c r="CR191" s="73">
        <f t="shared" si="1568"/>
        <v>0</v>
      </c>
      <c r="CS191" s="73">
        <f t="shared" si="1569"/>
        <v>0</v>
      </c>
      <c r="CT191" s="73">
        <f t="shared" si="1570"/>
        <v>0</v>
      </c>
      <c r="CU191" s="73">
        <f t="shared" si="1571"/>
        <v>0</v>
      </c>
      <c r="CV191" s="73">
        <f t="shared" si="1572"/>
        <v>0</v>
      </c>
      <c r="CW191" s="73">
        <f t="shared" si="1573"/>
        <v>0</v>
      </c>
      <c r="CX191" s="73">
        <f t="shared" si="1574"/>
        <v>0</v>
      </c>
      <c r="CY191" s="73">
        <f t="shared" si="1575"/>
        <v>0</v>
      </c>
      <c r="CZ191" s="190"/>
      <c r="DA191" s="66">
        <v>2015</v>
      </c>
      <c r="DB191" s="218">
        <f t="shared" si="1481"/>
        <v>2108.7562359761541</v>
      </c>
      <c r="DC191" s="218">
        <f t="shared" si="1482"/>
        <v>7741.2087122124094</v>
      </c>
      <c r="DD191" s="73">
        <f t="shared" si="1483"/>
        <v>612.9027949008173</v>
      </c>
      <c r="DE191" s="73">
        <f t="shared" si="1484"/>
        <v>306.72614105027134</v>
      </c>
      <c r="DF191" s="73">
        <f t="shared" si="1485"/>
        <v>1393.5953537259752</v>
      </c>
      <c r="DG191" s="73">
        <f t="shared" si="1486"/>
        <v>4052.3359860896398</v>
      </c>
      <c r="DH191" s="72">
        <f t="shared" si="1514"/>
        <v>0.13137651118699961</v>
      </c>
      <c r="DI191" s="72">
        <f t="shared" si="1515"/>
        <v>0.18039302684380573</v>
      </c>
      <c r="DJ191" s="73">
        <f>SUM(AV180:AV191,BB180:BB191,BI180:BI191)</f>
        <v>846.83128778759101</v>
      </c>
      <c r="DK191" s="73">
        <f>SUM(AV186:AV191,BB186:BB191,BI186:BI191)</f>
        <v>846.83128778759101</v>
      </c>
      <c r="DL191" s="190"/>
    </row>
    <row r="192" spans="1:120" x14ac:dyDescent="0.25">
      <c r="A192" s="190"/>
      <c r="B192" s="188">
        <v>2012</v>
      </c>
      <c r="C192" s="61" t="s">
        <v>329</v>
      </c>
      <c r="D192" s="169">
        <v>0</v>
      </c>
      <c r="E192" s="169">
        <v>0</v>
      </c>
      <c r="F192" s="169">
        <v>0</v>
      </c>
      <c r="G192" s="169">
        <v>0</v>
      </c>
      <c r="H192" s="169">
        <v>0</v>
      </c>
      <c r="I192" s="169">
        <v>0</v>
      </c>
      <c r="J192" s="169">
        <v>0</v>
      </c>
      <c r="K192" s="169">
        <v>0</v>
      </c>
      <c r="L192" s="169">
        <v>0</v>
      </c>
      <c r="M192" s="169">
        <v>0</v>
      </c>
      <c r="N192" s="169">
        <v>0</v>
      </c>
      <c r="O192" s="169">
        <v>0</v>
      </c>
      <c r="P192" s="169">
        <v>0</v>
      </c>
      <c r="Q192" s="172">
        <f>pAIDS_ART1ear_AIDS_ART1late_2004_2012</f>
        <v>0.82048978572958342</v>
      </c>
      <c r="R192" s="169">
        <v>0</v>
      </c>
      <c r="S192" s="170">
        <f>pAIDS_ART1ear_AIDS_LTFU_2004_2012</f>
        <v>3.1705300812410298E-2</v>
      </c>
      <c r="T192" s="170">
        <f>pAIDS_ART1ear_AIDS_Dead_2004_2012</f>
        <v>0.14780491345800628</v>
      </c>
      <c r="U192" s="61">
        <f t="shared" si="1487"/>
        <v>1</v>
      </c>
      <c r="V192" s="190"/>
      <c r="W192" s="66">
        <v>12</v>
      </c>
      <c r="X192" s="66">
        <v>2016</v>
      </c>
      <c r="Y192" s="70">
        <f t="shared" si="1576"/>
        <v>0.16132420563685768</v>
      </c>
      <c r="Z192" s="70">
        <f t="shared" si="1524"/>
        <v>4.71038184743756E-2</v>
      </c>
      <c r="AA192" s="70">
        <f t="shared" si="1525"/>
        <v>4.5235269776561449E-2</v>
      </c>
      <c r="AB192" s="70">
        <f t="shared" si="1526"/>
        <v>6.4409540029590553E-3</v>
      </c>
      <c r="AC192" s="70">
        <f t="shared" si="1527"/>
        <v>0.13900077623788976</v>
      </c>
      <c r="AD192" s="70">
        <f t="shared" si="1528"/>
        <v>7.6174180760404872E-2</v>
      </c>
      <c r="AE192" s="70">
        <f t="shared" si="1529"/>
        <v>5.6759597073604617E-2</v>
      </c>
      <c r="AF192" s="70">
        <f t="shared" si="1530"/>
        <v>7.5893612305730114E-3</v>
      </c>
      <c r="AG192" s="70">
        <f t="shared" si="1531"/>
        <v>3.7159545159019869E-2</v>
      </c>
      <c r="AH192" s="70">
        <f t="shared" si="1532"/>
        <v>8.6501493740506214E-3</v>
      </c>
      <c r="AI192" s="70">
        <f t="shared" si="1533"/>
        <v>6.0549747625561666E-2</v>
      </c>
      <c r="AJ192" s="70">
        <f t="shared" si="1534"/>
        <v>9.0594426191087832E-2</v>
      </c>
      <c r="AK192" s="70">
        <f t="shared" si="1535"/>
        <v>5.0485938529922988E-2</v>
      </c>
      <c r="AL192" s="70">
        <f t="shared" si="1536"/>
        <v>2.9911611370230826E-2</v>
      </c>
      <c r="AM192" s="70">
        <f t="shared" si="1537"/>
        <v>1.5413424508965083E-3</v>
      </c>
      <c r="AN192" s="70">
        <f t="shared" si="1538"/>
        <v>1.3809606340603651E-2</v>
      </c>
      <c r="AO192" s="70">
        <f t="shared" si="1539"/>
        <v>6.9063584396026889E-2</v>
      </c>
      <c r="AP192" s="190"/>
      <c r="AQ192" s="66">
        <v>12</v>
      </c>
      <c r="AR192" s="66">
        <v>2016</v>
      </c>
      <c r="AS192" s="215">
        <f t="shared" si="1464"/>
        <v>1385.4587309775593</v>
      </c>
      <c r="AT192" s="215">
        <f t="shared" si="1465"/>
        <v>404.52947721067665</v>
      </c>
      <c r="AU192" s="215">
        <f t="shared" si="1466"/>
        <v>388.48230625190081</v>
      </c>
      <c r="AV192" s="215">
        <f t="shared" si="1467"/>
        <v>55.315170615572491</v>
      </c>
      <c r="AW192" s="215">
        <f t="shared" si="1468"/>
        <v>1193.7442263620469</v>
      </c>
      <c r="AX192" s="215">
        <f t="shared" si="1469"/>
        <v>654.1869113375875</v>
      </c>
      <c r="AY192" s="215">
        <f t="shared" si="1470"/>
        <v>487.45369005199944</v>
      </c>
      <c r="AZ192" s="215">
        <f t="shared" si="1471"/>
        <v>65.177737822610254</v>
      </c>
      <c r="BA192" s="215">
        <f t="shared" si="1472"/>
        <v>319.12766020746903</v>
      </c>
      <c r="BB192" s="215">
        <f t="shared" si="1473"/>
        <v>74.2878288303217</v>
      </c>
      <c r="BC192" s="215">
        <f t="shared" si="1474"/>
        <v>520.00365459822865</v>
      </c>
      <c r="BD192" s="215">
        <f t="shared" si="1475"/>
        <v>778.02855590611</v>
      </c>
      <c r="BE192" s="215">
        <f t="shared" si="1476"/>
        <v>433.57525953251985</v>
      </c>
      <c r="BF192" s="215">
        <f t="shared" si="1477"/>
        <v>256.88211491199718</v>
      </c>
      <c r="BG192" s="215">
        <f t="shared" si="1478"/>
        <v>13.23711062199725</v>
      </c>
      <c r="BH192" s="215">
        <f t="shared" si="1479"/>
        <v>118.59745163735779</v>
      </c>
      <c r="BI192" s="215">
        <f t="shared" si="1480"/>
        <v>593.1208253364548</v>
      </c>
      <c r="BJ192" s="194"/>
      <c r="BK192" s="66">
        <v>12</v>
      </c>
      <c r="BL192" s="66">
        <v>2016</v>
      </c>
      <c r="BM192" s="215">
        <f t="shared" si="1540"/>
        <v>231.38443611982507</v>
      </c>
      <c r="BN192" s="219">
        <f t="shared" si="1541"/>
        <v>82.732166789984859</v>
      </c>
      <c r="BO192" s="219">
        <f t="shared" si="1542"/>
        <v>4.711298382058585</v>
      </c>
      <c r="BP192" s="219">
        <f t="shared" si="1543"/>
        <v>0.29975891560052059</v>
      </c>
      <c r="BQ192" s="219">
        <f t="shared" si="1544"/>
        <v>46.352726546685659</v>
      </c>
      <c r="BR192" s="220">
        <f t="shared" si="1545"/>
        <v>9.3771174340924315</v>
      </c>
      <c r="BS192" s="219">
        <f t="shared" si="1546"/>
        <v>53.487175587849435</v>
      </c>
      <c r="BT192" s="219">
        <f t="shared" si="1547"/>
        <v>8.5132073383481472</v>
      </c>
      <c r="BU192" s="219">
        <f t="shared" si="1548"/>
        <v>0.50127882785052602</v>
      </c>
      <c r="BV192" s="219">
        <f t="shared" si="1549"/>
        <v>0.36594590253158416</v>
      </c>
      <c r="BW192" s="219">
        <f t="shared" si="1550"/>
        <v>0</v>
      </c>
      <c r="BX192" s="220">
        <f t="shared" si="1551"/>
        <v>0</v>
      </c>
      <c r="BY192" s="195"/>
      <c r="BZ192" s="192">
        <v>12</v>
      </c>
      <c r="CA192" s="66">
        <v>2016</v>
      </c>
      <c r="CB192" s="218">
        <f t="shared" si="1552"/>
        <v>39.754205292246226</v>
      </c>
      <c r="CC192" s="218">
        <f t="shared" si="1553"/>
        <v>9.4517132182342465</v>
      </c>
      <c r="CD192" s="73">
        <f t="shared" si="1554"/>
        <v>6.1092521050920201</v>
      </c>
      <c r="CE192" s="73">
        <f t="shared" si="1555"/>
        <v>44.445271071126676</v>
      </c>
      <c r="CF192" s="73">
        <f t="shared" si="1556"/>
        <v>21.427831500311104</v>
      </c>
      <c r="CG192" s="73">
        <f t="shared" si="1557"/>
        <v>1.443008204700138</v>
      </c>
      <c r="CH192" s="73">
        <f t="shared" si="1558"/>
        <v>0.10537895211959421</v>
      </c>
      <c r="CI192" s="73">
        <f t="shared" si="1559"/>
        <v>5.7359775628875811</v>
      </c>
      <c r="CJ192" s="73">
        <f t="shared" si="1560"/>
        <v>1.0879055723672841</v>
      </c>
      <c r="CK192" s="73">
        <f t="shared" si="1561"/>
        <v>4.2455966809337199E-2</v>
      </c>
      <c r="CL192" s="73">
        <f t="shared" si="1562"/>
        <v>0</v>
      </c>
      <c r="CM192" s="73">
        <f t="shared" si="1563"/>
        <v>249.08254330856218</v>
      </c>
      <c r="CN192" s="73">
        <f t="shared" si="1564"/>
        <v>283.48644109053123</v>
      </c>
      <c r="CO192" s="73">
        <f t="shared" si="1565"/>
        <v>38.473818707344357</v>
      </c>
      <c r="CP192" s="73">
        <f t="shared" si="1566"/>
        <v>1.1956795808759493</v>
      </c>
      <c r="CQ192" s="73">
        <f t="shared" si="1567"/>
        <v>0</v>
      </c>
      <c r="CR192" s="73">
        <f t="shared" si="1568"/>
        <v>8.696829512964273</v>
      </c>
      <c r="CS192" s="73">
        <f t="shared" si="1569"/>
        <v>0</v>
      </c>
      <c r="CT192" s="73">
        <f t="shared" si="1570"/>
        <v>11.4490730873285</v>
      </c>
      <c r="CU192" s="73">
        <f t="shared" si="1571"/>
        <v>0.7364400488482804</v>
      </c>
      <c r="CV192" s="73">
        <f t="shared" si="1572"/>
        <v>0</v>
      </c>
      <c r="CW192" s="73">
        <f t="shared" si="1573"/>
        <v>0</v>
      </c>
      <c r="CX192" s="73">
        <f t="shared" si="1574"/>
        <v>0</v>
      </c>
      <c r="CY192" s="73">
        <f t="shared" si="1575"/>
        <v>0</v>
      </c>
      <c r="CZ192" s="190"/>
      <c r="DA192" s="66">
        <v>2016</v>
      </c>
      <c r="DB192" s="218">
        <f t="shared" si="1481"/>
        <v>1836.744944454374</v>
      </c>
      <c r="DC192" s="218">
        <f t="shared" si="1482"/>
        <v>7018.4848874300624</v>
      </c>
      <c r="DD192" s="73">
        <f t="shared" si="1483"/>
        <v>1256.325912941124</v>
      </c>
      <c r="DE192" s="73">
        <f t="shared" si="1484"/>
        <v>703.69448506651418</v>
      </c>
      <c r="DF192" s="73">
        <f t="shared" si="1485"/>
        <v>1416.6296621416966</v>
      </c>
      <c r="DG192" s="73">
        <f t="shared" si="1486"/>
        <v>3583.6884600488002</v>
      </c>
      <c r="DH192" s="72">
        <f t="shared" si="1514"/>
        <v>0.25957069878803424</v>
      </c>
      <c r="DI192" s="72">
        <f t="shared" si="1515"/>
        <v>0.33188061645812733</v>
      </c>
      <c r="DJ192" s="73">
        <f>SUM(AV180:AV192,BB180:BB192,BI180:BI192)</f>
        <v>1569.5551125699399</v>
      </c>
      <c r="DK192" s="73">
        <f>SUM(AV186:AV192,BB186:BB192,BI186:BI192)</f>
        <v>1569.5551125699399</v>
      </c>
      <c r="DL192" s="190"/>
    </row>
    <row r="193" spans="1:120" x14ac:dyDescent="0.25">
      <c r="A193" s="190"/>
      <c r="B193" s="188">
        <v>2012</v>
      </c>
      <c r="C193" s="61" t="s">
        <v>330</v>
      </c>
      <c r="D193" s="169">
        <v>0</v>
      </c>
      <c r="E193" s="169">
        <v>0</v>
      </c>
      <c r="F193" s="169">
        <v>0</v>
      </c>
      <c r="G193" s="169">
        <v>0</v>
      </c>
      <c r="H193" s="169">
        <v>0</v>
      </c>
      <c r="I193" s="169">
        <v>0</v>
      </c>
      <c r="J193" s="169">
        <v>0</v>
      </c>
      <c r="K193" s="169">
        <v>0</v>
      </c>
      <c r="L193" s="169">
        <v>0</v>
      </c>
      <c r="M193" s="169">
        <v>0</v>
      </c>
      <c r="N193" s="169">
        <v>0</v>
      </c>
      <c r="O193" s="169">
        <v>0</v>
      </c>
      <c r="P193" s="169">
        <v>0</v>
      </c>
      <c r="Q193" s="172">
        <f>pAIDS_ART1late_2004_2012</f>
        <v>0.93285322767942069</v>
      </c>
      <c r="R193" s="170">
        <f>pAIDS_ART1late_AIDS_ART2_2004_2012</f>
        <v>3.0593921587134254E-2</v>
      </c>
      <c r="S193" s="170">
        <f>pAIDS_ART1late_AIDS_LTFU_2004_2012</f>
        <v>1.0797654247759469E-2</v>
      </c>
      <c r="T193" s="170">
        <f>pAIDS_ART1late_AIDS_Dead_2004_2012</f>
        <v>2.5755196485685583E-2</v>
      </c>
      <c r="U193" s="61">
        <f t="shared" si="1487"/>
        <v>1</v>
      </c>
      <c r="V193" s="190"/>
      <c r="W193" s="66">
        <v>13</v>
      </c>
      <c r="X193" s="66">
        <v>2017</v>
      </c>
      <c r="Y193" s="70">
        <f t="shared" si="1576"/>
        <v>0.10224084239936213</v>
      </c>
      <c r="Z193" s="70">
        <f t="shared" si="1524"/>
        <v>3.2580559631701374E-2</v>
      </c>
      <c r="AA193" s="70">
        <f t="shared" si="1525"/>
        <v>4.3877449826514398E-2</v>
      </c>
      <c r="AB193" s="70">
        <f t="shared" si="1526"/>
        <v>4.5600300961105844E-3</v>
      </c>
      <c r="AC193" s="70">
        <f t="shared" si="1527"/>
        <v>9.8249200376616691E-2</v>
      </c>
      <c r="AD193" s="70">
        <f t="shared" si="1528"/>
        <v>5.594564639296358E-2</v>
      </c>
      <c r="AE193" s="70">
        <f t="shared" si="1529"/>
        <v>7.8683751021691631E-2</v>
      </c>
      <c r="AF193" s="70">
        <f t="shared" si="1530"/>
        <v>1.431376414662134E-2</v>
      </c>
      <c r="AG193" s="70">
        <f t="shared" si="1531"/>
        <v>3.8679570672292926E-2</v>
      </c>
      <c r="AH193" s="70">
        <f t="shared" si="1532"/>
        <v>7.2315968732316049E-3</v>
      </c>
      <c r="AI193" s="70">
        <f t="shared" si="1533"/>
        <v>4.588164609464479E-2</v>
      </c>
      <c r="AJ193" s="70">
        <f t="shared" si="1534"/>
        <v>7.6112426945225728E-2</v>
      </c>
      <c r="AK193" s="70">
        <f t="shared" si="1535"/>
        <v>5.2051084604865697E-2</v>
      </c>
      <c r="AL193" s="70">
        <f t="shared" si="1536"/>
        <v>6.9326340098585723E-2</v>
      </c>
      <c r="AM193" s="70">
        <f t="shared" si="1537"/>
        <v>5.4769104364028025E-3</v>
      </c>
      <c r="AN193" s="70">
        <f t="shared" si="1538"/>
        <v>1.8229495521526532E-2</v>
      </c>
      <c r="AO193" s="70">
        <f t="shared" si="1539"/>
        <v>7.3799111719232813E-2</v>
      </c>
      <c r="AP193" s="190"/>
      <c r="AQ193" s="66">
        <v>13</v>
      </c>
      <c r="AR193" s="66">
        <v>2017</v>
      </c>
      <c r="AS193" s="215">
        <f t="shared" si="1464"/>
        <v>878.04844415941795</v>
      </c>
      <c r="AT193" s="215">
        <f t="shared" si="1465"/>
        <v>279.80314933943669</v>
      </c>
      <c r="AU193" s="215">
        <f t="shared" si="1466"/>
        <v>376.82129420809872</v>
      </c>
      <c r="AV193" s="215">
        <f t="shared" si="1467"/>
        <v>39.161720866601549</v>
      </c>
      <c r="AW193" s="215">
        <f t="shared" si="1468"/>
        <v>843.7680628023993</v>
      </c>
      <c r="AX193" s="215">
        <f t="shared" si="1469"/>
        <v>480.46344904862701</v>
      </c>
      <c r="AY193" s="215">
        <f t="shared" si="1470"/>
        <v>675.7392011243287</v>
      </c>
      <c r="AZ193" s="215">
        <f t="shared" si="1471"/>
        <v>122.92717904174994</v>
      </c>
      <c r="BA193" s="215">
        <f t="shared" si="1472"/>
        <v>332.18170011647857</v>
      </c>
      <c r="BB193" s="215">
        <f t="shared" si="1473"/>
        <v>62.105243211187961</v>
      </c>
      <c r="BC193" s="215">
        <f t="shared" si="1474"/>
        <v>394.03341192665329</v>
      </c>
      <c r="BD193" s="215">
        <f t="shared" si="1475"/>
        <v>653.65656710267638</v>
      </c>
      <c r="BE193" s="215">
        <f t="shared" si="1476"/>
        <v>447.01679662997083</v>
      </c>
      <c r="BF193" s="215">
        <f t="shared" si="1477"/>
        <v>595.37738182025817</v>
      </c>
      <c r="BG193" s="215">
        <f t="shared" si="1478"/>
        <v>47.035925904244728</v>
      </c>
      <c r="BH193" s="215">
        <f t="shared" si="1479"/>
        <v>156.55563671869072</v>
      </c>
      <c r="BI193" s="215">
        <f t="shared" si="1480"/>
        <v>633.7897234092402</v>
      </c>
      <c r="BJ193" s="194"/>
      <c r="BK193" s="66">
        <v>13</v>
      </c>
      <c r="BL193" s="66">
        <v>2017</v>
      </c>
      <c r="BM193" s="215">
        <f t="shared" si="1540"/>
        <v>211.57595450064349</v>
      </c>
      <c r="BN193" s="219">
        <f t="shared" si="1541"/>
        <v>110.65930483406522</v>
      </c>
      <c r="BO193" s="219">
        <f t="shared" si="1542"/>
        <v>8.889392333092097</v>
      </c>
      <c r="BP193" s="219">
        <f t="shared" si="1543"/>
        <v>1.0570484486777949</v>
      </c>
      <c r="BQ193" s="219">
        <f t="shared" si="1544"/>
        <v>52.477437737848376</v>
      </c>
      <c r="BR193" s="220">
        <f t="shared" si="1545"/>
        <v>21.24789442757919</v>
      </c>
      <c r="BS193" s="219">
        <f t="shared" si="1546"/>
        <v>63.381103790109165</v>
      </c>
      <c r="BT193" s="219">
        <f t="shared" si="1547"/>
        <v>14.981774942863737</v>
      </c>
      <c r="BU193" s="219">
        <f t="shared" si="1548"/>
        <v>2.8464524291748958</v>
      </c>
      <c r="BV193" s="219">
        <f t="shared" si="1549"/>
        <v>1.1856097628139688</v>
      </c>
      <c r="BW193" s="219">
        <f t="shared" si="1550"/>
        <v>0.36330665755449837</v>
      </c>
      <c r="BX193" s="220">
        <f t="shared" si="1551"/>
        <v>7.2056970746889798E-2</v>
      </c>
      <c r="BY193" s="195"/>
      <c r="BZ193" s="192">
        <v>13</v>
      </c>
      <c r="CA193" s="66">
        <v>2017</v>
      </c>
      <c r="CB193" s="218">
        <f t="shared" si="1552"/>
        <v>25.194628555281223</v>
      </c>
      <c r="CC193" s="218">
        <f t="shared" si="1553"/>
        <v>6.9025243184436187</v>
      </c>
      <c r="CD193" s="73">
        <f t="shared" si="1554"/>
        <v>7.0645679928767064</v>
      </c>
      <c r="CE193" s="73">
        <f t="shared" si="1555"/>
        <v>33.291780456807118</v>
      </c>
      <c r="CF193" s="73">
        <f t="shared" si="1556"/>
        <v>17.118708419802445</v>
      </c>
      <c r="CG193" s="73">
        <f t="shared" si="1557"/>
        <v>2.4651358087848432</v>
      </c>
      <c r="CH193" s="73">
        <f t="shared" si="1558"/>
        <v>0.32961485105378319</v>
      </c>
      <c r="CI193" s="73">
        <f t="shared" si="1559"/>
        <v>6.4529734915652259</v>
      </c>
      <c r="CJ193" s="73">
        <f t="shared" si="1560"/>
        <v>2.307279124508856</v>
      </c>
      <c r="CK193" s="73">
        <f t="shared" si="1561"/>
        <v>0.13139122094856123</v>
      </c>
      <c r="CL193" s="73">
        <f t="shared" si="1562"/>
        <v>8.3598377171262249E-3</v>
      </c>
      <c r="CM193" s="73">
        <f t="shared" si="1563"/>
        <v>213.46916418391797</v>
      </c>
      <c r="CN193" s="73">
        <f t="shared" si="1564"/>
        <v>299.68685699076246</v>
      </c>
      <c r="CO193" s="73">
        <f t="shared" si="1565"/>
        <v>64.084553712736707</v>
      </c>
      <c r="CP193" s="73">
        <f t="shared" si="1566"/>
        <v>6.6160493432169503</v>
      </c>
      <c r="CQ193" s="73">
        <f t="shared" si="1567"/>
        <v>1.2470973563110965</v>
      </c>
      <c r="CR193" s="73">
        <f t="shared" si="1568"/>
        <v>19.028477407936279</v>
      </c>
      <c r="CS193" s="73">
        <f t="shared" si="1569"/>
        <v>3.8494449094915564</v>
      </c>
      <c r="CT193" s="73">
        <f t="shared" si="1570"/>
        <v>21.957273889004654</v>
      </c>
      <c r="CU193" s="73">
        <f t="shared" si="1571"/>
        <v>3.4947970826199004</v>
      </c>
      <c r="CV193" s="73">
        <f t="shared" si="1572"/>
        <v>0.20578234683181859</v>
      </c>
      <c r="CW193" s="73">
        <f t="shared" si="1573"/>
        <v>0.15022618641075389</v>
      </c>
      <c r="CX193" s="73">
        <f t="shared" si="1574"/>
        <v>0</v>
      </c>
      <c r="CY193" s="73">
        <f t="shared" si="1575"/>
        <v>0</v>
      </c>
      <c r="CZ193" s="190"/>
      <c r="DA193" s="66">
        <v>2017</v>
      </c>
      <c r="DB193" s="218">
        <f t="shared" si="1481"/>
        <v>1413.9231654907401</v>
      </c>
      <c r="DC193" s="218">
        <f t="shared" si="1482"/>
        <v>6283.4281999430304</v>
      </c>
      <c r="DD193" s="73">
        <f t="shared" si="1483"/>
        <v>1888.0964845205522</v>
      </c>
      <c r="DE193" s="73">
        <f t="shared" si="1484"/>
        <v>1089.4301043544738</v>
      </c>
      <c r="DF193" s="73">
        <f t="shared" si="1485"/>
        <v>1204.2456157480203</v>
      </c>
      <c r="DG193" s="73">
        <f t="shared" si="1486"/>
        <v>2860.6588277155251</v>
      </c>
      <c r="DH193" s="72">
        <f t="shared" si="1514"/>
        <v>0.39759818318191931</v>
      </c>
      <c r="DI193" s="72">
        <f t="shared" si="1515"/>
        <v>0.47497128508898029</v>
      </c>
      <c r="DJ193" s="73">
        <f>SUM(AV180:AV193,BB180:BB193,BI180:BI193)</f>
        <v>2304.6118000569695</v>
      </c>
      <c r="DK193" s="73">
        <f>SUM(AV186:AV193,BB186:BB193,BI186:BI193)</f>
        <v>2304.6118000569695</v>
      </c>
      <c r="DL193" s="190"/>
    </row>
    <row r="194" spans="1:120" x14ac:dyDescent="0.25">
      <c r="A194" s="190"/>
      <c r="B194" s="188">
        <v>2012</v>
      </c>
      <c r="C194" s="61" t="s">
        <v>331</v>
      </c>
      <c r="D194" s="169">
        <v>0</v>
      </c>
      <c r="E194" s="169">
        <v>0</v>
      </c>
      <c r="F194" s="169">
        <v>0</v>
      </c>
      <c r="G194" s="169">
        <v>0</v>
      </c>
      <c r="H194" s="169">
        <v>0</v>
      </c>
      <c r="I194" s="169">
        <v>0</v>
      </c>
      <c r="J194" s="169">
        <v>0</v>
      </c>
      <c r="K194" s="169">
        <v>0</v>
      </c>
      <c r="L194" s="169">
        <v>0</v>
      </c>
      <c r="M194" s="169">
        <v>0</v>
      </c>
      <c r="N194" s="169">
        <v>0</v>
      </c>
      <c r="O194" s="169">
        <v>0</v>
      </c>
      <c r="P194" s="169">
        <v>0</v>
      </c>
      <c r="Q194" s="169">
        <v>0</v>
      </c>
      <c r="R194" s="172">
        <f>pAIDS_ART2_2004_2012</f>
        <v>0.87834172729587623</v>
      </c>
      <c r="S194" s="170">
        <f>pAIDS_ART2_AIDS_LTFU_2004_2012</f>
        <v>2.7446069457994882E-2</v>
      </c>
      <c r="T194" s="171">
        <f>pAIDS_ART2_AIDS_Dead_2004_2012</f>
        <v>9.4212203246128889E-2</v>
      </c>
      <c r="U194" s="61">
        <f t="shared" si="1487"/>
        <v>1</v>
      </c>
      <c r="V194" s="190"/>
      <c r="W194" s="66">
        <v>14</v>
      </c>
      <c r="X194" s="66">
        <v>2018</v>
      </c>
      <c r="Y194" s="70">
        <f t="shared" si="1576"/>
        <v>6.4796165047057069E-2</v>
      </c>
      <c r="Z194" s="70">
        <f t="shared" si="1524"/>
        <v>2.1843525905788905E-2</v>
      </c>
      <c r="AA194" s="70">
        <f t="shared" si="1525"/>
        <v>3.8538500027702011E-2</v>
      </c>
      <c r="AB194" s="70">
        <f t="shared" si="1526"/>
        <v>3.2130927710022853E-3</v>
      </c>
      <c r="AC194" s="70">
        <f t="shared" si="1527"/>
        <v>6.708755215141908E-2</v>
      </c>
      <c r="AD194" s="70">
        <f t="shared" si="1528"/>
        <v>3.9104686877750108E-2</v>
      </c>
      <c r="AE194" s="70">
        <f t="shared" si="1529"/>
        <v>9.6908713206105154E-2</v>
      </c>
      <c r="AF194" s="70">
        <f t="shared" si="1530"/>
        <v>2.1358327752981344E-2</v>
      </c>
      <c r="AG194" s="70">
        <f t="shared" si="1531"/>
        <v>3.573414655183127E-2</v>
      </c>
      <c r="AH194" s="70">
        <f t="shared" si="1532"/>
        <v>5.7530283195878947E-3</v>
      </c>
      <c r="AI194" s="70">
        <f t="shared" si="1533"/>
        <v>3.2643231150590313E-2</v>
      </c>
      <c r="AJ194" s="70">
        <f t="shared" si="1534"/>
        <v>5.7361820503332731E-2</v>
      </c>
      <c r="AK194" s="70">
        <f t="shared" si="1535"/>
        <v>4.4162155736806041E-2</v>
      </c>
      <c r="AL194" s="70">
        <f t="shared" si="1536"/>
        <v>0.10737868337860562</v>
      </c>
      <c r="AM194" s="70">
        <f t="shared" si="1537"/>
        <v>1.1166275395504594E-2</v>
      </c>
      <c r="AN194" s="70">
        <f t="shared" si="1538"/>
        <v>1.8967749751596541E-2</v>
      </c>
      <c r="AO194" s="70">
        <f t="shared" si="1539"/>
        <v>6.5631033641354378E-2</v>
      </c>
      <c r="AP194" s="190"/>
      <c r="AQ194" s="66">
        <v>14</v>
      </c>
      <c r="AR194" s="66">
        <v>2018</v>
      </c>
      <c r="AS194" s="215">
        <f t="shared" si="1464"/>
        <v>556.4720572707281</v>
      </c>
      <c r="AT194" s="215">
        <f t="shared" si="1465"/>
        <v>187.59307421995138</v>
      </c>
      <c r="AU194" s="215">
        <f t="shared" si="1466"/>
        <v>330.97017977790603</v>
      </c>
      <c r="AV194" s="215">
        <f t="shared" si="1467"/>
        <v>27.594169241078468</v>
      </c>
      <c r="AW194" s="215">
        <f t="shared" si="1468"/>
        <v>576.15058137847313</v>
      </c>
      <c r="AX194" s="215">
        <f t="shared" si="1469"/>
        <v>335.83261509359306</v>
      </c>
      <c r="AY194" s="215">
        <f t="shared" si="1470"/>
        <v>832.25590536255936</v>
      </c>
      <c r="AZ194" s="215">
        <f t="shared" si="1471"/>
        <v>183.4261730757139</v>
      </c>
      <c r="BA194" s="215">
        <f t="shared" si="1472"/>
        <v>306.88627995298907</v>
      </c>
      <c r="BB194" s="215">
        <f t="shared" si="1473"/>
        <v>49.407237329753627</v>
      </c>
      <c r="BC194" s="215">
        <f t="shared" si="1474"/>
        <v>280.34137485051565</v>
      </c>
      <c r="BD194" s="215">
        <f t="shared" si="1475"/>
        <v>492.62560895544169</v>
      </c>
      <c r="BE194" s="215">
        <f t="shared" si="1476"/>
        <v>379.26635995391979</v>
      </c>
      <c r="BF194" s="215">
        <f t="shared" si="1477"/>
        <v>922.1724280028003</v>
      </c>
      <c r="BG194" s="215">
        <f t="shared" si="1478"/>
        <v>95.896419747609286</v>
      </c>
      <c r="BH194" s="215">
        <f t="shared" si="1479"/>
        <v>162.89579357670118</v>
      </c>
      <c r="BI194" s="215">
        <f t="shared" si="1480"/>
        <v>563.64194215329712</v>
      </c>
      <c r="BJ194" s="194"/>
      <c r="BK194" s="66">
        <v>14</v>
      </c>
      <c r="BL194" s="66">
        <v>2018</v>
      </c>
      <c r="BM194" s="215">
        <f t="shared" si="1540"/>
        <v>171.98003337414139</v>
      </c>
      <c r="BN194" s="219">
        <f t="shared" si="1541"/>
        <v>119.45406692780395</v>
      </c>
      <c r="BO194" s="219">
        <f t="shared" si="1542"/>
        <v>13.262649516553754</v>
      </c>
      <c r="BP194" s="219">
        <f t="shared" si="1543"/>
        <v>2.1895301344899436</v>
      </c>
      <c r="BQ194" s="219">
        <f t="shared" si="1544"/>
        <v>46.05228894851993</v>
      </c>
      <c r="BR194" s="220">
        <f t="shared" si="1545"/>
        <v>29.683380612978709</v>
      </c>
      <c r="BS194" s="219">
        <f t="shared" si="1546"/>
        <v>60.054943173270004</v>
      </c>
      <c r="BT194" s="219">
        <f t="shared" si="1547"/>
        <v>16.346436743626438</v>
      </c>
      <c r="BU194" s="219">
        <f t="shared" si="1548"/>
        <v>6.8416574114267474</v>
      </c>
      <c r="BV194" s="219">
        <f t="shared" si="1549"/>
        <v>2.3088739920085377</v>
      </c>
      <c r="BW194" s="219">
        <f t="shared" si="1550"/>
        <v>1.3436617308766126</v>
      </c>
      <c r="BX194" s="220">
        <f t="shared" si="1551"/>
        <v>0.2645509639942053</v>
      </c>
      <c r="BY194" s="195"/>
      <c r="BZ194" s="192">
        <v>14</v>
      </c>
      <c r="CA194" s="66">
        <v>2018</v>
      </c>
      <c r="CB194" s="218">
        <f t="shared" si="1552"/>
        <v>15.967349953852533</v>
      </c>
      <c r="CC194" s="218">
        <f t="shared" si="1553"/>
        <v>4.7743073162669383</v>
      </c>
      <c r="CD194" s="73">
        <f t="shared" si="1554"/>
        <v>6.8525119709590001</v>
      </c>
      <c r="CE194" s="73">
        <f t="shared" si="1555"/>
        <v>23.531457143788042</v>
      </c>
      <c r="CF194" s="73">
        <f t="shared" si="1556"/>
        <v>12.572727378202861</v>
      </c>
      <c r="CG194" s="73">
        <f t="shared" si="1557"/>
        <v>3.4173275043082487</v>
      </c>
      <c r="CH194" s="73">
        <f t="shared" si="1558"/>
        <v>0.6216635489955924</v>
      </c>
      <c r="CI194" s="73">
        <f t="shared" si="1559"/>
        <v>5.900543911856845</v>
      </c>
      <c r="CJ194" s="73">
        <f t="shared" si="1560"/>
        <v>3.0861261572470817</v>
      </c>
      <c r="CK194" s="73">
        <f t="shared" si="1561"/>
        <v>0.24791215020123641</v>
      </c>
      <c r="CL194" s="73">
        <f t="shared" si="1562"/>
        <v>2.9479535153719538E-2</v>
      </c>
      <c r="CM194" s="73">
        <f t="shared" si="1563"/>
        <v>161.75652297964956</v>
      </c>
      <c r="CN194" s="73">
        <f t="shared" si="1564"/>
        <v>251.78032433299552</v>
      </c>
      <c r="CO194" s="73">
        <f t="shared" si="1565"/>
        <v>66.071278940168028</v>
      </c>
      <c r="CP194" s="73">
        <f t="shared" si="1566"/>
        <v>15.334061451913797</v>
      </c>
      <c r="CQ194" s="73">
        <f t="shared" si="1567"/>
        <v>4.4313582111605632</v>
      </c>
      <c r="CR194" s="73">
        <f t="shared" si="1568"/>
        <v>21.542761619756984</v>
      </c>
      <c r="CS194" s="73">
        <f t="shared" si="1569"/>
        <v>8.7225738204242784</v>
      </c>
      <c r="CT194" s="73">
        <f t="shared" si="1570"/>
        <v>26.018877235742501</v>
      </c>
      <c r="CU194" s="73">
        <f t="shared" si="1571"/>
        <v>6.1502394199819177</v>
      </c>
      <c r="CV194" s="73">
        <f t="shared" si="1572"/>
        <v>1.168510674054247</v>
      </c>
      <c r="CW194" s="73">
        <f t="shared" si="1573"/>
        <v>0.48671028151088164</v>
      </c>
      <c r="CX194" s="73">
        <f t="shared" si="1574"/>
        <v>0.14914273744966841</v>
      </c>
      <c r="CY194" s="73">
        <f t="shared" si="1575"/>
        <v>2.9580448489055656E-2</v>
      </c>
      <c r="CZ194" s="190"/>
      <c r="DA194" s="66">
        <v>2018</v>
      </c>
      <c r="DB194" s="218">
        <f t="shared" si="1481"/>
        <v>1016.0512982689861</v>
      </c>
      <c r="DC194" s="218">
        <f t="shared" si="1482"/>
        <v>5642.7848512189021</v>
      </c>
      <c r="DD194" s="73">
        <f t="shared" si="1483"/>
        <v>2413.0172861426026</v>
      </c>
      <c r="DE194" s="73">
        <f t="shared" si="1484"/>
        <v>1397.3352077043294</v>
      </c>
      <c r="DF194" s="73">
        <f t="shared" si="1485"/>
        <v>935.86277738265858</v>
      </c>
      <c r="DG194" s="73">
        <f t="shared" si="1486"/>
        <v>2154.7322538077142</v>
      </c>
      <c r="DH194" s="72">
        <f t="shared" si="1514"/>
        <v>0.52827267892819907</v>
      </c>
      <c r="DI194" s="72">
        <f t="shared" si="1515"/>
        <v>0.5988926857624699</v>
      </c>
      <c r="DJ194" s="73">
        <f>SUM(AV180:AV194,BB180:BB194,BI180:BI194)</f>
        <v>2945.2551487810988</v>
      </c>
      <c r="DK194" s="73">
        <f>SUM(AV186:AV194,BB186:BB194,BI186:BI194)</f>
        <v>2945.2551487810988</v>
      </c>
      <c r="DL194" s="190"/>
    </row>
    <row r="195" spans="1:120" x14ac:dyDescent="0.25">
      <c r="A195" s="190"/>
      <c r="B195" s="188">
        <v>2012</v>
      </c>
      <c r="C195" s="61" t="s">
        <v>332</v>
      </c>
      <c r="D195" s="169">
        <v>0</v>
      </c>
      <c r="E195" s="169">
        <v>0</v>
      </c>
      <c r="F195" s="169">
        <v>0</v>
      </c>
      <c r="G195" s="169">
        <v>0</v>
      </c>
      <c r="H195" s="169">
        <v>0</v>
      </c>
      <c r="I195" s="169">
        <v>0</v>
      </c>
      <c r="J195" s="169">
        <v>0</v>
      </c>
      <c r="K195" s="169">
        <v>0</v>
      </c>
      <c r="L195" s="169">
        <v>0</v>
      </c>
      <c r="M195" s="169">
        <v>0</v>
      </c>
      <c r="N195" s="169">
        <v>0</v>
      </c>
      <c r="O195" s="169">
        <v>0</v>
      </c>
      <c r="P195" s="171">
        <f>pAIDS_LTFU_AIDS_ART1ear_2004_2012</f>
        <v>0.18179999999999999</v>
      </c>
      <c r="Q195" s="169">
        <v>0</v>
      </c>
      <c r="R195" s="171">
        <f>pAIDS_LTFU_AIDS_ART2_2004_2012</f>
        <v>0.19189999999999999</v>
      </c>
      <c r="S195" s="172">
        <f>pAIDS_LTFU_2004_2012</f>
        <v>0.21578526169714907</v>
      </c>
      <c r="T195" s="170">
        <f>pAIDS_LTFU_AIDS_Dead_2004_2012</f>
        <v>0.41051473830285101</v>
      </c>
      <c r="U195" s="61">
        <f t="shared" si="1487"/>
        <v>1</v>
      </c>
      <c r="V195" s="190"/>
      <c r="W195" s="66">
        <v>15</v>
      </c>
      <c r="X195" s="66">
        <v>2019</v>
      </c>
      <c r="Y195" s="70">
        <f t="shared" si="1576"/>
        <v>4.1065223117054975E-2</v>
      </c>
      <c r="Z195" s="70">
        <f t="shared" si="1524"/>
        <v>1.4367251330038267E-2</v>
      </c>
      <c r="AA195" s="70">
        <f t="shared" si="1525"/>
        <v>3.1771361808522275E-2</v>
      </c>
      <c r="AB195" s="70">
        <f t="shared" si="1526"/>
        <v>2.2518636000584537E-3</v>
      </c>
      <c r="AC195" s="70">
        <f t="shared" si="1527"/>
        <v>4.4806027409578501E-2</v>
      </c>
      <c r="AD195" s="70">
        <f t="shared" si="1528"/>
        <v>2.6497177148528745E-2</v>
      </c>
      <c r="AE195" s="70">
        <f t="shared" si="1529"/>
        <v>0.11087314249807359</v>
      </c>
      <c r="AF195" s="70">
        <f t="shared" si="1530"/>
        <v>2.7918066183536934E-2</v>
      </c>
      <c r="AG195" s="70">
        <f t="shared" si="1531"/>
        <v>3.0782940845336247E-2</v>
      </c>
      <c r="AH195" s="70">
        <f t="shared" si="1532"/>
        <v>4.4889314057581838E-3</v>
      </c>
      <c r="AI195" s="70">
        <f t="shared" si="1533"/>
        <v>2.2380525055847634E-2</v>
      </c>
      <c r="AJ195" s="70">
        <f t="shared" si="1534"/>
        <v>4.0718872740305043E-2</v>
      </c>
      <c r="AK195" s="70">
        <f t="shared" si="1535"/>
        <v>3.4019689964297564E-2</v>
      </c>
      <c r="AL195" s="70">
        <f t="shared" si="1536"/>
        <v>0.1364031490715473</v>
      </c>
      <c r="AM195" s="70">
        <f t="shared" si="1537"/>
        <v>1.7499148905059603E-2</v>
      </c>
      <c r="AN195" s="70">
        <f t="shared" si="1538"/>
        <v>1.7581096979051532E-2</v>
      </c>
      <c r="AO195" s="70">
        <f t="shared" si="1539"/>
        <v>5.3627065374475952E-2</v>
      </c>
      <c r="AP195" s="190"/>
      <c r="AQ195" s="66">
        <v>15</v>
      </c>
      <c r="AR195" s="66">
        <v>2019</v>
      </c>
      <c r="AS195" s="215">
        <f t="shared" si="1464"/>
        <v>352.66977873819286</v>
      </c>
      <c r="AT195" s="215">
        <f t="shared" si="1465"/>
        <v>123.38652911242185</v>
      </c>
      <c r="AU195" s="215">
        <f t="shared" si="1466"/>
        <v>272.85372606606165</v>
      </c>
      <c r="AV195" s="215">
        <f t="shared" si="1467"/>
        <v>19.339094671846006</v>
      </c>
      <c r="AW195" s="215">
        <f t="shared" si="1468"/>
        <v>384.79595563455661</v>
      </c>
      <c r="AX195" s="215">
        <f t="shared" si="1469"/>
        <v>227.55881723865082</v>
      </c>
      <c r="AY195" s="215">
        <f t="shared" si="1470"/>
        <v>952.18298269915601</v>
      </c>
      <c r="AZ195" s="215">
        <f t="shared" si="1471"/>
        <v>239.76146910686256</v>
      </c>
      <c r="BA195" s="215">
        <f t="shared" si="1472"/>
        <v>264.36512729738155</v>
      </c>
      <c r="BB195" s="215">
        <f t="shared" si="1473"/>
        <v>38.551122469907519</v>
      </c>
      <c r="BC195" s="215">
        <f t="shared" si="1474"/>
        <v>192.20484440062174</v>
      </c>
      <c r="BD195" s="215">
        <f t="shared" si="1475"/>
        <v>349.69530784864935</v>
      </c>
      <c r="BE195" s="215">
        <f t="shared" si="1476"/>
        <v>292.16245820098607</v>
      </c>
      <c r="BF195" s="215">
        <f t="shared" si="1477"/>
        <v>1171.4357003524112</v>
      </c>
      <c r="BG195" s="215">
        <f t="shared" si="1478"/>
        <v>150.28339076260809</v>
      </c>
      <c r="BH195" s="215">
        <f t="shared" si="1479"/>
        <v>150.98716409997374</v>
      </c>
      <c r="BI195" s="215">
        <f t="shared" si="1480"/>
        <v>460.5513825186145</v>
      </c>
      <c r="BJ195" s="194"/>
      <c r="BK195" s="66">
        <v>15</v>
      </c>
      <c r="BL195" s="66">
        <v>2019</v>
      </c>
      <c r="BM195" s="215">
        <f t="shared" si="1540"/>
        <v>129.80949331405327</v>
      </c>
      <c r="BN195" s="219">
        <f t="shared" si="1541"/>
        <v>113.78792689731958</v>
      </c>
      <c r="BO195" s="219">
        <f t="shared" si="1542"/>
        <v>17.256654301079585</v>
      </c>
      <c r="BP195" s="219">
        <f t="shared" si="1543"/>
        <v>3.5110527849291051</v>
      </c>
      <c r="BQ195" s="219">
        <f t="shared" si="1544"/>
        <v>35.650592264519354</v>
      </c>
      <c r="BR195" s="220">
        <f t="shared" si="1545"/>
        <v>33.021357314836031</v>
      </c>
      <c r="BS195" s="219">
        <f t="shared" si="1546"/>
        <v>50.054176898789258</v>
      </c>
      <c r="BT195" s="219">
        <f t="shared" si="1547"/>
        <v>14.396381083131843</v>
      </c>
      <c r="BU195" s="219">
        <f t="shared" si="1548"/>
        <v>10.949922690370189</v>
      </c>
      <c r="BV195" s="219">
        <f t="shared" si="1549"/>
        <v>3.5231000986735244</v>
      </c>
      <c r="BW195" s="219">
        <f t="shared" si="1550"/>
        <v>2.826925311022594</v>
      </c>
      <c r="BX195" s="220">
        <f t="shared" si="1551"/>
        <v>0.56470843863092279</v>
      </c>
      <c r="BY195" s="195"/>
      <c r="BZ195" s="192">
        <v>15</v>
      </c>
      <c r="CA195" s="66">
        <v>2019</v>
      </c>
      <c r="CB195" s="218">
        <f t="shared" si="1552"/>
        <v>10.11946907609207</v>
      </c>
      <c r="CC195" s="218">
        <f t="shared" si="1553"/>
        <v>3.2009181770960398</v>
      </c>
      <c r="CD195" s="73">
        <f t="shared" si="1554"/>
        <v>6.0187074186578959</v>
      </c>
      <c r="CE195" s="73">
        <f t="shared" si="1555"/>
        <v>16.067997014543501</v>
      </c>
      <c r="CF195" s="73">
        <f t="shared" si="1556"/>
        <v>8.7880398033219489</v>
      </c>
      <c r="CG195" s="73">
        <f t="shared" si="1557"/>
        <v>4.2088589670190748</v>
      </c>
      <c r="CH195" s="73">
        <f t="shared" si="1558"/>
        <v>0.92761720086491295</v>
      </c>
      <c r="CI195" s="73">
        <f t="shared" si="1559"/>
        <v>4.7962715861628817</v>
      </c>
      <c r="CJ195" s="73">
        <f t="shared" si="1560"/>
        <v>3.3313992084825972</v>
      </c>
      <c r="CK195" s="73">
        <f t="shared" si="1561"/>
        <v>0.36987589655304792</v>
      </c>
      <c r="CL195" s="73">
        <f t="shared" si="1562"/>
        <v>6.1062792959548917E-2</v>
      </c>
      <c r="CM195" s="73">
        <f t="shared" si="1563"/>
        <v>115.08426613222089</v>
      </c>
      <c r="CN195" s="73">
        <f t="shared" si="1564"/>
        <v>189.75321574036502</v>
      </c>
      <c r="CO195" s="73">
        <f t="shared" si="1565"/>
        <v>56.057431510522171</v>
      </c>
      <c r="CP195" s="73">
        <f t="shared" si="1566"/>
        <v>23.750732076893865</v>
      </c>
      <c r="CQ195" s="73">
        <f t="shared" si="1567"/>
        <v>9.0346129878378534</v>
      </c>
      <c r="CR195" s="73">
        <f t="shared" si="1568"/>
        <v>18.905143345948936</v>
      </c>
      <c r="CS195" s="73">
        <f t="shared" si="1569"/>
        <v>12.185465224280875</v>
      </c>
      <c r="CT195" s="73">
        <f t="shared" si="1570"/>
        <v>24.653439280567525</v>
      </c>
      <c r="CU195" s="73">
        <f t="shared" si="1571"/>
        <v>6.7104532019939152</v>
      </c>
      <c r="CV195" s="73">
        <f t="shared" si="1572"/>
        <v>2.8086012018096125</v>
      </c>
      <c r="CW195" s="73">
        <f t="shared" si="1573"/>
        <v>0.94782680260364383</v>
      </c>
      <c r="CX195" s="73">
        <f t="shared" si="1574"/>
        <v>0.55159294381836843</v>
      </c>
      <c r="CY195" s="73">
        <f t="shared" si="1575"/>
        <v>0.10860206975184815</v>
      </c>
      <c r="CZ195" s="190"/>
      <c r="DA195" s="66">
        <v>2019</v>
      </c>
      <c r="DB195" s="218">
        <f t="shared" si="1481"/>
        <v>700.64065419972201</v>
      </c>
      <c r="DC195" s="218">
        <f t="shared" si="1482"/>
        <v>5124.3432515585337</v>
      </c>
      <c r="DD195" s="73">
        <f t="shared" si="1483"/>
        <v>2805.8260011220241</v>
      </c>
      <c r="DE195" s="73">
        <f t="shared" si="1484"/>
        <v>1613.8815493160055</v>
      </c>
      <c r="DF195" s="73">
        <f t="shared" si="1485"/>
        <v>692.88731634924477</v>
      </c>
      <c r="DG195" s="73">
        <f t="shared" si="1486"/>
        <v>1569.6072165198339</v>
      </c>
      <c r="DH195" s="72">
        <f t="shared" si="1514"/>
        <v>0.64126815827261685</v>
      </c>
      <c r="DI195" s="72">
        <f t="shared" si="1515"/>
        <v>0.6996286335131271</v>
      </c>
      <c r="DJ195" s="73">
        <f>SUM(AV180:AV195,BB180:BB195,BI180:BI195)</f>
        <v>3463.6967484414672</v>
      </c>
      <c r="DK195" s="73">
        <f>SUM(AV186:AV195,BB186:BB195,BI186:BI195)</f>
        <v>3463.6967484414672</v>
      </c>
      <c r="DL195" s="190"/>
    </row>
    <row r="196" spans="1:120" x14ac:dyDescent="0.25">
      <c r="A196" s="190"/>
      <c r="B196" s="191">
        <v>2012</v>
      </c>
      <c r="C196" s="179" t="s">
        <v>333</v>
      </c>
      <c r="D196" s="180">
        <v>0</v>
      </c>
      <c r="E196" s="180">
        <v>0</v>
      </c>
      <c r="F196" s="180">
        <v>0</v>
      </c>
      <c r="G196" s="180">
        <v>0</v>
      </c>
      <c r="H196" s="180">
        <v>0</v>
      </c>
      <c r="I196" s="180">
        <v>0</v>
      </c>
      <c r="J196" s="180">
        <v>0</v>
      </c>
      <c r="K196" s="180">
        <v>0</v>
      </c>
      <c r="L196" s="180">
        <v>0</v>
      </c>
      <c r="M196" s="180">
        <v>0</v>
      </c>
      <c r="N196" s="180">
        <v>0</v>
      </c>
      <c r="O196" s="180">
        <v>0</v>
      </c>
      <c r="P196" s="180">
        <v>0</v>
      </c>
      <c r="Q196" s="180">
        <v>0</v>
      </c>
      <c r="R196" s="180">
        <v>0</v>
      </c>
      <c r="S196" s="180">
        <v>0</v>
      </c>
      <c r="T196" s="180">
        <v>0</v>
      </c>
      <c r="U196" s="179">
        <f t="shared" si="1487"/>
        <v>0</v>
      </c>
      <c r="V196" s="190"/>
      <c r="W196" s="66">
        <v>16</v>
      </c>
      <c r="X196" s="66">
        <v>2020</v>
      </c>
      <c r="Y196" s="70">
        <f t="shared" si="1576"/>
        <v>2.6025499324363141E-2</v>
      </c>
      <c r="Z196" s="70">
        <f t="shared" si="1524"/>
        <v>9.3348436493219857E-3</v>
      </c>
      <c r="AA196" s="70">
        <f t="shared" si="1525"/>
        <v>2.5075551257826709E-2</v>
      </c>
      <c r="AB196" s="70">
        <f t="shared" si="1526"/>
        <v>1.5696862854475498E-3</v>
      </c>
      <c r="AC196" s="70">
        <f t="shared" si="1527"/>
        <v>2.9482688499825917E-2</v>
      </c>
      <c r="AD196" s="70">
        <f t="shared" si="1528"/>
        <v>1.7592969099059799E-2</v>
      </c>
      <c r="AE196" s="70">
        <f t="shared" si="1529"/>
        <v>0.12085284815233331</v>
      </c>
      <c r="AF196" s="70">
        <f t="shared" si="1530"/>
        <v>3.3621107184826873E-2</v>
      </c>
      <c r="AG196" s="70">
        <f t="shared" si="1531"/>
        <v>2.5451256003643848E-2</v>
      </c>
      <c r="AH196" s="70">
        <f t="shared" si="1532"/>
        <v>3.5033323140700183E-3</v>
      </c>
      <c r="AI196" s="70">
        <f t="shared" si="1533"/>
        <v>1.4987350972137069E-2</v>
      </c>
      <c r="AJ196" s="70">
        <f t="shared" si="1534"/>
        <v>2.7877042345714864E-2</v>
      </c>
      <c r="AK196" s="70">
        <f t="shared" si="1535"/>
        <v>2.486923765102184E-2</v>
      </c>
      <c r="AL196" s="70">
        <f t="shared" si="1536"/>
        <v>0.15515692600642345</v>
      </c>
      <c r="AM196" s="70">
        <f t="shared" si="1537"/>
        <v>2.3627428750644566E-2</v>
      </c>
      <c r="AN196" s="70">
        <f t="shared" si="1538"/>
        <v>1.5376670254706268E-2</v>
      </c>
      <c r="AO196" s="70">
        <f t="shared" si="1539"/>
        <v>4.2279235305411E-2</v>
      </c>
      <c r="AP196" s="190"/>
      <c r="AQ196" s="66">
        <v>16</v>
      </c>
      <c r="AR196" s="66">
        <v>2020</v>
      </c>
      <c r="AS196" s="215">
        <f t="shared" si="1464"/>
        <v>223.50802921760365</v>
      </c>
      <c r="AT196" s="215">
        <f t="shared" si="1465"/>
        <v>80.168010654123194</v>
      </c>
      <c r="AU196" s="215">
        <f t="shared" si="1466"/>
        <v>215.34983722426611</v>
      </c>
      <c r="AV196" s="215">
        <f t="shared" si="1467"/>
        <v>13.480528606874977</v>
      </c>
      <c r="AW196" s="215">
        <f t="shared" si="1468"/>
        <v>253.19850814404498</v>
      </c>
      <c r="AX196" s="215">
        <f t="shared" si="1469"/>
        <v>151.08912234148951</v>
      </c>
      <c r="AY196" s="215">
        <f t="shared" si="1470"/>
        <v>1037.8890940461647</v>
      </c>
      <c r="AZ196" s="215">
        <f t="shared" si="1471"/>
        <v>288.73941334758064</v>
      </c>
      <c r="BA196" s="215">
        <f t="shared" si="1472"/>
        <v>218.57640460953354</v>
      </c>
      <c r="BB196" s="215">
        <f t="shared" si="1473"/>
        <v>30.086758046525883</v>
      </c>
      <c r="BC196" s="215">
        <f t="shared" si="1474"/>
        <v>128.71196964275205</v>
      </c>
      <c r="BD196" s="215">
        <f t="shared" si="1475"/>
        <v>239.4091547466931</v>
      </c>
      <c r="BE196" s="215">
        <f t="shared" si="1476"/>
        <v>213.57800771648161</v>
      </c>
      <c r="BF196" s="215">
        <f t="shared" si="1477"/>
        <v>1332.493886820205</v>
      </c>
      <c r="BG196" s="215">
        <f t="shared" si="1478"/>
        <v>202.91330320768557</v>
      </c>
      <c r="BH196" s="215">
        <f t="shared" si="1479"/>
        <v>132.05545921422762</v>
      </c>
      <c r="BI196" s="215">
        <f t="shared" si="1480"/>
        <v>363.09576397228193</v>
      </c>
      <c r="BJ196" s="194"/>
      <c r="BK196" s="66">
        <v>16</v>
      </c>
      <c r="BL196" s="66">
        <v>2020</v>
      </c>
      <c r="BM196" s="215">
        <f t="shared" si="1540"/>
        <v>93.248128569706736</v>
      </c>
      <c r="BN196" s="219">
        <f t="shared" si="1541"/>
        <v>99.907085134653684</v>
      </c>
      <c r="BO196" s="219">
        <f t="shared" si="1542"/>
        <v>20.573193166039523</v>
      </c>
      <c r="BP196" s="219">
        <f t="shared" si="1543"/>
        <v>4.847997739133592</v>
      </c>
      <c r="BQ196" s="219">
        <f t="shared" si="1544"/>
        <v>25.736374858141879</v>
      </c>
      <c r="BR196" s="220">
        <f t="shared" si="1545"/>
        <v>32.143604358071933</v>
      </c>
      <c r="BS196" s="219">
        <f t="shared" si="1546"/>
        <v>38.46612889218207</v>
      </c>
      <c r="BT196" s="219">
        <f t="shared" si="1547"/>
        <v>11.35180134029358</v>
      </c>
      <c r="BU196" s="219">
        <f t="shared" si="1548"/>
        <v>14.237430064983212</v>
      </c>
      <c r="BV196" s="219">
        <f t="shared" si="1549"/>
        <v>4.6593575741952291</v>
      </c>
      <c r="BW196" s="219">
        <f t="shared" si="1550"/>
        <v>4.5348335798015356</v>
      </c>
      <c r="BX196" s="220">
        <f t="shared" si="1551"/>
        <v>0.92592854655819412</v>
      </c>
      <c r="BY196" s="195"/>
      <c r="BZ196" s="192">
        <v>16</v>
      </c>
      <c r="CA196" s="66">
        <v>2020</v>
      </c>
      <c r="CB196" s="218">
        <f t="shared" si="1552"/>
        <v>6.4133155894961869</v>
      </c>
      <c r="CC196" s="218">
        <f t="shared" si="1553"/>
        <v>2.1053558906000167</v>
      </c>
      <c r="CD196" s="73">
        <f t="shared" si="1554"/>
        <v>4.9618571267787726</v>
      </c>
      <c r="CE196" s="73">
        <f t="shared" si="1555"/>
        <v>10.731396385215003</v>
      </c>
      <c r="CF196" s="73">
        <f t="shared" si="1556"/>
        <v>5.9547401104350923</v>
      </c>
      <c r="CG196" s="73">
        <f t="shared" si="1557"/>
        <v>4.8153504939450817</v>
      </c>
      <c r="CH196" s="73">
        <f t="shared" si="1558"/>
        <v>1.2125143272566832</v>
      </c>
      <c r="CI196" s="73">
        <f t="shared" si="1559"/>
        <v>3.6201969041483366</v>
      </c>
      <c r="CJ196" s="73">
        <f t="shared" si="1560"/>
        <v>3.1733788505477296</v>
      </c>
      <c r="CK196" s="73">
        <f t="shared" si="1561"/>
        <v>0.48126284820775178</v>
      </c>
      <c r="CL196" s="73">
        <f t="shared" si="1562"/>
        <v>9.7918126770206504E-2</v>
      </c>
      <c r="CM196" s="73">
        <f t="shared" si="1563"/>
        <v>78.902921399661437</v>
      </c>
      <c r="CN196" s="73">
        <f t="shared" si="1564"/>
        <v>134.69825357698781</v>
      </c>
      <c r="CO196" s="73">
        <f t="shared" si="1565"/>
        <v>43.183046850075122</v>
      </c>
      <c r="CP196" s="73">
        <f t="shared" si="1566"/>
        <v>30.170556632923052</v>
      </c>
      <c r="CQ196" s="73">
        <f t="shared" si="1567"/>
        <v>14.158529355044243</v>
      </c>
      <c r="CR196" s="73">
        <f t="shared" si="1568"/>
        <v>14.635093553810806</v>
      </c>
      <c r="CS196" s="73">
        <f t="shared" si="1569"/>
        <v>13.555753856504849</v>
      </c>
      <c r="CT196" s="73">
        <f t="shared" si="1570"/>
        <v>20.547977330571083</v>
      </c>
      <c r="CU196" s="73">
        <f t="shared" si="1571"/>
        <v>5.9099266128499828</v>
      </c>
      <c r="CV196" s="73">
        <f t="shared" si="1572"/>
        <v>4.4951046476737684</v>
      </c>
      <c r="CW196" s="73">
        <f t="shared" si="1573"/>
        <v>1.4462845150217105</v>
      </c>
      <c r="CX196" s="73">
        <f t="shared" si="1574"/>
        <v>1.1604945042561459</v>
      </c>
      <c r="CY196" s="73">
        <f t="shared" si="1575"/>
        <v>0.23182113690198486</v>
      </c>
      <c r="CZ196" s="190"/>
      <c r="DA196" s="66">
        <v>2020</v>
      </c>
      <c r="DB196" s="218">
        <f t="shared" si="1481"/>
        <v>470.66628774230583</v>
      </c>
      <c r="DC196" s="218">
        <f t="shared" si="1482"/>
        <v>4717.6802009328521</v>
      </c>
      <c r="DD196" s="73">
        <f t="shared" si="1483"/>
        <v>3075.6137051381179</v>
      </c>
      <c r="DE196" s="73">
        <f t="shared" si="1484"/>
        <v>1748.9851977443723</v>
      </c>
      <c r="DF196" s="73">
        <f t="shared" si="1485"/>
        <v>500.17658360367284</v>
      </c>
      <c r="DG196" s="73">
        <f t="shared" si="1486"/>
        <v>1123.0406186987409</v>
      </c>
      <c r="DH196" s="72">
        <f t="shared" si="1514"/>
        <v>0.73252367733086632</v>
      </c>
      <c r="DI196" s="72">
        <f t="shared" si="1515"/>
        <v>0.77761644904712468</v>
      </c>
      <c r="DJ196" s="73">
        <f>SUM(AV180:AV196,BB180:BB196,BI180:BI196)</f>
        <v>3870.3597990671497</v>
      </c>
      <c r="DK196" s="73">
        <f>SUM(AV186:AV196,BB186:BB196,BI186:BI196)</f>
        <v>3870.3597990671497</v>
      </c>
      <c r="DL196" s="190"/>
    </row>
    <row r="197" spans="1:120" x14ac:dyDescent="0.25">
      <c r="A197" s="190"/>
      <c r="B197" s="178"/>
      <c r="C197" s="182"/>
      <c r="D197" s="183"/>
      <c r="E197" s="183"/>
      <c r="F197" s="183"/>
      <c r="G197" s="183"/>
      <c r="H197" s="183"/>
      <c r="I197" s="183"/>
      <c r="J197" s="183"/>
      <c r="K197" s="183"/>
      <c r="L197" s="183"/>
      <c r="M197" s="183"/>
      <c r="N197" s="183"/>
      <c r="O197" s="183"/>
      <c r="P197" s="183"/>
      <c r="Q197" s="183"/>
      <c r="R197" s="183"/>
      <c r="S197" s="183"/>
      <c r="T197" s="183"/>
      <c r="U197" s="178"/>
      <c r="V197" s="190"/>
      <c r="W197" s="66">
        <v>17</v>
      </c>
      <c r="X197" s="66">
        <v>2021</v>
      </c>
      <c r="Y197" s="70">
        <f t="shared" si="1576"/>
        <v>1.6493922683720252E-2</v>
      </c>
      <c r="Z197" s="70">
        <f t="shared" si="1524"/>
        <v>6.0165843106862226E-3</v>
      </c>
      <c r="AA197" s="70">
        <f t="shared" si="1525"/>
        <v>1.9175907309662951E-2</v>
      </c>
      <c r="AB197" s="70">
        <f t="shared" si="1526"/>
        <v>1.0885561849707627E-3</v>
      </c>
      <c r="AC197" s="70">
        <f t="shared" si="1527"/>
        <v>1.9200678610970398E-2</v>
      </c>
      <c r="AD197" s="70">
        <f t="shared" si="1528"/>
        <v>1.1521981388494302E-2</v>
      </c>
      <c r="AE197" s="70">
        <f t="shared" si="1529"/>
        <v>0.12747628032773398</v>
      </c>
      <c r="AF197" s="70">
        <f t="shared" si="1530"/>
        <v>3.8384262265503462E-2</v>
      </c>
      <c r="AG197" s="70">
        <f t="shared" si="1531"/>
        <v>2.058843059001958E-2</v>
      </c>
      <c r="AH197" s="70">
        <f t="shared" si="1532"/>
        <v>2.7735996444758718E-3</v>
      </c>
      <c r="AI197" s="70">
        <f t="shared" si="1533"/>
        <v>9.8797952987752635E-3</v>
      </c>
      <c r="AJ197" s="70">
        <f t="shared" si="1534"/>
        <v>1.8646268206401223E-2</v>
      </c>
      <c r="AK197" s="70">
        <f t="shared" si="1535"/>
        <v>1.7668491317609638E-2</v>
      </c>
      <c r="AL197" s="70">
        <f t="shared" si="1536"/>
        <v>0.16514359469345416</v>
      </c>
      <c r="AM197" s="70">
        <f t="shared" si="1537"/>
        <v>2.9071815908510976E-2</v>
      </c>
      <c r="AN197" s="70">
        <f t="shared" si="1538"/>
        <v>1.3100599803729313E-2</v>
      </c>
      <c r="AO197" s="70">
        <f t="shared" si="1539"/>
        <v>3.3100650607131299E-2</v>
      </c>
      <c r="AP197" s="190"/>
      <c r="AQ197" s="66">
        <v>17</v>
      </c>
      <c r="AR197" s="66">
        <v>2021</v>
      </c>
      <c r="AS197" s="215">
        <f t="shared" si="1464"/>
        <v>141.65046776469688</v>
      </c>
      <c r="AT197" s="215">
        <f t="shared" si="1465"/>
        <v>51.670666723545715</v>
      </c>
      <c r="AU197" s="215">
        <f t="shared" si="1466"/>
        <v>164.68345901167783</v>
      </c>
      <c r="AV197" s="215">
        <f t="shared" si="1467"/>
        <v>9.3485640587763097</v>
      </c>
      <c r="AW197" s="215">
        <f t="shared" si="1468"/>
        <v>164.89619593815823</v>
      </c>
      <c r="AX197" s="215">
        <f t="shared" si="1469"/>
        <v>98.95123704364461</v>
      </c>
      <c r="AY197" s="215">
        <f t="shared" si="1470"/>
        <v>1094.7713945057926</v>
      </c>
      <c r="AZ197" s="215">
        <f t="shared" si="1471"/>
        <v>329.64557970663441</v>
      </c>
      <c r="BA197" s="215">
        <f t="shared" si="1472"/>
        <v>176.81426544431176</v>
      </c>
      <c r="BB197" s="215">
        <f t="shared" si="1473"/>
        <v>23.819784690744569</v>
      </c>
      <c r="BC197" s="215">
        <f t="shared" si="1474"/>
        <v>84.848077217693927</v>
      </c>
      <c r="BD197" s="215">
        <f t="shared" si="1475"/>
        <v>160.13489720730198</v>
      </c>
      <c r="BE197" s="215">
        <f t="shared" si="1476"/>
        <v>151.73771017528429</v>
      </c>
      <c r="BF197" s="215">
        <f t="shared" si="1477"/>
        <v>1418.2597969711721</v>
      </c>
      <c r="BG197" s="215">
        <f t="shared" si="1478"/>
        <v>249.66991789492863</v>
      </c>
      <c r="BH197" s="215">
        <f t="shared" si="1479"/>
        <v>112.5084751384195</v>
      </c>
      <c r="BI197" s="215">
        <f t="shared" si="1480"/>
        <v>284.26971144006791</v>
      </c>
      <c r="BJ197" s="194"/>
      <c r="BK197" s="66">
        <v>17</v>
      </c>
      <c r="BL197" s="66">
        <v>2021</v>
      </c>
      <c r="BM197" s="215">
        <f t="shared" si="1540"/>
        <v>64.725707622138316</v>
      </c>
      <c r="BN197" s="219">
        <f t="shared" si="1541"/>
        <v>82.875786003374969</v>
      </c>
      <c r="BO197" s="219">
        <f t="shared" si="1542"/>
        <v>23.127523811263167</v>
      </c>
      <c r="BP197" s="219">
        <f t="shared" si="1543"/>
        <v>6.0852480075353199</v>
      </c>
      <c r="BQ197" s="219">
        <f t="shared" si="1544"/>
        <v>17.812538201940562</v>
      </c>
      <c r="BR197" s="220">
        <f t="shared" si="1545"/>
        <v>28.679535874489869</v>
      </c>
      <c r="BS197" s="219">
        <f t="shared" si="1546"/>
        <v>27.996140526715191</v>
      </c>
      <c r="BT197" s="219">
        <f t="shared" si="1547"/>
        <v>8.418534049756877</v>
      </c>
      <c r="BU197" s="219">
        <f t="shared" si="1548"/>
        <v>16.45344954401066</v>
      </c>
      <c r="BV197" s="219">
        <f t="shared" si="1549"/>
        <v>5.6214516075754135</v>
      </c>
      <c r="BW197" s="219">
        <f t="shared" si="1550"/>
        <v>6.227110130467838</v>
      </c>
      <c r="BX197" s="220">
        <f t="shared" si="1551"/>
        <v>1.2997152034630846</v>
      </c>
      <c r="BY197" s="195"/>
      <c r="BZ197" s="192">
        <v>17</v>
      </c>
      <c r="CA197" s="66">
        <v>2021</v>
      </c>
      <c r="CB197" s="218">
        <f t="shared" si="1552"/>
        <v>4.064503437996434</v>
      </c>
      <c r="CC197" s="218">
        <f t="shared" si="1553"/>
        <v>1.3679142665125115</v>
      </c>
      <c r="CD197" s="73">
        <f t="shared" si="1554"/>
        <v>3.9161463542673642</v>
      </c>
      <c r="CE197" s="73">
        <f t="shared" si="1555"/>
        <v>7.061336054216107</v>
      </c>
      <c r="CF197" s="73">
        <f t="shared" si="1556"/>
        <v>3.953687525602454</v>
      </c>
      <c r="CG197" s="73">
        <f t="shared" si="1557"/>
        <v>5.2487808041980903</v>
      </c>
      <c r="CH197" s="73">
        <f t="shared" si="1558"/>
        <v>1.460204080462945</v>
      </c>
      <c r="CI197" s="73">
        <f t="shared" si="1559"/>
        <v>2.6005539174932752</v>
      </c>
      <c r="CJ197" s="73">
        <f t="shared" si="1560"/>
        <v>2.7862624764424795</v>
      </c>
      <c r="CK197" s="73">
        <f t="shared" si="1561"/>
        <v>0.57375626625359333</v>
      </c>
      <c r="CL197" s="73">
        <f t="shared" si="1562"/>
        <v>0.13520356607562162</v>
      </c>
      <c r="CM197" s="73">
        <f t="shared" si="1563"/>
        <v>52.838160534338861</v>
      </c>
      <c r="CN197" s="73">
        <f t="shared" si="1564"/>
        <v>92.217408443694495</v>
      </c>
      <c r="CO197" s="73">
        <f t="shared" si="1565"/>
        <v>31.56787894706796</v>
      </c>
      <c r="CP197" s="73">
        <f t="shared" si="1566"/>
        <v>34.318641871029264</v>
      </c>
      <c r="CQ197" s="73">
        <f t="shared" si="1567"/>
        <v>19.116909363145851</v>
      </c>
      <c r="CR197" s="73">
        <f t="shared" si="1568"/>
        <v>10.565161189754187</v>
      </c>
      <c r="CS197" s="73">
        <f t="shared" si="1569"/>
        <v>13.195423331164282</v>
      </c>
      <c r="CT197" s="73">
        <f t="shared" si="1570"/>
        <v>15.790912835697858</v>
      </c>
      <c r="CU197" s="73">
        <f t="shared" si="1571"/>
        <v>4.660081756476572</v>
      </c>
      <c r="CV197" s="73">
        <f t="shared" si="1572"/>
        <v>5.8446748772317259</v>
      </c>
      <c r="CW197" s="73">
        <f t="shared" si="1573"/>
        <v>1.9127349552301611</v>
      </c>
      <c r="CX197" s="73">
        <f t="shared" si="1574"/>
        <v>1.8616160202592085</v>
      </c>
      <c r="CY197" s="73">
        <f t="shared" si="1575"/>
        <v>0.38010731497747624</v>
      </c>
      <c r="CZ197" s="190"/>
      <c r="DA197" s="66">
        <v>2021</v>
      </c>
      <c r="DB197" s="218">
        <f t="shared" si="1481"/>
        <v>310.75680097449231</v>
      </c>
      <c r="DC197" s="218">
        <f t="shared" si="1482"/>
        <v>4400.2421407432621</v>
      </c>
      <c r="DD197" s="73">
        <f t="shared" si="1483"/>
        <v>3244.0843992538121</v>
      </c>
      <c r="DE197" s="73">
        <f t="shared" si="1484"/>
        <v>1819.6674250413851</v>
      </c>
      <c r="DF197" s="73">
        <f t="shared" si="1485"/>
        <v>357.49144956341542</v>
      </c>
      <c r="DG197" s="73">
        <f t="shared" si="1486"/>
        <v>798.15314798953</v>
      </c>
      <c r="DH197" s="72">
        <f t="shared" si="1514"/>
        <v>0.80254669878719986</v>
      </c>
      <c r="DI197" s="72">
        <f t="shared" si="1515"/>
        <v>0.83579909866324864</v>
      </c>
      <c r="DJ197" s="73">
        <f>SUM(AV180:AV197,BB180:BB197,BI180:BI197)</f>
        <v>4187.7978592567388</v>
      </c>
      <c r="DK197" s="73">
        <f>SUM(AV186:AV197,BB186:BB197,BI186:BI197)</f>
        <v>4187.7978592567388</v>
      </c>
      <c r="DL197" s="190"/>
    </row>
    <row r="198" spans="1:120" s="127" customFormat="1" x14ac:dyDescent="0.25">
      <c r="A198" s="190"/>
      <c r="B198" s="178"/>
      <c r="C198" s="182"/>
      <c r="D198" s="183"/>
      <c r="E198" s="183"/>
      <c r="F198" s="183"/>
      <c r="G198" s="183"/>
      <c r="H198" s="183"/>
      <c r="I198" s="183"/>
      <c r="J198" s="183"/>
      <c r="K198" s="183"/>
      <c r="L198" s="183"/>
      <c r="M198" s="183"/>
      <c r="N198" s="183"/>
      <c r="O198" s="183"/>
      <c r="P198" s="183"/>
      <c r="Q198" s="183"/>
      <c r="R198" s="183"/>
      <c r="S198" s="183"/>
      <c r="T198" s="183"/>
      <c r="U198" s="178"/>
      <c r="V198" s="190"/>
      <c r="W198" s="66">
        <v>18</v>
      </c>
      <c r="X198" s="66">
        <v>2022</v>
      </c>
      <c r="Y198" s="70">
        <f t="shared" si="1576"/>
        <v>1.0453189854531204E-2</v>
      </c>
      <c r="Z198" s="70">
        <f t="shared" si="1524"/>
        <v>3.8571186779537067E-3</v>
      </c>
      <c r="AA198" s="70">
        <f t="shared" si="1525"/>
        <v>1.4320074305601961E-2</v>
      </c>
      <c r="AB198" s="70">
        <f t="shared" si="1526"/>
        <v>7.5131898365581864E-4</v>
      </c>
      <c r="AC198" s="70">
        <f t="shared" si="1527"/>
        <v>1.2413442091801759E-2</v>
      </c>
      <c r="AD198" s="70">
        <f t="shared" si="1528"/>
        <v>7.4751372520230532E-3</v>
      </c>
      <c r="AE198" s="70">
        <f t="shared" si="1529"/>
        <v>0.13144715425317957</v>
      </c>
      <c r="AF198" s="70">
        <f t="shared" si="1530"/>
        <v>4.2277235575456526E-2</v>
      </c>
      <c r="AG198" s="70">
        <f t="shared" si="1531"/>
        <v>1.6526891381644697E-2</v>
      </c>
      <c r="AH198" s="70">
        <f t="shared" si="1532"/>
        <v>2.2499511391618084E-3</v>
      </c>
      <c r="AI198" s="70">
        <f t="shared" si="1533"/>
        <v>6.4424773883125178E-3</v>
      </c>
      <c r="AJ198" s="70">
        <f t="shared" si="1534"/>
        <v>1.2279167104441326E-2</v>
      </c>
      <c r="AK198" s="70">
        <f t="shared" si="1535"/>
        <v>1.2385866595114547E-2</v>
      </c>
      <c r="AL198" s="70">
        <f t="shared" si="1536"/>
        <v>0.1685515519957213</v>
      </c>
      <c r="AM198" s="70">
        <f t="shared" si="1537"/>
        <v>3.3630648521784601E-2</v>
      </c>
      <c r="AN198" s="70">
        <f t="shared" si="1538"/>
        <v>1.1087572306316899E-2</v>
      </c>
      <c r="AO198" s="70">
        <f t="shared" si="1539"/>
        <v>2.6219815288570432E-2</v>
      </c>
      <c r="AP198" s="190"/>
      <c r="AQ198" s="66">
        <v>18</v>
      </c>
      <c r="AR198" s="66">
        <v>2022</v>
      </c>
      <c r="AS198" s="215">
        <f t="shared" si="1464"/>
        <v>89.772412598308179</v>
      </c>
      <c r="AT198" s="215">
        <f t="shared" si="1465"/>
        <v>33.125089491013554</v>
      </c>
      <c r="AU198" s="215">
        <f t="shared" si="1466"/>
        <v>122.98137093948188</v>
      </c>
      <c r="AV198" s="215">
        <f t="shared" si="1467"/>
        <v>6.4523574843955176</v>
      </c>
      <c r="AW198" s="215">
        <f t="shared" si="1468"/>
        <v>106.60713722207718</v>
      </c>
      <c r="AX198" s="215">
        <f t="shared" si="1469"/>
        <v>64.196777725864067</v>
      </c>
      <c r="AY198" s="215">
        <f t="shared" si="1470"/>
        <v>1128.8734186124764</v>
      </c>
      <c r="AZ198" s="215">
        <f t="shared" si="1471"/>
        <v>363.07859021144372</v>
      </c>
      <c r="BA198" s="215">
        <f t="shared" si="1472"/>
        <v>141.93360426121993</v>
      </c>
      <c r="BB198" s="215">
        <f t="shared" si="1473"/>
        <v>19.322670381167178</v>
      </c>
      <c r="BC198" s="215">
        <f t="shared" si="1474"/>
        <v>55.328253509923442</v>
      </c>
      <c r="BD198" s="215">
        <f t="shared" si="1475"/>
        <v>105.4539782596263</v>
      </c>
      <c r="BE198" s="215">
        <f t="shared" si="1476"/>
        <v>106.37031775350755</v>
      </c>
      <c r="BF198" s="215">
        <f t="shared" si="1477"/>
        <v>1447.5274706013345</v>
      </c>
      <c r="BG198" s="215">
        <f t="shared" si="1478"/>
        <v>288.82135473102704</v>
      </c>
      <c r="BH198" s="215">
        <f t="shared" si="1479"/>
        <v>95.220514469541797</v>
      </c>
      <c r="BI198" s="215">
        <f t="shared" si="1480"/>
        <v>225.17682249085445</v>
      </c>
      <c r="BJ198" s="194"/>
      <c r="BK198" s="66">
        <v>18</v>
      </c>
      <c r="BL198" s="66">
        <v>2022</v>
      </c>
      <c r="BM198" s="215">
        <f t="shared" si="1540"/>
        <v>43.846663175032326</v>
      </c>
      <c r="BN198" s="219">
        <f t="shared" si="1541"/>
        <v>65.956757357235375</v>
      </c>
      <c r="BO198" s="219">
        <f t="shared" si="1542"/>
        <v>24.96352340955168</v>
      </c>
      <c r="BP198" s="219">
        <f t="shared" si="1543"/>
        <v>7.1666603194005791</v>
      </c>
      <c r="BQ198" s="219">
        <f t="shared" si="1544"/>
        <v>12.001145766067278</v>
      </c>
      <c r="BR198" s="220">
        <f t="shared" si="1545"/>
        <v>24.08291448694613</v>
      </c>
      <c r="BS198" s="219">
        <f t="shared" si="1546"/>
        <v>19.620792189458697</v>
      </c>
      <c r="BT198" s="219">
        <f t="shared" si="1547"/>
        <v>6.0322949614090557</v>
      </c>
      <c r="BU198" s="219">
        <f t="shared" si="1548"/>
        <v>17.701031954105883</v>
      </c>
      <c r="BV198" s="219">
        <f t="shared" si="1549"/>
        <v>6.3750551345469137</v>
      </c>
      <c r="BW198" s="219">
        <f t="shared" si="1550"/>
        <v>7.7559198110119842</v>
      </c>
      <c r="BX198" s="220">
        <f t="shared" si="1551"/>
        <v>1.651360165995849</v>
      </c>
      <c r="BY198" s="195"/>
      <c r="BZ198" s="192">
        <v>18</v>
      </c>
      <c r="CA198" s="66">
        <v>2022</v>
      </c>
      <c r="CB198" s="218">
        <f t="shared" si="1552"/>
        <v>2.575920047430976</v>
      </c>
      <c r="CC198" s="218">
        <f t="shared" si="1553"/>
        <v>0.88166142074171827</v>
      </c>
      <c r="CD198" s="73">
        <f t="shared" si="1554"/>
        <v>2.994776016222823</v>
      </c>
      <c r="CE198" s="73">
        <f t="shared" si="1555"/>
        <v>4.5987137211676563</v>
      </c>
      <c r="CF198" s="73">
        <f t="shared" si="1556"/>
        <v>2.589347700744161</v>
      </c>
      <c r="CG198" s="73">
        <f t="shared" si="1557"/>
        <v>5.5364442245614258</v>
      </c>
      <c r="CH198" s="73">
        <f t="shared" si="1558"/>
        <v>1.667073486828617</v>
      </c>
      <c r="CI198" s="73">
        <f t="shared" si="1559"/>
        <v>1.8051053152605434</v>
      </c>
      <c r="CJ198" s="73">
        <f t="shared" si="1560"/>
        <v>2.311284454307295</v>
      </c>
      <c r="CK198" s="73">
        <f t="shared" si="1561"/>
        <v>0.64499281188618274</v>
      </c>
      <c r="CL198" s="73">
        <f t="shared" si="1562"/>
        <v>0.16970866641129734</v>
      </c>
      <c r="CM198" s="73">
        <f t="shared" si="1563"/>
        <v>34.831386214521714</v>
      </c>
      <c r="CN198" s="73">
        <f t="shared" si="1564"/>
        <v>61.681957139355276</v>
      </c>
      <c r="CO198" s="73">
        <f t="shared" si="1565"/>
        <v>22.427579120773935</v>
      </c>
      <c r="CP198" s="73">
        <f t="shared" si="1566"/>
        <v>36.527559738741083</v>
      </c>
      <c r="CQ198" s="73">
        <f t="shared" si="1567"/>
        <v>23.521953049161329</v>
      </c>
      <c r="CR198" s="73">
        <f t="shared" si="1568"/>
        <v>7.3123094584791666</v>
      </c>
      <c r="CS198" s="73">
        <f t="shared" si="1569"/>
        <v>11.773372164163435</v>
      </c>
      <c r="CT198" s="73">
        <f t="shared" si="1570"/>
        <v>11.492828301814328</v>
      </c>
      <c r="CU198" s="73">
        <f t="shared" si="1571"/>
        <v>3.4559323023295847</v>
      </c>
      <c r="CV198" s="73">
        <f t="shared" si="1572"/>
        <v>6.7543835337386993</v>
      </c>
      <c r="CW198" s="73">
        <f t="shared" si="1573"/>
        <v>2.3076887355659621</v>
      </c>
      <c r="CX198" s="73">
        <f t="shared" si="1574"/>
        <v>2.5563204855920367</v>
      </c>
      <c r="CY198" s="73">
        <f t="shared" si="1575"/>
        <v>0.53355224661788492</v>
      </c>
      <c r="CZ198" s="190"/>
      <c r="DA198" s="66">
        <v>2022</v>
      </c>
      <c r="DB198" s="218">
        <f t="shared" si="1481"/>
        <v>202.77584547650392</v>
      </c>
      <c r="DC198" s="218">
        <f t="shared" si="1482"/>
        <v>4149.2902903868453</v>
      </c>
      <c r="DD198" s="73">
        <f t="shared" si="1483"/>
        <v>3334.6711519097889</v>
      </c>
      <c r="DE198" s="73">
        <f t="shared" si="1484"/>
        <v>1842.7191430858691</v>
      </c>
      <c r="DF198" s="73">
        <f t="shared" si="1485"/>
        <v>256.00274623909155</v>
      </c>
      <c r="DG198" s="73">
        <f t="shared" si="1486"/>
        <v>568.74026544825279</v>
      </c>
      <c r="DH198" s="72">
        <f t="shared" si="1514"/>
        <v>0.85429661272211088</v>
      </c>
      <c r="DI198" s="72">
        <f t="shared" si="1515"/>
        <v>0.8780196902022912</v>
      </c>
      <c r="DJ198" s="73">
        <f>SUM(AV180:AV198,BB180:BB198,BI180:BI198)</f>
        <v>4438.7497096131565</v>
      </c>
      <c r="DK198" s="73">
        <f>SUM(AV186:AV198,BB186:BB198,BI186:BI198)</f>
        <v>4438.7497096131565</v>
      </c>
      <c r="DL198" s="190"/>
      <c r="DM198"/>
      <c r="DN198"/>
      <c r="DO198"/>
      <c r="DP198"/>
    </row>
    <row r="199" spans="1:120" s="127" customFormat="1" x14ac:dyDescent="0.25">
      <c r="A199" s="190"/>
      <c r="B199" s="178"/>
      <c r="C199" s="182"/>
      <c r="D199" s="183"/>
      <c r="E199" s="183"/>
      <c r="F199" s="183"/>
      <c r="G199" s="183"/>
      <c r="H199" s="183"/>
      <c r="I199" s="183"/>
      <c r="J199" s="183"/>
      <c r="K199" s="183"/>
      <c r="L199" s="183"/>
      <c r="M199" s="183"/>
      <c r="N199" s="183"/>
      <c r="O199" s="183"/>
      <c r="P199" s="183"/>
      <c r="Q199" s="183"/>
      <c r="R199" s="183"/>
      <c r="S199" s="183"/>
      <c r="T199" s="183"/>
      <c r="U199" s="178"/>
      <c r="V199" s="190"/>
      <c r="W199" s="66">
        <v>19</v>
      </c>
      <c r="X199" s="66">
        <v>2023</v>
      </c>
      <c r="Y199" s="70">
        <f t="shared" si="1576"/>
        <v>6.6248144986592187E-3</v>
      </c>
      <c r="Z199" s="70">
        <f t="shared" si="1524"/>
        <v>2.4637869892602132E-3</v>
      </c>
      <c r="AA199" s="70">
        <f t="shared" si="1525"/>
        <v>1.0498768398968758E-2</v>
      </c>
      <c r="AB199" s="70">
        <f t="shared" si="1526"/>
        <v>5.1631728589202888E-4</v>
      </c>
      <c r="AC199" s="70">
        <f t="shared" si="1527"/>
        <v>7.9833606209102244E-3</v>
      </c>
      <c r="AD199" s="70">
        <f t="shared" si="1528"/>
        <v>4.8177893990965469E-3</v>
      </c>
      <c r="AE199" s="70">
        <f t="shared" si="1529"/>
        <v>0.13341060856879222</v>
      </c>
      <c r="AF199" s="70">
        <f t="shared" si="1530"/>
        <v>4.5431549473186179E-2</v>
      </c>
      <c r="AG199" s="70">
        <f t="shared" si="1531"/>
        <v>1.3312089106588786E-2</v>
      </c>
      <c r="AH199" s="70">
        <f t="shared" si="1532"/>
        <v>1.8812659791974903E-3</v>
      </c>
      <c r="AI199" s="70">
        <f t="shared" si="1533"/>
        <v>4.1689339062171401E-3</v>
      </c>
      <c r="AJ199" s="70">
        <f t="shared" si="1534"/>
        <v>7.9998477358549022E-3</v>
      </c>
      <c r="AK199" s="70">
        <f t="shared" si="1535"/>
        <v>8.6650493894807473E-3</v>
      </c>
      <c r="AL199" s="70">
        <f t="shared" si="1536"/>
        <v>0.16739633633828507</v>
      </c>
      <c r="AM199" s="70">
        <f t="shared" si="1537"/>
        <v>3.7271497924609084E-2</v>
      </c>
      <c r="AN199" s="70">
        <f t="shared" si="1538"/>
        <v>9.4391987477863218E-3</v>
      </c>
      <c r="AO199" s="70">
        <f t="shared" si="1539"/>
        <v>2.1266312941098743E-2</v>
      </c>
      <c r="AP199" s="190"/>
      <c r="AQ199" s="66">
        <v>19</v>
      </c>
      <c r="AR199" s="66">
        <v>2023</v>
      </c>
      <c r="AS199" s="215">
        <f t="shared" si="1464"/>
        <v>56.894171907065321</v>
      </c>
      <c r="AT199" s="215">
        <f t="shared" si="1465"/>
        <v>21.159101215246285</v>
      </c>
      <c r="AU199" s="215">
        <f t="shared" si="1466"/>
        <v>90.163842961079652</v>
      </c>
      <c r="AV199" s="215">
        <f t="shared" si="1467"/>
        <v>4.4341535039321798</v>
      </c>
      <c r="AW199" s="215">
        <f t="shared" si="1468"/>
        <v>68.561420346801853</v>
      </c>
      <c r="AX199" s="215">
        <f t="shared" si="1469"/>
        <v>41.375368071017114</v>
      </c>
      <c r="AY199" s="215">
        <f t="shared" si="1470"/>
        <v>1145.7356428131304</v>
      </c>
      <c r="AZ199" s="215">
        <f t="shared" si="1471"/>
        <v>390.16796413770186</v>
      </c>
      <c r="BA199" s="215">
        <f t="shared" si="1472"/>
        <v>114.32475373094877</v>
      </c>
      <c r="BB199" s="215">
        <f t="shared" si="1473"/>
        <v>16.156387479987217</v>
      </c>
      <c r="BC199" s="215">
        <f t="shared" si="1474"/>
        <v>35.802971143949051</v>
      </c>
      <c r="BD199" s="215">
        <f t="shared" si="1475"/>
        <v>68.703012349431347</v>
      </c>
      <c r="BE199" s="215">
        <f t="shared" si="1476"/>
        <v>74.415790758836238</v>
      </c>
      <c r="BF199" s="215">
        <f t="shared" si="1477"/>
        <v>1437.606432326646</v>
      </c>
      <c r="BG199" s="215">
        <f t="shared" si="1478"/>
        <v>320.08911503645982</v>
      </c>
      <c r="BH199" s="215">
        <f t="shared" si="1479"/>
        <v>81.064216413938851</v>
      </c>
      <c r="BI199" s="215">
        <f t="shared" si="1480"/>
        <v>182.63594619067368</v>
      </c>
      <c r="BJ199" s="194"/>
      <c r="BK199" s="66">
        <v>19</v>
      </c>
      <c r="BL199" s="66">
        <v>2023</v>
      </c>
      <c r="BM199" s="215">
        <f t="shared" si="1540"/>
        <v>29.18534485925629</v>
      </c>
      <c r="BN199" s="219">
        <f t="shared" si="1541"/>
        <v>50.875318487226956</v>
      </c>
      <c r="BO199" s="219">
        <f t="shared" si="1542"/>
        <v>26.185613290166941</v>
      </c>
      <c r="BP199" s="219">
        <f t="shared" si="1543"/>
        <v>8.0784770942985826</v>
      </c>
      <c r="BQ199" s="219">
        <f t="shared" si="1544"/>
        <v>7.9424608573143409</v>
      </c>
      <c r="BR199" s="220">
        <f t="shared" si="1545"/>
        <v>19.348964289715394</v>
      </c>
      <c r="BS199" s="219">
        <f t="shared" si="1546"/>
        <v>13.386683617251332</v>
      </c>
      <c r="BT199" s="219">
        <f t="shared" si="1547"/>
        <v>4.2477000149970507</v>
      </c>
      <c r="BU199" s="219">
        <f t="shared" si="1548"/>
        <v>18.198059995058067</v>
      </c>
      <c r="BV199" s="219">
        <f t="shared" si="1549"/>
        <v>6.9257351338528066</v>
      </c>
      <c r="BW199" s="219">
        <f t="shared" si="1550"/>
        <v>9.0522806183827225</v>
      </c>
      <c r="BX199" s="220">
        <f t="shared" si="1551"/>
        <v>1.9623318873671582</v>
      </c>
      <c r="BY199" s="195"/>
      <c r="BZ199" s="192">
        <v>19</v>
      </c>
      <c r="CA199" s="66">
        <v>2023</v>
      </c>
      <c r="CB199" s="218">
        <f t="shared" si="1552"/>
        <v>1.6325153101672991</v>
      </c>
      <c r="CC199" s="218">
        <f t="shared" si="1553"/>
        <v>0.56521650125205658</v>
      </c>
      <c r="CD199" s="73">
        <f t="shared" si="1554"/>
        <v>2.236421692512824</v>
      </c>
      <c r="CE199" s="73">
        <f t="shared" si="1555"/>
        <v>2.9731171294056558</v>
      </c>
      <c r="CF199" s="73">
        <f t="shared" si="1556"/>
        <v>1.679895914048368</v>
      </c>
      <c r="CG199" s="73">
        <f t="shared" si="1557"/>
        <v>5.7089039320024799</v>
      </c>
      <c r="CH199" s="73">
        <f t="shared" si="1558"/>
        <v>1.8361498792590312</v>
      </c>
      <c r="CI199" s="73">
        <f t="shared" si="1559"/>
        <v>1.2228193041279076</v>
      </c>
      <c r="CJ199" s="73">
        <f t="shared" si="1560"/>
        <v>1.8394374917914913</v>
      </c>
      <c r="CK199" s="73">
        <f t="shared" si="1561"/>
        <v>0.69619615527849599</v>
      </c>
      <c r="CL199" s="73">
        <f t="shared" si="1562"/>
        <v>0.19986767407378755</v>
      </c>
      <c r="CM199" s="73">
        <f t="shared" si="1563"/>
        <v>22.713063510380021</v>
      </c>
      <c r="CN199" s="73">
        <f t="shared" si="1564"/>
        <v>40.619551894202417</v>
      </c>
      <c r="CO199" s="73">
        <f t="shared" si="1565"/>
        <v>15.722055610057813</v>
      </c>
      <c r="CP199" s="73">
        <f t="shared" si="1566"/>
        <v>37.281354423764832</v>
      </c>
      <c r="CQ199" s="73">
        <f t="shared" si="1567"/>
        <v>27.210496173741809</v>
      </c>
      <c r="CR199" s="73">
        <f t="shared" si="1568"/>
        <v>4.9266472134914769</v>
      </c>
      <c r="CS199" s="73">
        <f t="shared" si="1569"/>
        <v>9.8863913381786297</v>
      </c>
      <c r="CT199" s="73">
        <f t="shared" si="1570"/>
        <v>8.0546243709502612</v>
      </c>
      <c r="CU199" s="73">
        <f t="shared" si="1571"/>
        <v>2.4763459874484455</v>
      </c>
      <c r="CV199" s="73">
        <f t="shared" si="1572"/>
        <v>7.26653450033018</v>
      </c>
      <c r="CW199" s="73">
        <f t="shared" si="1573"/>
        <v>2.617054090224773</v>
      </c>
      <c r="CX199" s="73">
        <f t="shared" si="1574"/>
        <v>3.1839193915154822</v>
      </c>
      <c r="CY199" s="73">
        <f t="shared" si="1575"/>
        <v>0.67790768638753851</v>
      </c>
      <c r="CZ199" s="190"/>
      <c r="DA199" s="66">
        <v>2023</v>
      </c>
      <c r="DB199" s="218">
        <f t="shared" si="1481"/>
        <v>131.23748163569473</v>
      </c>
      <c r="DC199" s="218">
        <f t="shared" si="1482"/>
        <v>3946.0638032122524</v>
      </c>
      <c r="DD199" s="73">
        <f t="shared" si="1483"/>
        <v>3368.014945072774</v>
      </c>
      <c r="DE199" s="73">
        <f t="shared" si="1484"/>
        <v>1832.111338121942</v>
      </c>
      <c r="DF199" s="73">
        <f t="shared" si="1485"/>
        <v>185.57019990731925</v>
      </c>
      <c r="DG199" s="73">
        <f t="shared" si="1486"/>
        <v>409.83174205608702</v>
      </c>
      <c r="DH199" s="72">
        <f t="shared" si="1514"/>
        <v>0.89151710590787459</v>
      </c>
      <c r="DI199" s="72">
        <f t="shared" si="1515"/>
        <v>0.90802800322563693</v>
      </c>
      <c r="DJ199" s="73">
        <f>SUM(AV180:AV199,BB180:BB199,BI180:BI199)</f>
        <v>4641.9761967877494</v>
      </c>
      <c r="DK199" s="73">
        <f>SUM(AV186:AV199,BB186:BB199,BI186:BI199)</f>
        <v>4641.9761967877494</v>
      </c>
      <c r="DL199" s="190"/>
    </row>
    <row r="200" spans="1:120" s="127" customFormat="1" x14ac:dyDescent="0.25">
      <c r="A200" s="190"/>
      <c r="B200" s="190" t="s">
        <v>576</v>
      </c>
      <c r="C200" s="182"/>
      <c r="D200" s="183"/>
      <c r="E200" s="183"/>
      <c r="F200" s="183"/>
      <c r="G200" s="183"/>
      <c r="H200" s="183"/>
      <c r="I200" s="183"/>
      <c r="J200" s="183"/>
      <c r="K200" s="183"/>
      <c r="L200" s="183"/>
      <c r="M200" s="183"/>
      <c r="N200" s="183"/>
      <c r="O200" s="183"/>
      <c r="P200" s="183"/>
      <c r="Q200" s="183"/>
      <c r="R200" s="183"/>
      <c r="S200" s="183"/>
      <c r="T200" s="183"/>
      <c r="U200" s="178"/>
      <c r="V200" s="190"/>
      <c r="W200" s="197" t="s">
        <v>584</v>
      </c>
      <c r="X200" s="190"/>
      <c r="Y200" s="190"/>
      <c r="Z200" s="190"/>
      <c r="AA200" s="190"/>
      <c r="AB200" s="190"/>
      <c r="AC200" s="190"/>
      <c r="AD200" s="190"/>
      <c r="AE200" s="190"/>
      <c r="AF200" s="190"/>
      <c r="AG200" s="190"/>
      <c r="AH200" s="190"/>
      <c r="AI200" s="190"/>
      <c r="AJ200" s="190"/>
      <c r="AK200" s="190"/>
      <c r="AL200" s="190"/>
      <c r="AM200" s="190"/>
      <c r="AN200" s="190"/>
      <c r="AO200" s="190"/>
      <c r="AP200" s="190"/>
      <c r="AQ200" s="193" t="s">
        <v>90</v>
      </c>
      <c r="AR200" s="25"/>
      <c r="AS200" s="213"/>
      <c r="AT200" s="213"/>
      <c r="AU200" s="213"/>
      <c r="AV200" s="213"/>
      <c r="AW200" s="213"/>
      <c r="AX200" s="213"/>
      <c r="AY200" s="213"/>
      <c r="AZ200" s="213"/>
      <c r="BA200" s="213"/>
      <c r="BB200" s="213"/>
      <c r="BC200" s="213"/>
      <c r="BD200" s="213"/>
      <c r="BE200" s="213"/>
      <c r="BF200" s="213"/>
      <c r="BG200" s="213"/>
      <c r="BH200" s="213"/>
      <c r="BI200" s="213"/>
      <c r="BJ200" s="25"/>
      <c r="BK200" s="25"/>
      <c r="BL200" s="25"/>
      <c r="BM200" s="348" t="s">
        <v>570</v>
      </c>
      <c r="BN200" s="349"/>
      <c r="BO200" s="349"/>
      <c r="BP200" s="349"/>
      <c r="BQ200" s="350" t="s">
        <v>570</v>
      </c>
      <c r="BR200" s="350"/>
      <c r="BS200" s="350"/>
      <c r="BT200" s="350"/>
      <c r="BU200" s="350"/>
      <c r="BV200" s="350"/>
      <c r="BW200" s="350"/>
      <c r="BX200" s="351"/>
      <c r="BY200" s="199"/>
      <c r="BZ200" s="25"/>
      <c r="CA200" s="25"/>
      <c r="CB200" s="350" t="s">
        <v>302</v>
      </c>
      <c r="CC200" s="350"/>
      <c r="CD200" s="350"/>
      <c r="CE200" s="350" t="s">
        <v>302</v>
      </c>
      <c r="CF200" s="350"/>
      <c r="CG200" s="350"/>
      <c r="CH200" s="350"/>
      <c r="CI200" s="350"/>
      <c r="CJ200" s="350"/>
      <c r="CK200" s="350"/>
      <c r="CL200" s="350"/>
      <c r="CM200" s="350" t="s">
        <v>302</v>
      </c>
      <c r="CN200" s="350"/>
      <c r="CO200" s="350"/>
      <c r="CP200" s="350"/>
      <c r="CQ200" s="350"/>
      <c r="CR200" s="350"/>
      <c r="CS200" s="350"/>
      <c r="CT200" s="350"/>
      <c r="CU200" s="350"/>
      <c r="CV200" s="350"/>
      <c r="CW200" s="350"/>
      <c r="CX200" s="350"/>
      <c r="CY200" s="350"/>
      <c r="CZ200" s="190"/>
      <c r="DA200" s="190" t="s">
        <v>100</v>
      </c>
      <c r="DB200" s="217"/>
      <c r="DC200" s="217"/>
      <c r="DD200" s="217"/>
      <c r="DE200" s="217"/>
      <c r="DF200" s="217"/>
      <c r="DG200" s="217"/>
      <c r="DH200" s="222"/>
      <c r="DI200" s="222"/>
      <c r="DJ200" s="217"/>
      <c r="DK200" s="217"/>
      <c r="DL200" s="190"/>
    </row>
    <row r="201" spans="1:120" x14ac:dyDescent="0.25">
      <c r="A201" s="190"/>
      <c r="B201" s="188">
        <v>2013</v>
      </c>
      <c r="C201" s="187"/>
      <c r="D201" s="181" t="s">
        <v>320</v>
      </c>
      <c r="E201" s="181" t="s">
        <v>319</v>
      </c>
      <c r="F201" s="181" t="s">
        <v>318</v>
      </c>
      <c r="G201" s="181" t="s">
        <v>317</v>
      </c>
      <c r="H201" s="181" t="s">
        <v>321</v>
      </c>
      <c r="I201" s="181" t="s">
        <v>322</v>
      </c>
      <c r="J201" s="181" t="s">
        <v>323</v>
      </c>
      <c r="K201" s="181" t="s">
        <v>324</v>
      </c>
      <c r="L201" s="181" t="s">
        <v>325</v>
      </c>
      <c r="M201" s="181" t="s">
        <v>326</v>
      </c>
      <c r="N201" s="181" t="s">
        <v>327</v>
      </c>
      <c r="O201" s="181" t="s">
        <v>328</v>
      </c>
      <c r="P201" s="181" t="s">
        <v>329</v>
      </c>
      <c r="Q201" s="181" t="s">
        <v>330</v>
      </c>
      <c r="R201" s="181" t="s">
        <v>331</v>
      </c>
      <c r="S201" s="181" t="s">
        <v>332</v>
      </c>
      <c r="T201" s="181" t="s">
        <v>333</v>
      </c>
      <c r="U201" s="181" t="s">
        <v>87</v>
      </c>
      <c r="V201" s="190"/>
      <c r="W201" s="66" t="s">
        <v>88</v>
      </c>
      <c r="X201" s="66" t="s">
        <v>89</v>
      </c>
      <c r="Y201" s="61" t="s">
        <v>320</v>
      </c>
      <c r="Z201" s="61" t="s">
        <v>319</v>
      </c>
      <c r="AA201" s="61" t="s">
        <v>318</v>
      </c>
      <c r="AB201" s="61" t="s">
        <v>317</v>
      </c>
      <c r="AC201" s="61" t="s">
        <v>321</v>
      </c>
      <c r="AD201" s="61" t="s">
        <v>322</v>
      </c>
      <c r="AE201" s="61" t="s">
        <v>323</v>
      </c>
      <c r="AF201" s="61" t="s">
        <v>324</v>
      </c>
      <c r="AG201" s="61" t="s">
        <v>325</v>
      </c>
      <c r="AH201" s="61" t="s">
        <v>326</v>
      </c>
      <c r="AI201" s="61" t="s">
        <v>327</v>
      </c>
      <c r="AJ201" s="61" t="s">
        <v>328</v>
      </c>
      <c r="AK201" s="61" t="s">
        <v>329</v>
      </c>
      <c r="AL201" s="61" t="s">
        <v>330</v>
      </c>
      <c r="AM201" s="61" t="s">
        <v>331</v>
      </c>
      <c r="AN201" s="61" t="s">
        <v>332</v>
      </c>
      <c r="AO201" s="61" t="s">
        <v>333</v>
      </c>
      <c r="AP201" s="190"/>
      <c r="AQ201" s="66" t="s">
        <v>88</v>
      </c>
      <c r="AR201" s="66" t="s">
        <v>89</v>
      </c>
      <c r="AS201" s="214" t="s">
        <v>320</v>
      </c>
      <c r="AT201" s="214" t="s">
        <v>319</v>
      </c>
      <c r="AU201" s="214" t="s">
        <v>318</v>
      </c>
      <c r="AV201" s="214" t="s">
        <v>317</v>
      </c>
      <c r="AW201" s="214" t="s">
        <v>321</v>
      </c>
      <c r="AX201" s="214" t="s">
        <v>322</v>
      </c>
      <c r="AY201" s="214" t="s">
        <v>323</v>
      </c>
      <c r="AZ201" s="214" t="s">
        <v>324</v>
      </c>
      <c r="BA201" s="214" t="s">
        <v>325</v>
      </c>
      <c r="BB201" s="214" t="s">
        <v>326</v>
      </c>
      <c r="BC201" s="214" t="s">
        <v>327</v>
      </c>
      <c r="BD201" s="214" t="s">
        <v>328</v>
      </c>
      <c r="BE201" s="214" t="s">
        <v>329</v>
      </c>
      <c r="BF201" s="214" t="s">
        <v>330</v>
      </c>
      <c r="BG201" s="214" t="s">
        <v>331</v>
      </c>
      <c r="BH201" s="214" t="s">
        <v>332</v>
      </c>
      <c r="BI201" s="214" t="s">
        <v>333</v>
      </c>
      <c r="BJ201" s="189"/>
      <c r="BK201" s="66" t="s">
        <v>88</v>
      </c>
      <c r="BL201" s="66" t="s">
        <v>89</v>
      </c>
      <c r="BM201" s="122" t="s">
        <v>627</v>
      </c>
      <c r="BN201" s="122" t="s">
        <v>715</v>
      </c>
      <c r="BO201" s="122" t="s">
        <v>628</v>
      </c>
      <c r="BP201" s="122" t="s">
        <v>629</v>
      </c>
      <c r="BQ201" s="122" t="s">
        <v>627</v>
      </c>
      <c r="BR201" s="122" t="s">
        <v>716</v>
      </c>
      <c r="BS201" s="122" t="s">
        <v>717</v>
      </c>
      <c r="BT201" s="122" t="s">
        <v>721</v>
      </c>
      <c r="BU201" s="122" t="s">
        <v>720</v>
      </c>
      <c r="BV201" s="122" t="s">
        <v>719</v>
      </c>
      <c r="BW201" s="122" t="s">
        <v>629</v>
      </c>
      <c r="BX201" s="122" t="s">
        <v>722</v>
      </c>
      <c r="BY201" s="182"/>
      <c r="BZ201" s="192" t="s">
        <v>88</v>
      </c>
      <c r="CA201" s="66" t="s">
        <v>89</v>
      </c>
      <c r="CB201" s="218" t="s">
        <v>124</v>
      </c>
      <c r="CC201" s="218" t="s">
        <v>630</v>
      </c>
      <c r="CD201" s="218" t="s">
        <v>570</v>
      </c>
      <c r="CE201" s="218" t="s">
        <v>124</v>
      </c>
      <c r="CF201" s="218" t="s">
        <v>630</v>
      </c>
      <c r="CG201" s="218" t="s">
        <v>631</v>
      </c>
      <c r="CH201" s="218" t="s">
        <v>632</v>
      </c>
      <c r="CI201" s="227" t="s">
        <v>624</v>
      </c>
      <c r="CJ201" s="227" t="s">
        <v>725</v>
      </c>
      <c r="CK201" s="227" t="s">
        <v>625</v>
      </c>
      <c r="CL201" s="227" t="s">
        <v>626</v>
      </c>
      <c r="CM201" s="218" t="s">
        <v>124</v>
      </c>
      <c r="CN201" s="218" t="s">
        <v>633</v>
      </c>
      <c r="CO201" s="218" t="s">
        <v>634</v>
      </c>
      <c r="CP201" s="218" t="s">
        <v>635</v>
      </c>
      <c r="CQ201" s="218" t="s">
        <v>632</v>
      </c>
      <c r="CR201" s="122" t="s">
        <v>624</v>
      </c>
      <c r="CS201" s="122" t="s">
        <v>726</v>
      </c>
      <c r="CT201" s="122" t="s">
        <v>727</v>
      </c>
      <c r="CU201" s="122" t="s">
        <v>637</v>
      </c>
      <c r="CV201" s="122" t="s">
        <v>638</v>
      </c>
      <c r="CW201" s="122" t="s">
        <v>728</v>
      </c>
      <c r="CX201" s="122" t="s">
        <v>626</v>
      </c>
      <c r="CY201" s="122" t="s">
        <v>729</v>
      </c>
      <c r="CZ201" s="190"/>
      <c r="DA201" s="67" t="s">
        <v>89</v>
      </c>
      <c r="DB201" s="219" t="s">
        <v>91</v>
      </c>
      <c r="DC201" s="219" t="s">
        <v>99</v>
      </c>
      <c r="DD201" s="215" t="s">
        <v>92</v>
      </c>
      <c r="DE201" s="215" t="s">
        <v>97</v>
      </c>
      <c r="DF201" s="215" t="s">
        <v>93</v>
      </c>
      <c r="DG201" s="215" t="s">
        <v>94</v>
      </c>
      <c r="DH201" s="223" t="s">
        <v>96</v>
      </c>
      <c r="DI201" s="223" t="s">
        <v>98</v>
      </c>
      <c r="DJ201" s="219" t="s">
        <v>95</v>
      </c>
      <c r="DK201" s="219" t="s">
        <v>102</v>
      </c>
      <c r="DL201" s="190"/>
      <c r="DM201" s="127"/>
      <c r="DN201" s="127"/>
      <c r="DO201" s="127"/>
      <c r="DP201" s="127"/>
    </row>
    <row r="202" spans="1:120" x14ac:dyDescent="0.25">
      <c r="A202" s="190"/>
      <c r="B202" s="188">
        <v>2013</v>
      </c>
      <c r="C202" s="61" t="s">
        <v>320</v>
      </c>
      <c r="D202" s="172">
        <f>pAsympt_NoCare_2013plus_u</f>
        <v>0.63376008575865694</v>
      </c>
      <c r="E202" s="172">
        <f>pAsympt_NoCare_Asympt_InCare_2013plus_u</f>
        <v>7.4027434914144222E-2</v>
      </c>
      <c r="F202" s="169">
        <v>0</v>
      </c>
      <c r="G202" s="170">
        <f>pAsympt_NoCare_Asympt_Dead_2013plus_u</f>
        <v>1.818504441305463E-2</v>
      </c>
      <c r="H202" s="170">
        <f>pAsympt_NoCare_Int_NoCare_2013plus_u</f>
        <v>0.2</v>
      </c>
      <c r="I202" s="172">
        <f>pAsympt_NoCare_Int_InCare_2013plus_u</f>
        <v>7.4027434914144222E-2</v>
      </c>
      <c r="J202" s="171">
        <f>pAsympt_NoCare_Int_ART1_2013plus_u</f>
        <v>0</v>
      </c>
      <c r="K202" s="169">
        <v>0</v>
      </c>
      <c r="L202" s="169">
        <v>0</v>
      </c>
      <c r="M202" s="169">
        <v>0</v>
      </c>
      <c r="N202" s="169">
        <v>0</v>
      </c>
      <c r="O202" s="169">
        <v>0</v>
      </c>
      <c r="P202" s="169">
        <v>0</v>
      </c>
      <c r="Q202" s="169">
        <v>0</v>
      </c>
      <c r="R202" s="169">
        <v>0</v>
      </c>
      <c r="S202" s="169">
        <v>0</v>
      </c>
      <c r="T202" s="169">
        <v>0</v>
      </c>
      <c r="U202" s="61">
        <f>SUM(D202:T202)</f>
        <v>0.99999999999999989</v>
      </c>
      <c r="V202" s="190"/>
      <c r="W202" s="66">
        <v>0</v>
      </c>
      <c r="X202" s="66">
        <v>2004</v>
      </c>
      <c r="Y202" s="69">
        <v>0</v>
      </c>
      <c r="Z202" s="69">
        <v>0</v>
      </c>
      <c r="AA202" s="69">
        <v>0</v>
      </c>
      <c r="AB202" s="69">
        <v>0</v>
      </c>
      <c r="AC202" s="69">
        <v>0</v>
      </c>
      <c r="AD202" s="69">
        <v>0</v>
      </c>
      <c r="AE202" s="69">
        <v>0</v>
      </c>
      <c r="AF202" s="69">
        <v>0</v>
      </c>
      <c r="AG202" s="69">
        <v>0</v>
      </c>
      <c r="AH202" s="69">
        <v>0</v>
      </c>
      <c r="AI202" s="69">
        <v>0</v>
      </c>
      <c r="AJ202" s="69">
        <v>0</v>
      </c>
      <c r="AK202" s="69">
        <v>0</v>
      </c>
      <c r="AL202" s="69">
        <v>0</v>
      </c>
      <c r="AM202" s="69">
        <v>0</v>
      </c>
      <c r="AN202" s="69">
        <v>0</v>
      </c>
      <c r="AO202" s="69">
        <v>0</v>
      </c>
      <c r="AP202" s="190"/>
      <c r="AQ202" s="66">
        <v>0</v>
      </c>
      <c r="AR202" s="66">
        <v>2004</v>
      </c>
      <c r="AS202" s="215">
        <f t="shared" ref="AS202:AS221" si="1577">Inc_2013*Y202</f>
        <v>0</v>
      </c>
      <c r="AT202" s="215">
        <f t="shared" ref="AT202:AT221" si="1578">Inc_2013*Z202</f>
        <v>0</v>
      </c>
      <c r="AU202" s="215">
        <f t="shared" ref="AU202:AU221" si="1579">Inc_2013*AA202</f>
        <v>0</v>
      </c>
      <c r="AV202" s="215">
        <f t="shared" ref="AV202:AV221" si="1580">Inc_2013*AB202</f>
        <v>0</v>
      </c>
      <c r="AW202" s="215">
        <f t="shared" ref="AW202:AW221" si="1581">Inc_2013*AC202</f>
        <v>0</v>
      </c>
      <c r="AX202" s="215">
        <f t="shared" ref="AX202:AX221" si="1582">Inc_2013*AD202</f>
        <v>0</v>
      </c>
      <c r="AY202" s="215">
        <f t="shared" ref="AY202:AY221" si="1583">Inc_2013*AE202</f>
        <v>0</v>
      </c>
      <c r="AZ202" s="215">
        <f t="shared" ref="AZ202:AZ221" si="1584">Inc_2013*AF202</f>
        <v>0</v>
      </c>
      <c r="BA202" s="215">
        <f t="shared" ref="BA202:BA221" si="1585">Inc_2013*AG202</f>
        <v>0</v>
      </c>
      <c r="BB202" s="215">
        <f t="shared" ref="BB202:BB221" si="1586">Inc_2013*AH202</f>
        <v>0</v>
      </c>
      <c r="BC202" s="215">
        <f t="shared" ref="BC202:BC221" si="1587">Inc_2013*AI202</f>
        <v>0</v>
      </c>
      <c r="BD202" s="215">
        <f t="shared" ref="BD202:BD221" si="1588">Inc_2013*AJ202</f>
        <v>0</v>
      </c>
      <c r="BE202" s="215">
        <f t="shared" ref="BE202:BE221" si="1589">Inc_2013*AK202</f>
        <v>0</v>
      </c>
      <c r="BF202" s="215">
        <f t="shared" ref="BF202:BF221" si="1590">Inc_2013*AL202</f>
        <v>0</v>
      </c>
      <c r="BG202" s="215">
        <f t="shared" ref="BG202:BG221" si="1591">Inc_2013*AM202</f>
        <v>0</v>
      </c>
      <c r="BH202" s="215">
        <f t="shared" ref="BH202:BH221" si="1592">Inc_2013*AN202</f>
        <v>0</v>
      </c>
      <c r="BI202" s="215">
        <f t="shared" ref="BI202:BI221" si="1593">Inc_2013*AO202</f>
        <v>0</v>
      </c>
      <c r="BJ202" s="194"/>
      <c r="BK202" s="66">
        <v>0</v>
      </c>
      <c r="BL202" s="66">
        <v>2004</v>
      </c>
      <c r="BM202" s="215">
        <f>BA202</f>
        <v>0</v>
      </c>
      <c r="BN202" s="219">
        <v>0</v>
      </c>
      <c r="BO202" s="219">
        <v>0</v>
      </c>
      <c r="BP202" s="219">
        <v>0</v>
      </c>
      <c r="BQ202" s="219">
        <f>BH202</f>
        <v>0</v>
      </c>
      <c r="BR202" s="219">
        <v>0</v>
      </c>
      <c r="BS202" s="219">
        <v>0</v>
      </c>
      <c r="BT202" s="219">
        <v>0</v>
      </c>
      <c r="BU202" s="219">
        <v>0</v>
      </c>
      <c r="BV202" s="219">
        <v>0</v>
      </c>
      <c r="BW202" s="219">
        <v>0</v>
      </c>
      <c r="BX202" s="219">
        <v>0</v>
      </c>
      <c r="BY202" s="195"/>
      <c r="BZ202" s="192">
        <v>0</v>
      </c>
      <c r="CA202" s="66">
        <v>2004</v>
      </c>
      <c r="CB202" s="218">
        <v>0</v>
      </c>
      <c r="CC202" s="218">
        <v>0</v>
      </c>
      <c r="CD202" s="218">
        <v>0</v>
      </c>
      <c r="CE202" s="218">
        <v>0</v>
      </c>
      <c r="CF202" s="218">
        <v>0</v>
      </c>
      <c r="CG202" s="218">
        <v>0</v>
      </c>
      <c r="CH202" s="218">
        <v>0</v>
      </c>
      <c r="CI202" s="218">
        <v>0</v>
      </c>
      <c r="CJ202" s="218">
        <v>0</v>
      </c>
      <c r="CK202" s="218">
        <v>0</v>
      </c>
      <c r="CL202" s="218">
        <v>0</v>
      </c>
      <c r="CM202" s="218">
        <v>0</v>
      </c>
      <c r="CN202" s="218">
        <v>0</v>
      </c>
      <c r="CO202" s="218">
        <v>0</v>
      </c>
      <c r="CP202" s="218">
        <v>0</v>
      </c>
      <c r="CQ202" s="218">
        <v>0</v>
      </c>
      <c r="CR202" s="218">
        <v>0</v>
      </c>
      <c r="CS202" s="218">
        <v>0</v>
      </c>
      <c r="CT202" s="218">
        <v>0</v>
      </c>
      <c r="CU202" s="218">
        <v>0</v>
      </c>
      <c r="CV202" s="218">
        <v>0</v>
      </c>
      <c r="CW202" s="218">
        <v>0</v>
      </c>
      <c r="CX202" s="218">
        <v>0</v>
      </c>
      <c r="CY202" s="218">
        <v>0</v>
      </c>
      <c r="CZ202" s="190"/>
      <c r="DA202" s="67">
        <v>2004</v>
      </c>
      <c r="DB202" s="218">
        <f t="shared" ref="DB202:DB221" si="1594">SUM(AT202,AX202,BD202)</f>
        <v>0</v>
      </c>
      <c r="DC202" s="218">
        <f t="shared" ref="DC202:DC221" si="1595">SUM(AS202:AU202,AW202:BA202,BC202:BH202)</f>
        <v>0</v>
      </c>
      <c r="DD202" s="73">
        <f t="shared" ref="DD202:DD221" si="1596">SUM(AY202:AZ202,BE202:BG202)</f>
        <v>0</v>
      </c>
      <c r="DE202" s="73">
        <f t="shared" ref="DE202:DE221" si="1597">SUM(BE202:BG202)</f>
        <v>0</v>
      </c>
      <c r="DF202" s="73">
        <f t="shared" ref="DF202:DF221" si="1598">SUM(BC202,BD202,BH202)</f>
        <v>0</v>
      </c>
      <c r="DG202" s="73">
        <f t="shared" ref="DG202:DG221" si="1599">SUM(BC202,BD202,BH202,AW202,AX202,BA202)</f>
        <v>0</v>
      </c>
      <c r="DH202" s="72" t="e">
        <f>DD202/(DD202+DG202)</f>
        <v>#DIV/0!</v>
      </c>
      <c r="DI202" s="72" t="e">
        <f>DE202/(DE202+DF202)</f>
        <v>#DIV/0!</v>
      </c>
      <c r="DJ202" s="73">
        <f>SUM(AV202,BB202,BI202)</f>
        <v>0</v>
      </c>
      <c r="DK202" s="73">
        <v>0</v>
      </c>
      <c r="DL202" s="190"/>
    </row>
    <row r="203" spans="1:120" x14ac:dyDescent="0.25">
      <c r="A203" s="190"/>
      <c r="B203" s="188">
        <v>2013</v>
      </c>
      <c r="C203" s="61" t="s">
        <v>319</v>
      </c>
      <c r="D203" s="169">
        <v>0</v>
      </c>
      <c r="E203" s="172">
        <f>pAsympt_InCare_2013plus_u</f>
        <v>0.43814160225821158</v>
      </c>
      <c r="F203" s="170">
        <f>pAsympt_InCare_Asympt_LTFU_2013plus_u</f>
        <v>0.30679530417926698</v>
      </c>
      <c r="G203" s="170">
        <f>pAsympt_InCare_Asympt_Dead_2013plus_u</f>
        <v>1.7063093562521336E-2</v>
      </c>
      <c r="H203" s="169">
        <v>0</v>
      </c>
      <c r="I203" s="170">
        <f>pAsympt_InCare_Int_InCare_2013plus_u</f>
        <v>0.2</v>
      </c>
      <c r="J203" s="170">
        <f>pAsympt_InCare_Int_ART1_2013plus_u</f>
        <v>3.7999999999999999E-2</v>
      </c>
      <c r="K203" s="169">
        <v>0</v>
      </c>
      <c r="L203" s="169">
        <v>0</v>
      </c>
      <c r="M203" s="169">
        <v>0</v>
      </c>
      <c r="N203" s="169">
        <v>0</v>
      </c>
      <c r="O203" s="169">
        <v>0</v>
      </c>
      <c r="P203" s="169">
        <v>0</v>
      </c>
      <c r="Q203" s="169">
        <v>0</v>
      </c>
      <c r="R203" s="169">
        <v>0</v>
      </c>
      <c r="S203" s="169">
        <v>0</v>
      </c>
      <c r="T203" s="169">
        <v>0</v>
      </c>
      <c r="U203" s="61">
        <f t="shared" ref="U203:U218" si="1600">SUM(D203:T203)</f>
        <v>1</v>
      </c>
      <c r="V203" s="190"/>
      <c r="W203" s="66">
        <v>1</v>
      </c>
      <c r="X203" s="66">
        <v>2005</v>
      </c>
      <c r="Y203" s="69">
        <v>0</v>
      </c>
      <c r="Z203" s="69">
        <v>0</v>
      </c>
      <c r="AA203" s="69">
        <v>0</v>
      </c>
      <c r="AB203" s="69">
        <v>0</v>
      </c>
      <c r="AC203" s="69">
        <v>0</v>
      </c>
      <c r="AD203" s="69">
        <v>0</v>
      </c>
      <c r="AE203" s="69">
        <v>0</v>
      </c>
      <c r="AF203" s="69">
        <v>0</v>
      </c>
      <c r="AG203" s="69">
        <v>0</v>
      </c>
      <c r="AH203" s="69">
        <v>0</v>
      </c>
      <c r="AI203" s="69">
        <v>0</v>
      </c>
      <c r="AJ203" s="69">
        <v>0</v>
      </c>
      <c r="AK203" s="69">
        <v>0</v>
      </c>
      <c r="AL203" s="69">
        <v>0</v>
      </c>
      <c r="AM203" s="69">
        <v>0</v>
      </c>
      <c r="AN203" s="69">
        <v>0</v>
      </c>
      <c r="AO203" s="69">
        <v>0</v>
      </c>
      <c r="AP203" s="190"/>
      <c r="AQ203" s="66">
        <v>1</v>
      </c>
      <c r="AR203" s="66">
        <v>2005</v>
      </c>
      <c r="AS203" s="215">
        <f t="shared" si="1577"/>
        <v>0</v>
      </c>
      <c r="AT203" s="215">
        <f t="shared" si="1578"/>
        <v>0</v>
      </c>
      <c r="AU203" s="215">
        <f t="shared" si="1579"/>
        <v>0</v>
      </c>
      <c r="AV203" s="215">
        <f t="shared" si="1580"/>
        <v>0</v>
      </c>
      <c r="AW203" s="215">
        <f t="shared" si="1581"/>
        <v>0</v>
      </c>
      <c r="AX203" s="215">
        <f t="shared" si="1582"/>
        <v>0</v>
      </c>
      <c r="AY203" s="215">
        <f t="shared" si="1583"/>
        <v>0</v>
      </c>
      <c r="AZ203" s="215">
        <f t="shared" si="1584"/>
        <v>0</v>
      </c>
      <c r="BA203" s="215">
        <f t="shared" si="1585"/>
        <v>0</v>
      </c>
      <c r="BB203" s="215">
        <f t="shared" si="1586"/>
        <v>0</v>
      </c>
      <c r="BC203" s="215">
        <f t="shared" si="1587"/>
        <v>0</v>
      </c>
      <c r="BD203" s="215">
        <f t="shared" si="1588"/>
        <v>0</v>
      </c>
      <c r="BE203" s="215">
        <f t="shared" si="1589"/>
        <v>0</v>
      </c>
      <c r="BF203" s="215">
        <f t="shared" si="1590"/>
        <v>0</v>
      </c>
      <c r="BG203" s="215">
        <f t="shared" si="1591"/>
        <v>0</v>
      </c>
      <c r="BH203" s="215">
        <f t="shared" si="1592"/>
        <v>0</v>
      </c>
      <c r="BI203" s="215">
        <f t="shared" si="1593"/>
        <v>0</v>
      </c>
      <c r="BJ203" s="194"/>
      <c r="BK203" s="66">
        <v>1</v>
      </c>
      <c r="BL203" s="66">
        <v>2005</v>
      </c>
      <c r="BM203" s="215">
        <f t="shared" ref="BM203:BM210" si="1601">(AX202*pInt_InCare_Int_LTFU_2004_2012)+(BM202*pInt_LTFU_2004_2012)</f>
        <v>0</v>
      </c>
      <c r="BN203" s="219">
        <f t="shared" ref="BN203:BN210" si="1602">(AU202*pAsympt_LTFU_Int_LTFU_2004_2012)+(BN202*pInt_LTFU_2004_2012)</f>
        <v>0</v>
      </c>
      <c r="BO203" s="219">
        <f t="shared" ref="BO203:BO210" si="1603">(AY202*pInt_ART1_Int_LTFU_2004_2012)+(BO202*pInt_LTFU_2004_2012)</f>
        <v>0</v>
      </c>
      <c r="BP203" s="219">
        <v>0</v>
      </c>
      <c r="BQ203" s="219">
        <f t="shared" ref="BQ203:BQ210" si="1604">(BD202*pAIDS_InCare_AIDS_LTFU_2004_2012)+(BQ202*pAIDS_LTFU_2004_2012)</f>
        <v>0</v>
      </c>
      <c r="BR203" s="220">
        <f>(BN202*pInt_LTFU_AIDS_LTFU_2004_2012)</f>
        <v>0</v>
      </c>
      <c r="BS203" s="219">
        <f>(BM202*pInt_LTFU_AIDS_LTFU_2004_2012)</f>
        <v>0</v>
      </c>
      <c r="BT203" s="219">
        <f>(BE202*pAIDS_ART1ear_AIDS_LTFU_2004_2012)</f>
        <v>0</v>
      </c>
      <c r="BU203" s="219">
        <f>(BF202*pAIDS_ART1late_AIDS_LTFU_2004_2012)</f>
        <v>0</v>
      </c>
      <c r="BV203" s="219">
        <f>(BO202*pInt_LTFU_AIDS_LTFU_2004_2012)</f>
        <v>0</v>
      </c>
      <c r="BW203" s="219">
        <f>(BG202*pAIDS_ART2_AIDS_LTFU_2004_2012)</f>
        <v>0</v>
      </c>
      <c r="BX203" s="220">
        <f>(BP202*pInt_LTFU_AIDS_LTFU_2004_2012)</f>
        <v>0</v>
      </c>
      <c r="BY203" s="195"/>
      <c r="BZ203" s="192">
        <v>1</v>
      </c>
      <c r="CA203" s="66">
        <v>2005</v>
      </c>
      <c r="CB203" s="218">
        <f>pAsympt_NoCare_Asympt_Dead_2004_2006*AS202</f>
        <v>0</v>
      </c>
      <c r="CC203" s="218">
        <f t="shared" ref="CC203:CC210" si="1605">pAsympt_InCare_Asympt_Dead_2004_2012*AT202</f>
        <v>0</v>
      </c>
      <c r="CD203" s="73">
        <f t="shared" ref="CD203:CD210" si="1606">pAsympt_LTFU_Asympt_Dead_2004_2012*AU202</f>
        <v>0</v>
      </c>
      <c r="CE203" s="73">
        <f>pInt_NoCare_Int_Dead_2004_2006*AW202</f>
        <v>0</v>
      </c>
      <c r="CF203" s="73">
        <f t="shared" ref="CF203:CF210" si="1607">pInt_InCare_Int_Dead_2004_2012*AX202</f>
        <v>0</v>
      </c>
      <c r="CG203" s="73">
        <f t="shared" ref="CG203:CG210" si="1608">pInt_ART1_Int_Dead_2004_2012*AY202</f>
        <v>0</v>
      </c>
      <c r="CH203" s="73">
        <f t="shared" ref="CH203:CH210" si="1609">pInt_ART2_Int_Dead_2004_2012*AZ202</f>
        <v>0</v>
      </c>
      <c r="CI203" s="73">
        <f t="shared" ref="CI203:CI210" si="1610">(BM202*pInt_LTFU_Int_Dead_2004_2012)</f>
        <v>0</v>
      </c>
      <c r="CJ203" s="73">
        <f t="shared" ref="CJ203:CJ210" si="1611">(BN202*pInt_LTFU_Int_Dead_2004_2012)</f>
        <v>0</v>
      </c>
      <c r="CK203" s="73">
        <f t="shared" ref="CK203:CK210" si="1612">(BO202*pInt_LTFU_Int_Dead_2004_2012)</f>
        <v>0</v>
      </c>
      <c r="CL203" s="73">
        <f t="shared" ref="CL203:CL210" si="1613">(BP202*pInt_LTFU_Int_Dead_2004_2012)</f>
        <v>0</v>
      </c>
      <c r="CM203" s="73">
        <f t="shared" ref="CM203:CM204" si="1614">pAIDS_NoCare_AIDS_Dead_2004_2006*BC202</f>
        <v>0</v>
      </c>
      <c r="CN203" s="73">
        <f t="shared" ref="CN203:CN210" si="1615">pAIDS_InCare_AIDS_Dead_2004_2012*BD202</f>
        <v>0</v>
      </c>
      <c r="CO203" s="73">
        <f t="shared" ref="CO203:CO210" si="1616">pAIDS_ART1ear_AIDS_Dead_2004_2012*BE202</f>
        <v>0</v>
      </c>
      <c r="CP203" s="73">
        <f t="shared" ref="CP203:CP210" si="1617">pAIDS_ART1late_AIDS_Dead_2004_2012*BF202</f>
        <v>0</v>
      </c>
      <c r="CQ203" s="73">
        <f t="shared" ref="CQ203:CQ210" si="1618">pAIDS_ART2_AIDS_Dead_2004_2012*BG202</f>
        <v>0</v>
      </c>
      <c r="CR203" s="73">
        <f t="shared" ref="CR203:CR210" si="1619">(BQ202*pAIDS_LTFU_AIDS_Dead_2004_2012)</f>
        <v>0</v>
      </c>
      <c r="CS203" s="73">
        <f t="shared" ref="CS203:CS210" si="1620">(BR202*pAIDS_LTFU_AIDS_Dead_2004_2012)</f>
        <v>0</v>
      </c>
      <c r="CT203" s="73">
        <f t="shared" ref="CT203:CT210" si="1621">(BS202*pAIDS_LTFU_AIDS_Dead_2004_2012)</f>
        <v>0</v>
      </c>
      <c r="CU203" s="73">
        <f t="shared" ref="CU203:CU210" si="1622">(BT202*pAIDS_LTFU_AIDS_Dead_2004_2012)</f>
        <v>0</v>
      </c>
      <c r="CV203" s="73">
        <f t="shared" ref="CV203:CV210" si="1623">(BU202*pAIDS_LTFU_AIDS_Dead_2004_2012)</f>
        <v>0</v>
      </c>
      <c r="CW203" s="73">
        <f t="shared" ref="CW203:CW210" si="1624">(BV202*pAIDS_LTFU_AIDS_Dead_2004_2012)</f>
        <v>0</v>
      </c>
      <c r="CX203" s="73">
        <f t="shared" ref="CX203:CX210" si="1625">(BW202*pAIDS_LTFU_AIDS_Dead_2004_2012)</f>
        <v>0</v>
      </c>
      <c r="CY203" s="73">
        <f t="shared" ref="CY203:CY210" si="1626">(BX202*pAIDS_LTFU_AIDS_Dead_2004_2012)</f>
        <v>0</v>
      </c>
      <c r="CZ203" s="190"/>
      <c r="DA203" s="67">
        <v>2005</v>
      </c>
      <c r="DB203" s="218">
        <f t="shared" si="1594"/>
        <v>0</v>
      </c>
      <c r="DC203" s="218">
        <f t="shared" si="1595"/>
        <v>0</v>
      </c>
      <c r="DD203" s="73">
        <f t="shared" si="1596"/>
        <v>0</v>
      </c>
      <c r="DE203" s="73">
        <f t="shared" si="1597"/>
        <v>0</v>
      </c>
      <c r="DF203" s="73">
        <f t="shared" si="1598"/>
        <v>0</v>
      </c>
      <c r="DG203" s="73">
        <f t="shared" si="1599"/>
        <v>0</v>
      </c>
      <c r="DH203" s="72" t="e">
        <f t="shared" ref="DH203:DH221" si="1627">DD203/(DD203+DG203)</f>
        <v>#DIV/0!</v>
      </c>
      <c r="DI203" s="72" t="e">
        <f t="shared" ref="DI203:DI221" si="1628">DE203/(DE203+DF203)</f>
        <v>#DIV/0!</v>
      </c>
      <c r="DJ203" s="73">
        <f>SUM(AV202:AV203,BB202:BB203,BI202:BI203)</f>
        <v>0</v>
      </c>
      <c r="DK203" s="73">
        <v>0</v>
      </c>
      <c r="DL203" s="190"/>
    </row>
    <row r="204" spans="1:120" x14ac:dyDescent="0.25">
      <c r="A204" s="190"/>
      <c r="B204" s="188">
        <v>2013</v>
      </c>
      <c r="C204" s="61" t="s">
        <v>318</v>
      </c>
      <c r="D204" s="169">
        <v>0</v>
      </c>
      <c r="E204" s="169">
        <v>0</v>
      </c>
      <c r="F204" s="172">
        <f>pAsympt_LTFU_2013plus_u</f>
        <v>0.65051495558694539</v>
      </c>
      <c r="G204" s="170">
        <f>pAsympt_LTFU_Asympt_Dead_2013plus_u</f>
        <v>1.818504441305463E-2</v>
      </c>
      <c r="H204" s="169">
        <v>0</v>
      </c>
      <c r="I204" s="169">
        <v>0</v>
      </c>
      <c r="J204" s="171">
        <f>pAsympt_LTFU_Int_ART1_2013plus_u</f>
        <v>0.1313</v>
      </c>
      <c r="K204" s="169">
        <v>0</v>
      </c>
      <c r="L204" s="170">
        <f>pAsympt_LTFU_Int_LTFU_2013plus_u</f>
        <v>0.2</v>
      </c>
      <c r="M204" s="169">
        <v>0</v>
      </c>
      <c r="N204" s="169">
        <v>0</v>
      </c>
      <c r="O204" s="169">
        <v>0</v>
      </c>
      <c r="P204" s="169">
        <v>0</v>
      </c>
      <c r="Q204" s="169">
        <v>0</v>
      </c>
      <c r="R204" s="169">
        <v>0</v>
      </c>
      <c r="S204" s="169">
        <v>0</v>
      </c>
      <c r="T204" s="169">
        <v>0</v>
      </c>
      <c r="U204" s="61">
        <f t="shared" si="1600"/>
        <v>1</v>
      </c>
      <c r="V204" s="190"/>
      <c r="W204" s="66">
        <v>2</v>
      </c>
      <c r="X204" s="66">
        <v>2006</v>
      </c>
      <c r="Y204" s="69">
        <v>0</v>
      </c>
      <c r="Z204" s="69">
        <v>0</v>
      </c>
      <c r="AA204" s="69">
        <v>0</v>
      </c>
      <c r="AB204" s="69">
        <v>0</v>
      </c>
      <c r="AC204" s="69">
        <v>0</v>
      </c>
      <c r="AD204" s="69">
        <v>0</v>
      </c>
      <c r="AE204" s="69">
        <v>0</v>
      </c>
      <c r="AF204" s="69">
        <v>0</v>
      </c>
      <c r="AG204" s="69">
        <v>0</v>
      </c>
      <c r="AH204" s="69">
        <v>0</v>
      </c>
      <c r="AI204" s="69">
        <v>0</v>
      </c>
      <c r="AJ204" s="69">
        <v>0</v>
      </c>
      <c r="AK204" s="69">
        <v>0</v>
      </c>
      <c r="AL204" s="69">
        <v>0</v>
      </c>
      <c r="AM204" s="69">
        <v>0</v>
      </c>
      <c r="AN204" s="69">
        <v>0</v>
      </c>
      <c r="AO204" s="69">
        <v>0</v>
      </c>
      <c r="AP204" s="190"/>
      <c r="AQ204" s="66">
        <v>2</v>
      </c>
      <c r="AR204" s="66">
        <v>2006</v>
      </c>
      <c r="AS204" s="215">
        <f t="shared" si="1577"/>
        <v>0</v>
      </c>
      <c r="AT204" s="215">
        <f t="shared" si="1578"/>
        <v>0</v>
      </c>
      <c r="AU204" s="215">
        <f t="shared" si="1579"/>
        <v>0</v>
      </c>
      <c r="AV204" s="215">
        <f t="shared" si="1580"/>
        <v>0</v>
      </c>
      <c r="AW204" s="215">
        <f t="shared" si="1581"/>
        <v>0</v>
      </c>
      <c r="AX204" s="215">
        <f t="shared" si="1582"/>
        <v>0</v>
      </c>
      <c r="AY204" s="215">
        <f t="shared" si="1583"/>
        <v>0</v>
      </c>
      <c r="AZ204" s="215">
        <f t="shared" si="1584"/>
        <v>0</v>
      </c>
      <c r="BA204" s="215">
        <f t="shared" si="1585"/>
        <v>0</v>
      </c>
      <c r="BB204" s="215">
        <f t="shared" si="1586"/>
        <v>0</v>
      </c>
      <c r="BC204" s="215">
        <f t="shared" si="1587"/>
        <v>0</v>
      </c>
      <c r="BD204" s="215">
        <f t="shared" si="1588"/>
        <v>0</v>
      </c>
      <c r="BE204" s="215">
        <f t="shared" si="1589"/>
        <v>0</v>
      </c>
      <c r="BF204" s="215">
        <f t="shared" si="1590"/>
        <v>0</v>
      </c>
      <c r="BG204" s="215">
        <f t="shared" si="1591"/>
        <v>0</v>
      </c>
      <c r="BH204" s="215">
        <f t="shared" si="1592"/>
        <v>0</v>
      </c>
      <c r="BI204" s="215">
        <f t="shared" si="1593"/>
        <v>0</v>
      </c>
      <c r="BJ204" s="194"/>
      <c r="BK204" s="66">
        <v>2</v>
      </c>
      <c r="BL204" s="66">
        <v>2006</v>
      </c>
      <c r="BM204" s="215">
        <f t="shared" si="1601"/>
        <v>0</v>
      </c>
      <c r="BN204" s="219">
        <f t="shared" si="1602"/>
        <v>0</v>
      </c>
      <c r="BO204" s="219">
        <f t="shared" si="1603"/>
        <v>0</v>
      </c>
      <c r="BP204" s="219">
        <f t="shared" ref="BP204:BP210" si="1629">(AZ203*pInt_ART2_Int_LTFU_2004_2012)+(BP203*pInt_LTFU_2004_2012)</f>
        <v>0</v>
      </c>
      <c r="BQ204" s="219">
        <f t="shared" si="1604"/>
        <v>0</v>
      </c>
      <c r="BR204" s="220">
        <f t="shared" ref="BR204:BR210" si="1630">(BN203*pInt_LTFU_AIDS_LTFU_2004_2012)+(BR203*pAIDS_LTFU_2004_2012)</f>
        <v>0</v>
      </c>
      <c r="BS204" s="219">
        <f t="shared" ref="BS204:BS210" si="1631">(BM203*pInt_LTFU_AIDS_LTFU_2004_2012)+(BS203*pAIDS_LTFU_2004_2012)</f>
        <v>0</v>
      </c>
      <c r="BT204" s="219">
        <f t="shared" ref="BT204:BT210" si="1632">(BE203*pAIDS_ART1ear_AIDS_LTFU_2004_2012)+(BT203*pAIDS_LTFU_2004_2012)</f>
        <v>0</v>
      </c>
      <c r="BU204" s="219">
        <f t="shared" ref="BU204:BU210" si="1633">(BF203*pAIDS_ART1late_AIDS_LTFU_2004_2012)+(BU203*pAIDS_LTFU_2004_2012)</f>
        <v>0</v>
      </c>
      <c r="BV204" s="219">
        <f t="shared" ref="BV204:BV210" si="1634">(BO203*pInt_LTFU_AIDS_LTFU_2004_2012)+(BV203*pAIDS_LTFU_2004_2012)</f>
        <v>0</v>
      </c>
      <c r="BW204" s="219">
        <f t="shared" ref="BW204:BW210" si="1635">(BG203*pAIDS_ART2_AIDS_LTFU_2004_2012)+(BW203*pAIDS_LTFU_2004_2012)</f>
        <v>0</v>
      </c>
      <c r="BX204" s="220">
        <f t="shared" ref="BX204:BX210" si="1636">(BP203*pInt_LTFU_AIDS_LTFU_2004_2012)+(BX203*pAIDS_LTFU_2004_2012)</f>
        <v>0</v>
      </c>
      <c r="BY204" s="195"/>
      <c r="BZ204" s="192">
        <v>2</v>
      </c>
      <c r="CA204" s="66">
        <v>2006</v>
      </c>
      <c r="CB204" s="218">
        <f>pAsympt_NoCare_Asympt_Dead_2004_2006*AS203</f>
        <v>0</v>
      </c>
      <c r="CC204" s="218">
        <f t="shared" si="1605"/>
        <v>0</v>
      </c>
      <c r="CD204" s="73">
        <f t="shared" si="1606"/>
        <v>0</v>
      </c>
      <c r="CE204" s="73">
        <f>pInt_NoCare_Int_Dead_2004_2006*AW203</f>
        <v>0</v>
      </c>
      <c r="CF204" s="73">
        <f t="shared" si="1607"/>
        <v>0</v>
      </c>
      <c r="CG204" s="73">
        <f t="shared" si="1608"/>
        <v>0</v>
      </c>
      <c r="CH204" s="73">
        <f t="shared" si="1609"/>
        <v>0</v>
      </c>
      <c r="CI204" s="73">
        <f t="shared" si="1610"/>
        <v>0</v>
      </c>
      <c r="CJ204" s="73">
        <f t="shared" si="1611"/>
        <v>0</v>
      </c>
      <c r="CK204" s="73">
        <f t="shared" si="1612"/>
        <v>0</v>
      </c>
      <c r="CL204" s="73">
        <f t="shared" si="1613"/>
        <v>0</v>
      </c>
      <c r="CM204" s="73">
        <f t="shared" si="1614"/>
        <v>0</v>
      </c>
      <c r="CN204" s="73">
        <f t="shared" si="1615"/>
        <v>0</v>
      </c>
      <c r="CO204" s="73">
        <f t="shared" si="1616"/>
        <v>0</v>
      </c>
      <c r="CP204" s="73">
        <f t="shared" si="1617"/>
        <v>0</v>
      </c>
      <c r="CQ204" s="73">
        <f t="shared" si="1618"/>
        <v>0</v>
      </c>
      <c r="CR204" s="73">
        <f t="shared" si="1619"/>
        <v>0</v>
      </c>
      <c r="CS204" s="73">
        <f t="shared" si="1620"/>
        <v>0</v>
      </c>
      <c r="CT204" s="73">
        <f t="shared" si="1621"/>
        <v>0</v>
      </c>
      <c r="CU204" s="73">
        <f t="shared" si="1622"/>
        <v>0</v>
      </c>
      <c r="CV204" s="73">
        <f t="shared" si="1623"/>
        <v>0</v>
      </c>
      <c r="CW204" s="73">
        <f t="shared" si="1624"/>
        <v>0</v>
      </c>
      <c r="CX204" s="73">
        <f t="shared" si="1625"/>
        <v>0</v>
      </c>
      <c r="CY204" s="73">
        <f t="shared" si="1626"/>
        <v>0</v>
      </c>
      <c r="CZ204" s="190"/>
      <c r="DA204" s="66">
        <v>2006</v>
      </c>
      <c r="DB204" s="218">
        <f t="shared" si="1594"/>
        <v>0</v>
      </c>
      <c r="DC204" s="218">
        <f t="shared" si="1595"/>
        <v>0</v>
      </c>
      <c r="DD204" s="73">
        <f t="shared" si="1596"/>
        <v>0</v>
      </c>
      <c r="DE204" s="73">
        <f t="shared" si="1597"/>
        <v>0</v>
      </c>
      <c r="DF204" s="73">
        <f t="shared" si="1598"/>
        <v>0</v>
      </c>
      <c r="DG204" s="73">
        <f t="shared" si="1599"/>
        <v>0</v>
      </c>
      <c r="DH204" s="72" t="e">
        <f t="shared" si="1627"/>
        <v>#DIV/0!</v>
      </c>
      <c r="DI204" s="72" t="e">
        <f t="shared" si="1628"/>
        <v>#DIV/0!</v>
      </c>
      <c r="DJ204" s="73">
        <f>SUM(AV202:AV204,BB202:BB204,BI202:BI204)</f>
        <v>0</v>
      </c>
      <c r="DK204" s="73">
        <v>0</v>
      </c>
      <c r="DL204" s="190"/>
    </row>
    <row r="205" spans="1:120" x14ac:dyDescent="0.25">
      <c r="A205" s="190"/>
      <c r="B205" s="188">
        <v>2013</v>
      </c>
      <c r="C205" s="61" t="s">
        <v>317</v>
      </c>
      <c r="D205" s="169">
        <v>0</v>
      </c>
      <c r="E205" s="169">
        <v>0</v>
      </c>
      <c r="F205" s="169">
        <v>0</v>
      </c>
      <c r="G205" s="169">
        <v>0</v>
      </c>
      <c r="H205" s="169">
        <v>0</v>
      </c>
      <c r="I205" s="169">
        <v>0</v>
      </c>
      <c r="J205" s="169">
        <v>0</v>
      </c>
      <c r="K205" s="169">
        <v>0</v>
      </c>
      <c r="L205" s="169">
        <v>0</v>
      </c>
      <c r="M205" s="169">
        <v>0</v>
      </c>
      <c r="N205" s="169">
        <v>0</v>
      </c>
      <c r="O205" s="169">
        <v>0</v>
      </c>
      <c r="P205" s="169">
        <v>0</v>
      </c>
      <c r="Q205" s="169">
        <v>0</v>
      </c>
      <c r="R205" s="169">
        <v>0</v>
      </c>
      <c r="S205" s="169">
        <v>0</v>
      </c>
      <c r="T205" s="169">
        <v>0</v>
      </c>
      <c r="U205" s="61">
        <f t="shared" si="1600"/>
        <v>0</v>
      </c>
      <c r="V205" s="190"/>
      <c r="W205" s="66">
        <v>3</v>
      </c>
      <c r="X205" s="66">
        <v>2007</v>
      </c>
      <c r="Y205" s="69">
        <v>0</v>
      </c>
      <c r="Z205" s="69">
        <v>0</v>
      </c>
      <c r="AA205" s="69">
        <v>0</v>
      </c>
      <c r="AB205" s="69">
        <v>0</v>
      </c>
      <c r="AC205" s="69">
        <v>0</v>
      </c>
      <c r="AD205" s="69">
        <v>0</v>
      </c>
      <c r="AE205" s="69">
        <v>0</v>
      </c>
      <c r="AF205" s="69">
        <v>0</v>
      </c>
      <c r="AG205" s="69">
        <v>0</v>
      </c>
      <c r="AH205" s="69">
        <v>0</v>
      </c>
      <c r="AI205" s="69">
        <v>0</v>
      </c>
      <c r="AJ205" s="69">
        <v>0</v>
      </c>
      <c r="AK205" s="69">
        <v>0</v>
      </c>
      <c r="AL205" s="69">
        <v>0</v>
      </c>
      <c r="AM205" s="69">
        <v>0</v>
      </c>
      <c r="AN205" s="69">
        <v>0</v>
      </c>
      <c r="AO205" s="69">
        <v>0</v>
      </c>
      <c r="AP205" s="190"/>
      <c r="AQ205" s="66">
        <v>3</v>
      </c>
      <c r="AR205" s="66">
        <v>2007</v>
      </c>
      <c r="AS205" s="215">
        <f t="shared" si="1577"/>
        <v>0</v>
      </c>
      <c r="AT205" s="215">
        <f t="shared" si="1578"/>
        <v>0</v>
      </c>
      <c r="AU205" s="215">
        <f t="shared" si="1579"/>
        <v>0</v>
      </c>
      <c r="AV205" s="215">
        <f t="shared" si="1580"/>
        <v>0</v>
      </c>
      <c r="AW205" s="215">
        <f t="shared" si="1581"/>
        <v>0</v>
      </c>
      <c r="AX205" s="215">
        <f t="shared" si="1582"/>
        <v>0</v>
      </c>
      <c r="AY205" s="215">
        <f t="shared" si="1583"/>
        <v>0</v>
      </c>
      <c r="AZ205" s="215">
        <f t="shared" si="1584"/>
        <v>0</v>
      </c>
      <c r="BA205" s="215">
        <f t="shared" si="1585"/>
        <v>0</v>
      </c>
      <c r="BB205" s="215">
        <f t="shared" si="1586"/>
        <v>0</v>
      </c>
      <c r="BC205" s="215">
        <f t="shared" si="1587"/>
        <v>0</v>
      </c>
      <c r="BD205" s="215">
        <f t="shared" si="1588"/>
        <v>0</v>
      </c>
      <c r="BE205" s="215">
        <f t="shared" si="1589"/>
        <v>0</v>
      </c>
      <c r="BF205" s="215">
        <f t="shared" si="1590"/>
        <v>0</v>
      </c>
      <c r="BG205" s="215">
        <f t="shared" si="1591"/>
        <v>0</v>
      </c>
      <c r="BH205" s="215">
        <f t="shared" si="1592"/>
        <v>0</v>
      </c>
      <c r="BI205" s="215">
        <f t="shared" si="1593"/>
        <v>0</v>
      </c>
      <c r="BJ205" s="194"/>
      <c r="BK205" s="66">
        <v>3</v>
      </c>
      <c r="BL205" s="66">
        <v>2007</v>
      </c>
      <c r="BM205" s="215">
        <f t="shared" si="1601"/>
        <v>0</v>
      </c>
      <c r="BN205" s="219">
        <f t="shared" si="1602"/>
        <v>0</v>
      </c>
      <c r="BO205" s="219">
        <f t="shared" si="1603"/>
        <v>0</v>
      </c>
      <c r="BP205" s="219">
        <f t="shared" si="1629"/>
        <v>0</v>
      </c>
      <c r="BQ205" s="219">
        <f t="shared" si="1604"/>
        <v>0</v>
      </c>
      <c r="BR205" s="220">
        <f t="shared" si="1630"/>
        <v>0</v>
      </c>
      <c r="BS205" s="219">
        <f t="shared" si="1631"/>
        <v>0</v>
      </c>
      <c r="BT205" s="219">
        <f t="shared" si="1632"/>
        <v>0</v>
      </c>
      <c r="BU205" s="219">
        <f t="shared" si="1633"/>
        <v>0</v>
      </c>
      <c r="BV205" s="219">
        <f t="shared" si="1634"/>
        <v>0</v>
      </c>
      <c r="BW205" s="219">
        <f t="shared" si="1635"/>
        <v>0</v>
      </c>
      <c r="BX205" s="220">
        <f t="shared" si="1636"/>
        <v>0</v>
      </c>
      <c r="BY205" s="195"/>
      <c r="BZ205" s="192">
        <v>3</v>
      </c>
      <c r="CA205" s="66">
        <v>2007</v>
      </c>
      <c r="CB205" s="218">
        <f>pAsympt_NoCare_Asympt_Dead_2007_2009*AS204</f>
        <v>0</v>
      </c>
      <c r="CC205" s="218">
        <f t="shared" si="1605"/>
        <v>0</v>
      </c>
      <c r="CD205" s="73">
        <f t="shared" si="1606"/>
        <v>0</v>
      </c>
      <c r="CE205" s="73">
        <f>pInt_NoCare_Int_Dead_2007_2009*AW204</f>
        <v>0</v>
      </c>
      <c r="CF205" s="73">
        <f t="shared" si="1607"/>
        <v>0</v>
      </c>
      <c r="CG205" s="73">
        <f t="shared" si="1608"/>
        <v>0</v>
      </c>
      <c r="CH205" s="73">
        <f t="shared" si="1609"/>
        <v>0</v>
      </c>
      <c r="CI205" s="73">
        <f t="shared" si="1610"/>
        <v>0</v>
      </c>
      <c r="CJ205" s="73">
        <f t="shared" si="1611"/>
        <v>0</v>
      </c>
      <c r="CK205" s="73">
        <f t="shared" si="1612"/>
        <v>0</v>
      </c>
      <c r="CL205" s="73">
        <f t="shared" si="1613"/>
        <v>0</v>
      </c>
      <c r="CM205" s="73">
        <f>pAIDS_NoCare_AIDS_Dead_2007_2009*BC204</f>
        <v>0</v>
      </c>
      <c r="CN205" s="73">
        <f t="shared" si="1615"/>
        <v>0</v>
      </c>
      <c r="CO205" s="73">
        <f t="shared" si="1616"/>
        <v>0</v>
      </c>
      <c r="CP205" s="73">
        <f t="shared" si="1617"/>
        <v>0</v>
      </c>
      <c r="CQ205" s="73">
        <f t="shared" si="1618"/>
        <v>0</v>
      </c>
      <c r="CR205" s="73">
        <f t="shared" si="1619"/>
        <v>0</v>
      </c>
      <c r="CS205" s="73">
        <f t="shared" si="1620"/>
        <v>0</v>
      </c>
      <c r="CT205" s="73">
        <f t="shared" si="1621"/>
        <v>0</v>
      </c>
      <c r="CU205" s="73">
        <f t="shared" si="1622"/>
        <v>0</v>
      </c>
      <c r="CV205" s="73">
        <f t="shared" si="1623"/>
        <v>0</v>
      </c>
      <c r="CW205" s="73">
        <f t="shared" si="1624"/>
        <v>0</v>
      </c>
      <c r="CX205" s="73">
        <f t="shared" si="1625"/>
        <v>0</v>
      </c>
      <c r="CY205" s="73">
        <f t="shared" si="1626"/>
        <v>0</v>
      </c>
      <c r="CZ205" s="190"/>
      <c r="DA205" s="66">
        <v>2007</v>
      </c>
      <c r="DB205" s="218">
        <f t="shared" si="1594"/>
        <v>0</v>
      </c>
      <c r="DC205" s="218">
        <f t="shared" si="1595"/>
        <v>0</v>
      </c>
      <c r="DD205" s="73">
        <f t="shared" si="1596"/>
        <v>0</v>
      </c>
      <c r="DE205" s="73">
        <f t="shared" si="1597"/>
        <v>0</v>
      </c>
      <c r="DF205" s="73">
        <f t="shared" si="1598"/>
        <v>0</v>
      </c>
      <c r="DG205" s="73">
        <f t="shared" si="1599"/>
        <v>0</v>
      </c>
      <c r="DH205" s="72" t="e">
        <f t="shared" si="1627"/>
        <v>#DIV/0!</v>
      </c>
      <c r="DI205" s="72" t="e">
        <f t="shared" si="1628"/>
        <v>#DIV/0!</v>
      </c>
      <c r="DJ205" s="73">
        <f>SUM(AV202:AV205,BB202:BB205,BI202:BI205)</f>
        <v>0</v>
      </c>
      <c r="DK205" s="218">
        <v>0</v>
      </c>
      <c r="DL205" s="190"/>
    </row>
    <row r="206" spans="1:120" x14ac:dyDescent="0.25">
      <c r="A206" s="190"/>
      <c r="B206" s="188">
        <v>2013</v>
      </c>
      <c r="C206" s="61" t="s">
        <v>321</v>
      </c>
      <c r="D206" s="169">
        <v>0</v>
      </c>
      <c r="E206" s="169">
        <v>0</v>
      </c>
      <c r="F206" s="169">
        <v>0</v>
      </c>
      <c r="G206" s="169">
        <v>0</v>
      </c>
      <c r="H206" s="172">
        <f>pInt_NoCare_2013plus_u</f>
        <v>0.47470496953425417</v>
      </c>
      <c r="I206" s="172">
        <f>pInt_NoCare_Int_InCare_2013plus_u</f>
        <v>9.8703246552192314E-2</v>
      </c>
      <c r="J206" s="170">
        <f>pInt_NoCare_Int_ART1_2013plus_u</f>
        <v>0</v>
      </c>
      <c r="K206" s="169">
        <v>0</v>
      </c>
      <c r="L206" s="169">
        <v>0</v>
      </c>
      <c r="M206" s="170">
        <f>pInt_NoCare_Int_Dead_2013plus_u</f>
        <v>2.7888537361361161E-2</v>
      </c>
      <c r="N206" s="170">
        <f>pInt_NoCare_AIDS_NoCare_2013plus_u</f>
        <v>0.3</v>
      </c>
      <c r="O206" s="172">
        <f>pInt_NoCare_AIDS_InCare_2013plus_u</f>
        <v>9.8703246552192314E-2</v>
      </c>
      <c r="P206" s="171">
        <f>pInt_NoCare_AIDS_ART1ear_2013plus_u</f>
        <v>0</v>
      </c>
      <c r="Q206" s="169">
        <v>0</v>
      </c>
      <c r="R206" s="169">
        <v>0</v>
      </c>
      <c r="S206" s="169">
        <v>0</v>
      </c>
      <c r="T206" s="169">
        <v>0</v>
      </c>
      <c r="U206" s="61">
        <f t="shared" si="1600"/>
        <v>0.99999999999999989</v>
      </c>
      <c r="V206" s="190"/>
      <c r="W206" s="66">
        <v>4</v>
      </c>
      <c r="X206" s="66">
        <v>2008</v>
      </c>
      <c r="Y206" s="69">
        <v>0</v>
      </c>
      <c r="Z206" s="69">
        <v>0</v>
      </c>
      <c r="AA206" s="69">
        <v>0</v>
      </c>
      <c r="AB206" s="69">
        <v>0</v>
      </c>
      <c r="AC206" s="69">
        <v>0</v>
      </c>
      <c r="AD206" s="69">
        <v>0</v>
      </c>
      <c r="AE206" s="69">
        <v>0</v>
      </c>
      <c r="AF206" s="69">
        <v>0</v>
      </c>
      <c r="AG206" s="69">
        <v>0</v>
      </c>
      <c r="AH206" s="69">
        <v>0</v>
      </c>
      <c r="AI206" s="69">
        <v>0</v>
      </c>
      <c r="AJ206" s="69">
        <v>0</v>
      </c>
      <c r="AK206" s="69">
        <v>0</v>
      </c>
      <c r="AL206" s="69">
        <v>0</v>
      </c>
      <c r="AM206" s="69">
        <v>0</v>
      </c>
      <c r="AN206" s="69">
        <v>0</v>
      </c>
      <c r="AO206" s="69">
        <v>0</v>
      </c>
      <c r="AP206" s="190"/>
      <c r="AQ206" s="66">
        <v>4</v>
      </c>
      <c r="AR206" s="66">
        <v>2008</v>
      </c>
      <c r="AS206" s="215">
        <f t="shared" si="1577"/>
        <v>0</v>
      </c>
      <c r="AT206" s="215">
        <f t="shared" si="1578"/>
        <v>0</v>
      </c>
      <c r="AU206" s="215">
        <f t="shared" si="1579"/>
        <v>0</v>
      </c>
      <c r="AV206" s="215">
        <f t="shared" si="1580"/>
        <v>0</v>
      </c>
      <c r="AW206" s="215">
        <f t="shared" si="1581"/>
        <v>0</v>
      </c>
      <c r="AX206" s="215">
        <f t="shared" si="1582"/>
        <v>0</v>
      </c>
      <c r="AY206" s="215">
        <f t="shared" si="1583"/>
        <v>0</v>
      </c>
      <c r="AZ206" s="215">
        <f t="shared" si="1584"/>
        <v>0</v>
      </c>
      <c r="BA206" s="215">
        <f t="shared" si="1585"/>
        <v>0</v>
      </c>
      <c r="BB206" s="215">
        <f t="shared" si="1586"/>
        <v>0</v>
      </c>
      <c r="BC206" s="215">
        <f t="shared" si="1587"/>
        <v>0</v>
      </c>
      <c r="BD206" s="215">
        <f t="shared" si="1588"/>
        <v>0</v>
      </c>
      <c r="BE206" s="215">
        <f t="shared" si="1589"/>
        <v>0</v>
      </c>
      <c r="BF206" s="215">
        <f t="shared" si="1590"/>
        <v>0</v>
      </c>
      <c r="BG206" s="215">
        <f t="shared" si="1591"/>
        <v>0</v>
      </c>
      <c r="BH206" s="215">
        <f t="shared" si="1592"/>
        <v>0</v>
      </c>
      <c r="BI206" s="215">
        <f t="shared" si="1593"/>
        <v>0</v>
      </c>
      <c r="BJ206" s="194"/>
      <c r="BK206" s="66">
        <v>4</v>
      </c>
      <c r="BL206" s="66">
        <v>2008</v>
      </c>
      <c r="BM206" s="215">
        <f t="shared" si="1601"/>
        <v>0</v>
      </c>
      <c r="BN206" s="219">
        <f t="shared" si="1602"/>
        <v>0</v>
      </c>
      <c r="BO206" s="219">
        <f t="shared" si="1603"/>
        <v>0</v>
      </c>
      <c r="BP206" s="219">
        <f t="shared" si="1629"/>
        <v>0</v>
      </c>
      <c r="BQ206" s="219">
        <f t="shared" si="1604"/>
        <v>0</v>
      </c>
      <c r="BR206" s="220">
        <f t="shared" si="1630"/>
        <v>0</v>
      </c>
      <c r="BS206" s="219">
        <f t="shared" si="1631"/>
        <v>0</v>
      </c>
      <c r="BT206" s="219">
        <f t="shared" si="1632"/>
        <v>0</v>
      </c>
      <c r="BU206" s="219">
        <f t="shared" si="1633"/>
        <v>0</v>
      </c>
      <c r="BV206" s="219">
        <f t="shared" si="1634"/>
        <v>0</v>
      </c>
      <c r="BW206" s="219">
        <f t="shared" si="1635"/>
        <v>0</v>
      </c>
      <c r="BX206" s="220">
        <f t="shared" si="1636"/>
        <v>0</v>
      </c>
      <c r="BY206" s="195"/>
      <c r="BZ206" s="192">
        <v>4</v>
      </c>
      <c r="CA206" s="66">
        <v>2008</v>
      </c>
      <c r="CB206" s="218">
        <f>pAsympt_NoCare_Asympt_Dead_2007_2009*AS205</f>
        <v>0</v>
      </c>
      <c r="CC206" s="218">
        <f t="shared" si="1605"/>
        <v>0</v>
      </c>
      <c r="CD206" s="73">
        <f t="shared" si="1606"/>
        <v>0</v>
      </c>
      <c r="CE206" s="73">
        <f>pInt_NoCare_Int_Dead_2007_2009*AW205</f>
        <v>0</v>
      </c>
      <c r="CF206" s="73">
        <f t="shared" si="1607"/>
        <v>0</v>
      </c>
      <c r="CG206" s="73">
        <f t="shared" si="1608"/>
        <v>0</v>
      </c>
      <c r="CH206" s="73">
        <f t="shared" si="1609"/>
        <v>0</v>
      </c>
      <c r="CI206" s="73">
        <f t="shared" si="1610"/>
        <v>0</v>
      </c>
      <c r="CJ206" s="73">
        <f t="shared" si="1611"/>
        <v>0</v>
      </c>
      <c r="CK206" s="73">
        <f t="shared" si="1612"/>
        <v>0</v>
      </c>
      <c r="CL206" s="73">
        <f t="shared" si="1613"/>
        <v>0</v>
      </c>
      <c r="CM206" s="73">
        <f>pAIDS_NoCare_AIDS_Dead_2007_2009*BC205</f>
        <v>0</v>
      </c>
      <c r="CN206" s="73">
        <f t="shared" si="1615"/>
        <v>0</v>
      </c>
      <c r="CO206" s="73">
        <f t="shared" si="1616"/>
        <v>0</v>
      </c>
      <c r="CP206" s="73">
        <f t="shared" si="1617"/>
        <v>0</v>
      </c>
      <c r="CQ206" s="73">
        <f t="shared" si="1618"/>
        <v>0</v>
      </c>
      <c r="CR206" s="73">
        <f t="shared" si="1619"/>
        <v>0</v>
      </c>
      <c r="CS206" s="73">
        <f t="shared" si="1620"/>
        <v>0</v>
      </c>
      <c r="CT206" s="73">
        <f t="shared" si="1621"/>
        <v>0</v>
      </c>
      <c r="CU206" s="73">
        <f t="shared" si="1622"/>
        <v>0</v>
      </c>
      <c r="CV206" s="73">
        <f t="shared" si="1623"/>
        <v>0</v>
      </c>
      <c r="CW206" s="73">
        <f t="shared" si="1624"/>
        <v>0</v>
      </c>
      <c r="CX206" s="73">
        <f t="shared" si="1625"/>
        <v>0</v>
      </c>
      <c r="CY206" s="73">
        <f t="shared" si="1626"/>
        <v>0</v>
      </c>
      <c r="CZ206" s="190"/>
      <c r="DA206" s="66">
        <v>2008</v>
      </c>
      <c r="DB206" s="218">
        <f t="shared" si="1594"/>
        <v>0</v>
      </c>
      <c r="DC206" s="218">
        <f t="shared" si="1595"/>
        <v>0</v>
      </c>
      <c r="DD206" s="73">
        <f t="shared" si="1596"/>
        <v>0</v>
      </c>
      <c r="DE206" s="73">
        <f t="shared" si="1597"/>
        <v>0</v>
      </c>
      <c r="DF206" s="73">
        <f t="shared" si="1598"/>
        <v>0</v>
      </c>
      <c r="DG206" s="73">
        <f t="shared" si="1599"/>
        <v>0</v>
      </c>
      <c r="DH206" s="72" t="e">
        <f t="shared" si="1627"/>
        <v>#DIV/0!</v>
      </c>
      <c r="DI206" s="72" t="e">
        <f t="shared" si="1628"/>
        <v>#DIV/0!</v>
      </c>
      <c r="DJ206" s="73">
        <f>SUM(AV202:AV206,BB202:BB206,BI202:BI206)</f>
        <v>0</v>
      </c>
      <c r="DK206" s="218">
        <v>0</v>
      </c>
      <c r="DL206" s="190"/>
    </row>
    <row r="207" spans="1:120" x14ac:dyDescent="0.25">
      <c r="A207" s="190"/>
      <c r="B207" s="188">
        <v>2013</v>
      </c>
      <c r="C207" s="61" t="s">
        <v>322</v>
      </c>
      <c r="D207" s="169">
        <v>0</v>
      </c>
      <c r="E207" s="169">
        <v>0</v>
      </c>
      <c r="F207" s="169">
        <v>0</v>
      </c>
      <c r="G207" s="169">
        <v>0</v>
      </c>
      <c r="H207" s="169">
        <v>0</v>
      </c>
      <c r="I207" s="172">
        <f>pInt_InCare_2013plus_u</f>
        <v>0.27388069643828389</v>
      </c>
      <c r="J207" s="172">
        <f>pInt_InCare_Int_ART1_2013plus_u</f>
        <v>0.12845640705966965</v>
      </c>
      <c r="K207" s="169">
        <v>0</v>
      </c>
      <c r="L207" s="170">
        <f>pInt_InCare_Int_LTFU_2013plus_u</f>
        <v>0.18249498008072801</v>
      </c>
      <c r="M207" s="170">
        <f>pInt_InCare_Int_Dead_2013plus_u</f>
        <v>2.6167916421318438E-2</v>
      </c>
      <c r="N207" s="169">
        <v>0</v>
      </c>
      <c r="O207" s="170">
        <f>pInt_InCare_AIDS_InCare_2013plus_u</f>
        <v>0.3</v>
      </c>
      <c r="P207" s="170">
        <f>pInt_InCare_AIDS_ART1ear_2013plus_u</f>
        <v>8.8999999999999996E-2</v>
      </c>
      <c r="Q207" s="169">
        <v>0</v>
      </c>
      <c r="R207" s="169">
        <v>0</v>
      </c>
      <c r="S207" s="169">
        <v>0</v>
      </c>
      <c r="T207" s="169">
        <v>0</v>
      </c>
      <c r="U207" s="61">
        <f t="shared" si="1600"/>
        <v>1</v>
      </c>
      <c r="V207" s="190"/>
      <c r="W207" s="66">
        <v>5</v>
      </c>
      <c r="X207" s="66">
        <v>2009</v>
      </c>
      <c r="Y207" s="69">
        <v>0</v>
      </c>
      <c r="Z207" s="69">
        <v>0</v>
      </c>
      <c r="AA207" s="69">
        <v>0</v>
      </c>
      <c r="AB207" s="69">
        <v>0</v>
      </c>
      <c r="AC207" s="69">
        <v>0</v>
      </c>
      <c r="AD207" s="69">
        <v>0</v>
      </c>
      <c r="AE207" s="69">
        <v>0</v>
      </c>
      <c r="AF207" s="69">
        <v>0</v>
      </c>
      <c r="AG207" s="69">
        <v>0</v>
      </c>
      <c r="AH207" s="69">
        <v>0</v>
      </c>
      <c r="AI207" s="69">
        <v>0</v>
      </c>
      <c r="AJ207" s="69">
        <v>0</v>
      </c>
      <c r="AK207" s="69">
        <v>0</v>
      </c>
      <c r="AL207" s="69">
        <v>0</v>
      </c>
      <c r="AM207" s="69">
        <v>0</v>
      </c>
      <c r="AN207" s="69">
        <v>0</v>
      </c>
      <c r="AO207" s="69">
        <v>0</v>
      </c>
      <c r="AP207" s="190"/>
      <c r="AQ207" s="66">
        <v>5</v>
      </c>
      <c r="AR207" s="66">
        <v>2009</v>
      </c>
      <c r="AS207" s="215">
        <f t="shared" si="1577"/>
        <v>0</v>
      </c>
      <c r="AT207" s="215">
        <f t="shared" si="1578"/>
        <v>0</v>
      </c>
      <c r="AU207" s="215">
        <f t="shared" si="1579"/>
        <v>0</v>
      </c>
      <c r="AV207" s="215">
        <f t="shared" si="1580"/>
        <v>0</v>
      </c>
      <c r="AW207" s="215">
        <f t="shared" si="1581"/>
        <v>0</v>
      </c>
      <c r="AX207" s="215">
        <f t="shared" si="1582"/>
        <v>0</v>
      </c>
      <c r="AY207" s="215">
        <f t="shared" si="1583"/>
        <v>0</v>
      </c>
      <c r="AZ207" s="215">
        <f t="shared" si="1584"/>
        <v>0</v>
      </c>
      <c r="BA207" s="215">
        <f t="shared" si="1585"/>
        <v>0</v>
      </c>
      <c r="BB207" s="215">
        <f t="shared" si="1586"/>
        <v>0</v>
      </c>
      <c r="BC207" s="215">
        <f t="shared" si="1587"/>
        <v>0</v>
      </c>
      <c r="BD207" s="215">
        <f t="shared" si="1588"/>
        <v>0</v>
      </c>
      <c r="BE207" s="215">
        <f t="shared" si="1589"/>
        <v>0</v>
      </c>
      <c r="BF207" s="215">
        <f t="shared" si="1590"/>
        <v>0</v>
      </c>
      <c r="BG207" s="215">
        <f t="shared" si="1591"/>
        <v>0</v>
      </c>
      <c r="BH207" s="215">
        <f t="shared" si="1592"/>
        <v>0</v>
      </c>
      <c r="BI207" s="215">
        <f t="shared" si="1593"/>
        <v>0</v>
      </c>
      <c r="BJ207" s="194"/>
      <c r="BK207" s="66">
        <v>5</v>
      </c>
      <c r="BL207" s="66">
        <v>2009</v>
      </c>
      <c r="BM207" s="215">
        <f t="shared" si="1601"/>
        <v>0</v>
      </c>
      <c r="BN207" s="219">
        <f t="shared" si="1602"/>
        <v>0</v>
      </c>
      <c r="BO207" s="219">
        <f t="shared" si="1603"/>
        <v>0</v>
      </c>
      <c r="BP207" s="219">
        <f t="shared" si="1629"/>
        <v>0</v>
      </c>
      <c r="BQ207" s="219">
        <f t="shared" si="1604"/>
        <v>0</v>
      </c>
      <c r="BR207" s="220">
        <f t="shared" si="1630"/>
        <v>0</v>
      </c>
      <c r="BS207" s="219">
        <f t="shared" si="1631"/>
        <v>0</v>
      </c>
      <c r="BT207" s="219">
        <f t="shared" si="1632"/>
        <v>0</v>
      </c>
      <c r="BU207" s="219">
        <f t="shared" si="1633"/>
        <v>0</v>
      </c>
      <c r="BV207" s="219">
        <f t="shared" si="1634"/>
        <v>0</v>
      </c>
      <c r="BW207" s="219">
        <f t="shared" si="1635"/>
        <v>0</v>
      </c>
      <c r="BX207" s="220">
        <f t="shared" si="1636"/>
        <v>0</v>
      </c>
      <c r="BY207" s="195"/>
      <c r="BZ207" s="192">
        <v>5</v>
      </c>
      <c r="CA207" s="66">
        <v>2009</v>
      </c>
      <c r="CB207" s="218">
        <f>pAsympt_NoCare_Asympt_Dead_2007_2009*AS206</f>
        <v>0</v>
      </c>
      <c r="CC207" s="218">
        <f t="shared" si="1605"/>
        <v>0</v>
      </c>
      <c r="CD207" s="73">
        <f t="shared" si="1606"/>
        <v>0</v>
      </c>
      <c r="CE207" s="73">
        <f>pInt_NoCare_Int_Dead_2007_2009*AW206</f>
        <v>0</v>
      </c>
      <c r="CF207" s="73">
        <f t="shared" si="1607"/>
        <v>0</v>
      </c>
      <c r="CG207" s="73">
        <f t="shared" si="1608"/>
        <v>0</v>
      </c>
      <c r="CH207" s="73">
        <f t="shared" si="1609"/>
        <v>0</v>
      </c>
      <c r="CI207" s="73">
        <f t="shared" si="1610"/>
        <v>0</v>
      </c>
      <c r="CJ207" s="73">
        <f t="shared" si="1611"/>
        <v>0</v>
      </c>
      <c r="CK207" s="73">
        <f t="shared" si="1612"/>
        <v>0</v>
      </c>
      <c r="CL207" s="73">
        <f t="shared" si="1613"/>
        <v>0</v>
      </c>
      <c r="CM207" s="73">
        <f>pAIDS_NoCare_AIDS_Dead_2007_2009*BC206</f>
        <v>0</v>
      </c>
      <c r="CN207" s="73">
        <f t="shared" si="1615"/>
        <v>0</v>
      </c>
      <c r="CO207" s="73">
        <f t="shared" si="1616"/>
        <v>0</v>
      </c>
      <c r="CP207" s="73">
        <f t="shared" si="1617"/>
        <v>0</v>
      </c>
      <c r="CQ207" s="73">
        <f t="shared" si="1618"/>
        <v>0</v>
      </c>
      <c r="CR207" s="73">
        <f t="shared" si="1619"/>
        <v>0</v>
      </c>
      <c r="CS207" s="73">
        <f t="shared" si="1620"/>
        <v>0</v>
      </c>
      <c r="CT207" s="73">
        <f t="shared" si="1621"/>
        <v>0</v>
      </c>
      <c r="CU207" s="73">
        <f t="shared" si="1622"/>
        <v>0</v>
      </c>
      <c r="CV207" s="73">
        <f t="shared" si="1623"/>
        <v>0</v>
      </c>
      <c r="CW207" s="73">
        <f t="shared" si="1624"/>
        <v>0</v>
      </c>
      <c r="CX207" s="73">
        <f t="shared" si="1625"/>
        <v>0</v>
      </c>
      <c r="CY207" s="73">
        <f t="shared" si="1626"/>
        <v>0</v>
      </c>
      <c r="CZ207" s="190"/>
      <c r="DA207" s="66">
        <v>2009</v>
      </c>
      <c r="DB207" s="218">
        <f t="shared" si="1594"/>
        <v>0</v>
      </c>
      <c r="DC207" s="218">
        <f t="shared" si="1595"/>
        <v>0</v>
      </c>
      <c r="DD207" s="73">
        <f t="shared" si="1596"/>
        <v>0</v>
      </c>
      <c r="DE207" s="73">
        <f t="shared" si="1597"/>
        <v>0</v>
      </c>
      <c r="DF207" s="73">
        <f t="shared" si="1598"/>
        <v>0</v>
      </c>
      <c r="DG207" s="73">
        <f t="shared" si="1599"/>
        <v>0</v>
      </c>
      <c r="DH207" s="72" t="e">
        <f t="shared" si="1627"/>
        <v>#DIV/0!</v>
      </c>
      <c r="DI207" s="72" t="e">
        <f t="shared" si="1628"/>
        <v>#DIV/0!</v>
      </c>
      <c r="DJ207" s="73">
        <f>SUM(AV202:AV207,BB202:BB207,BI202:BI207)</f>
        <v>0</v>
      </c>
      <c r="DK207" s="218">
        <v>0</v>
      </c>
      <c r="DL207" s="190"/>
    </row>
    <row r="208" spans="1:120" x14ac:dyDescent="0.25">
      <c r="A208" s="190"/>
      <c r="B208" s="188">
        <v>2013</v>
      </c>
      <c r="C208" s="61" t="s">
        <v>323</v>
      </c>
      <c r="D208" s="169">
        <v>0</v>
      </c>
      <c r="E208" s="169">
        <v>0</v>
      </c>
      <c r="F208" s="169">
        <v>0</v>
      </c>
      <c r="G208" s="169">
        <v>0</v>
      </c>
      <c r="H208" s="169">
        <v>0</v>
      </c>
      <c r="I208" s="169">
        <v>0</v>
      </c>
      <c r="J208" s="172">
        <f>pInt_ART1_2013plus_u</f>
        <v>0.97189504107250524</v>
      </c>
      <c r="K208" s="170">
        <f>pInt_ART1_Int_ART2_2013plus_u</f>
        <v>8.6622645122074182E-3</v>
      </c>
      <c r="L208" s="170">
        <f>pInt_ART1_Int_LTFU_2013plus_u</f>
        <v>1.438552517214986E-2</v>
      </c>
      <c r="M208" s="170">
        <f>pInt_ART1_Int_Dead_2013plus_u</f>
        <v>5.0571692431374826E-3</v>
      </c>
      <c r="N208" s="169">
        <v>0</v>
      </c>
      <c r="O208" s="169">
        <v>0</v>
      </c>
      <c r="P208" s="169">
        <v>0</v>
      </c>
      <c r="Q208" s="169">
        <v>0</v>
      </c>
      <c r="R208" s="169">
        <v>0</v>
      </c>
      <c r="S208" s="169">
        <v>0</v>
      </c>
      <c r="T208" s="169">
        <v>0</v>
      </c>
      <c r="U208" s="61">
        <f t="shared" si="1600"/>
        <v>1</v>
      </c>
      <c r="V208" s="190"/>
      <c r="W208" s="66">
        <v>6</v>
      </c>
      <c r="X208" s="66">
        <v>2010</v>
      </c>
      <c r="Y208" s="69">
        <v>0</v>
      </c>
      <c r="Z208" s="69">
        <v>0</v>
      </c>
      <c r="AA208" s="69">
        <v>0</v>
      </c>
      <c r="AB208" s="69">
        <v>0</v>
      </c>
      <c r="AC208" s="69">
        <v>0</v>
      </c>
      <c r="AD208" s="69">
        <v>0</v>
      </c>
      <c r="AE208" s="69">
        <v>0</v>
      </c>
      <c r="AF208" s="69">
        <v>0</v>
      </c>
      <c r="AG208" s="69">
        <v>0</v>
      </c>
      <c r="AH208" s="69">
        <v>0</v>
      </c>
      <c r="AI208" s="69">
        <v>0</v>
      </c>
      <c r="AJ208" s="69">
        <v>0</v>
      </c>
      <c r="AK208" s="69">
        <v>0</v>
      </c>
      <c r="AL208" s="69">
        <v>0</v>
      </c>
      <c r="AM208" s="69">
        <v>0</v>
      </c>
      <c r="AN208" s="69">
        <v>0</v>
      </c>
      <c r="AO208" s="69">
        <v>0</v>
      </c>
      <c r="AP208" s="190"/>
      <c r="AQ208" s="66">
        <v>6</v>
      </c>
      <c r="AR208" s="66">
        <v>2010</v>
      </c>
      <c r="AS208" s="215">
        <f t="shared" si="1577"/>
        <v>0</v>
      </c>
      <c r="AT208" s="215">
        <f t="shared" si="1578"/>
        <v>0</v>
      </c>
      <c r="AU208" s="215">
        <f t="shared" si="1579"/>
        <v>0</v>
      </c>
      <c r="AV208" s="215">
        <f t="shared" si="1580"/>
        <v>0</v>
      </c>
      <c r="AW208" s="215">
        <f t="shared" si="1581"/>
        <v>0</v>
      </c>
      <c r="AX208" s="215">
        <f t="shared" si="1582"/>
        <v>0</v>
      </c>
      <c r="AY208" s="215">
        <f t="shared" si="1583"/>
        <v>0</v>
      </c>
      <c r="AZ208" s="215">
        <f t="shared" si="1584"/>
        <v>0</v>
      </c>
      <c r="BA208" s="215">
        <f t="shared" si="1585"/>
        <v>0</v>
      </c>
      <c r="BB208" s="215">
        <f t="shared" si="1586"/>
        <v>0</v>
      </c>
      <c r="BC208" s="215">
        <f t="shared" si="1587"/>
        <v>0</v>
      </c>
      <c r="BD208" s="215">
        <f t="shared" si="1588"/>
        <v>0</v>
      </c>
      <c r="BE208" s="215">
        <f t="shared" si="1589"/>
        <v>0</v>
      </c>
      <c r="BF208" s="215">
        <f t="shared" si="1590"/>
        <v>0</v>
      </c>
      <c r="BG208" s="215">
        <f t="shared" si="1591"/>
        <v>0</v>
      </c>
      <c r="BH208" s="215">
        <f t="shared" si="1592"/>
        <v>0</v>
      </c>
      <c r="BI208" s="215">
        <f t="shared" si="1593"/>
        <v>0</v>
      </c>
      <c r="BJ208" s="194"/>
      <c r="BK208" s="66">
        <v>6</v>
      </c>
      <c r="BL208" s="66">
        <v>2010</v>
      </c>
      <c r="BM208" s="215">
        <f t="shared" si="1601"/>
        <v>0</v>
      </c>
      <c r="BN208" s="219">
        <f t="shared" si="1602"/>
        <v>0</v>
      </c>
      <c r="BO208" s="219">
        <f t="shared" si="1603"/>
        <v>0</v>
      </c>
      <c r="BP208" s="219">
        <f t="shared" si="1629"/>
        <v>0</v>
      </c>
      <c r="BQ208" s="219">
        <f t="shared" si="1604"/>
        <v>0</v>
      </c>
      <c r="BR208" s="220">
        <f t="shared" si="1630"/>
        <v>0</v>
      </c>
      <c r="BS208" s="219">
        <f t="shared" si="1631"/>
        <v>0</v>
      </c>
      <c r="BT208" s="219">
        <f t="shared" si="1632"/>
        <v>0</v>
      </c>
      <c r="BU208" s="219">
        <f t="shared" si="1633"/>
        <v>0</v>
      </c>
      <c r="BV208" s="219">
        <f t="shared" si="1634"/>
        <v>0</v>
      </c>
      <c r="BW208" s="219">
        <f t="shared" si="1635"/>
        <v>0</v>
      </c>
      <c r="BX208" s="220">
        <f t="shared" si="1636"/>
        <v>0</v>
      </c>
      <c r="BY208" s="195"/>
      <c r="BZ208" s="192">
        <v>6</v>
      </c>
      <c r="CA208" s="66">
        <v>2010</v>
      </c>
      <c r="CB208" s="218">
        <f>pAsympt_NoCare_Asympt_Dead_2010_2012*AS207</f>
        <v>0</v>
      </c>
      <c r="CC208" s="218">
        <f t="shared" si="1605"/>
        <v>0</v>
      </c>
      <c r="CD208" s="73">
        <f t="shared" si="1606"/>
        <v>0</v>
      </c>
      <c r="CE208" s="73">
        <f>pInt_NoCare_Int_Dead_2010_2012*AW207</f>
        <v>0</v>
      </c>
      <c r="CF208" s="73">
        <f t="shared" si="1607"/>
        <v>0</v>
      </c>
      <c r="CG208" s="73">
        <f t="shared" si="1608"/>
        <v>0</v>
      </c>
      <c r="CH208" s="73">
        <f t="shared" si="1609"/>
        <v>0</v>
      </c>
      <c r="CI208" s="73">
        <f t="shared" si="1610"/>
        <v>0</v>
      </c>
      <c r="CJ208" s="73">
        <f t="shared" si="1611"/>
        <v>0</v>
      </c>
      <c r="CK208" s="73">
        <f t="shared" si="1612"/>
        <v>0</v>
      </c>
      <c r="CL208" s="73">
        <f t="shared" si="1613"/>
        <v>0</v>
      </c>
      <c r="CM208" s="73">
        <f>pAIDS_NoCare_AIDS_Dead_2010_2012*BC207</f>
        <v>0</v>
      </c>
      <c r="CN208" s="73">
        <f t="shared" si="1615"/>
        <v>0</v>
      </c>
      <c r="CO208" s="73">
        <f t="shared" si="1616"/>
        <v>0</v>
      </c>
      <c r="CP208" s="73">
        <f t="shared" si="1617"/>
        <v>0</v>
      </c>
      <c r="CQ208" s="73">
        <f t="shared" si="1618"/>
        <v>0</v>
      </c>
      <c r="CR208" s="73">
        <f t="shared" si="1619"/>
        <v>0</v>
      </c>
      <c r="CS208" s="73">
        <f t="shared" si="1620"/>
        <v>0</v>
      </c>
      <c r="CT208" s="73">
        <f t="shared" si="1621"/>
        <v>0</v>
      </c>
      <c r="CU208" s="73">
        <f t="shared" si="1622"/>
        <v>0</v>
      </c>
      <c r="CV208" s="73">
        <f t="shared" si="1623"/>
        <v>0</v>
      </c>
      <c r="CW208" s="73">
        <f t="shared" si="1624"/>
        <v>0</v>
      </c>
      <c r="CX208" s="73">
        <f t="shared" si="1625"/>
        <v>0</v>
      </c>
      <c r="CY208" s="73">
        <f t="shared" si="1626"/>
        <v>0</v>
      </c>
      <c r="CZ208" s="190"/>
      <c r="DA208" s="66">
        <v>2010</v>
      </c>
      <c r="DB208" s="218">
        <f t="shared" si="1594"/>
        <v>0</v>
      </c>
      <c r="DC208" s="218">
        <f t="shared" si="1595"/>
        <v>0</v>
      </c>
      <c r="DD208" s="73">
        <f t="shared" si="1596"/>
        <v>0</v>
      </c>
      <c r="DE208" s="73">
        <f t="shared" si="1597"/>
        <v>0</v>
      </c>
      <c r="DF208" s="73">
        <f t="shared" si="1598"/>
        <v>0</v>
      </c>
      <c r="DG208" s="73">
        <f t="shared" si="1599"/>
        <v>0</v>
      </c>
      <c r="DH208" s="72" t="e">
        <f t="shared" si="1627"/>
        <v>#DIV/0!</v>
      </c>
      <c r="DI208" s="72" t="e">
        <f t="shared" si="1628"/>
        <v>#DIV/0!</v>
      </c>
      <c r="DJ208" s="73">
        <f>SUM(AV202:AV208,BB202:BB208,BI202:BI208)</f>
        <v>0</v>
      </c>
      <c r="DK208" s="218">
        <f>SUM(AV208,BB208,BI208)</f>
        <v>0</v>
      </c>
      <c r="DL208" s="190"/>
    </row>
    <row r="209" spans="1:116" x14ac:dyDescent="0.25">
      <c r="A209" s="190"/>
      <c r="B209" s="188">
        <v>2013</v>
      </c>
      <c r="C209" s="61" t="s">
        <v>324</v>
      </c>
      <c r="D209" s="169">
        <v>0</v>
      </c>
      <c r="E209" s="169">
        <v>0</v>
      </c>
      <c r="F209" s="169">
        <v>0</v>
      </c>
      <c r="G209" s="169">
        <v>0</v>
      </c>
      <c r="H209" s="169">
        <v>0</v>
      </c>
      <c r="I209" s="169">
        <v>0</v>
      </c>
      <c r="J209" s="169">
        <v>0</v>
      </c>
      <c r="K209" s="172">
        <f>pInt_ART2_2013plus_u</f>
        <v>0.98055730558471266</v>
      </c>
      <c r="L209" s="170">
        <f>pInt_ART2_Int_LTFU_2013plus_u</f>
        <v>1.438552517214986E-2</v>
      </c>
      <c r="M209" s="170">
        <f>pInt_ART2_Int_Dead_2013plus_u</f>
        <v>5.0571692431374826E-3</v>
      </c>
      <c r="N209" s="169">
        <v>0</v>
      </c>
      <c r="O209" s="169">
        <v>0</v>
      </c>
      <c r="P209" s="169">
        <v>0</v>
      </c>
      <c r="Q209" s="169">
        <v>0</v>
      </c>
      <c r="R209" s="169">
        <v>0</v>
      </c>
      <c r="S209" s="169">
        <v>0</v>
      </c>
      <c r="T209" s="169">
        <v>0</v>
      </c>
      <c r="U209" s="61">
        <f t="shared" si="1600"/>
        <v>1</v>
      </c>
      <c r="V209" s="190"/>
      <c r="W209" s="66">
        <v>7</v>
      </c>
      <c r="X209" s="66">
        <v>2011</v>
      </c>
      <c r="Y209" s="69">
        <v>0</v>
      </c>
      <c r="Z209" s="69">
        <v>0</v>
      </c>
      <c r="AA209" s="69">
        <v>0</v>
      </c>
      <c r="AB209" s="69">
        <v>0</v>
      </c>
      <c r="AC209" s="69">
        <v>0</v>
      </c>
      <c r="AD209" s="69">
        <v>0</v>
      </c>
      <c r="AE209" s="69">
        <v>0</v>
      </c>
      <c r="AF209" s="69">
        <v>0</v>
      </c>
      <c r="AG209" s="69">
        <v>0</v>
      </c>
      <c r="AH209" s="69">
        <v>0</v>
      </c>
      <c r="AI209" s="69">
        <v>0</v>
      </c>
      <c r="AJ209" s="69">
        <v>0</v>
      </c>
      <c r="AK209" s="69">
        <v>0</v>
      </c>
      <c r="AL209" s="69">
        <v>0</v>
      </c>
      <c r="AM209" s="69">
        <v>0</v>
      </c>
      <c r="AN209" s="69">
        <v>0</v>
      </c>
      <c r="AO209" s="69">
        <v>0</v>
      </c>
      <c r="AP209" s="190"/>
      <c r="AQ209" s="66">
        <v>7</v>
      </c>
      <c r="AR209" s="66">
        <v>2011</v>
      </c>
      <c r="AS209" s="215">
        <f t="shared" si="1577"/>
        <v>0</v>
      </c>
      <c r="AT209" s="215">
        <f t="shared" si="1578"/>
        <v>0</v>
      </c>
      <c r="AU209" s="215">
        <f t="shared" si="1579"/>
        <v>0</v>
      </c>
      <c r="AV209" s="215">
        <f t="shared" si="1580"/>
        <v>0</v>
      </c>
      <c r="AW209" s="215">
        <f t="shared" si="1581"/>
        <v>0</v>
      </c>
      <c r="AX209" s="215">
        <f t="shared" si="1582"/>
        <v>0</v>
      </c>
      <c r="AY209" s="215">
        <f t="shared" si="1583"/>
        <v>0</v>
      </c>
      <c r="AZ209" s="215">
        <f t="shared" si="1584"/>
        <v>0</v>
      </c>
      <c r="BA209" s="215">
        <f t="shared" si="1585"/>
        <v>0</v>
      </c>
      <c r="BB209" s="215">
        <f t="shared" si="1586"/>
        <v>0</v>
      </c>
      <c r="BC209" s="215">
        <f t="shared" si="1587"/>
        <v>0</v>
      </c>
      <c r="BD209" s="215">
        <f t="shared" si="1588"/>
        <v>0</v>
      </c>
      <c r="BE209" s="215">
        <f t="shared" si="1589"/>
        <v>0</v>
      </c>
      <c r="BF209" s="215">
        <f t="shared" si="1590"/>
        <v>0</v>
      </c>
      <c r="BG209" s="215">
        <f t="shared" si="1591"/>
        <v>0</v>
      </c>
      <c r="BH209" s="215">
        <f t="shared" si="1592"/>
        <v>0</v>
      </c>
      <c r="BI209" s="215">
        <f t="shared" si="1593"/>
        <v>0</v>
      </c>
      <c r="BJ209" s="194"/>
      <c r="BK209" s="66">
        <v>7</v>
      </c>
      <c r="BL209" s="66">
        <v>2011</v>
      </c>
      <c r="BM209" s="215">
        <f t="shared" si="1601"/>
        <v>0</v>
      </c>
      <c r="BN209" s="219">
        <f t="shared" si="1602"/>
        <v>0</v>
      </c>
      <c r="BO209" s="219">
        <f t="shared" si="1603"/>
        <v>0</v>
      </c>
      <c r="BP209" s="219">
        <f t="shared" si="1629"/>
        <v>0</v>
      </c>
      <c r="BQ209" s="219">
        <f t="shared" si="1604"/>
        <v>0</v>
      </c>
      <c r="BR209" s="220">
        <f t="shared" si="1630"/>
        <v>0</v>
      </c>
      <c r="BS209" s="219">
        <f t="shared" si="1631"/>
        <v>0</v>
      </c>
      <c r="BT209" s="219">
        <f t="shared" si="1632"/>
        <v>0</v>
      </c>
      <c r="BU209" s="219">
        <f t="shared" si="1633"/>
        <v>0</v>
      </c>
      <c r="BV209" s="219">
        <f t="shared" si="1634"/>
        <v>0</v>
      </c>
      <c r="BW209" s="219">
        <f t="shared" si="1635"/>
        <v>0</v>
      </c>
      <c r="BX209" s="220">
        <f t="shared" si="1636"/>
        <v>0</v>
      </c>
      <c r="BY209" s="195"/>
      <c r="BZ209" s="192">
        <v>7</v>
      </c>
      <c r="CA209" s="66">
        <v>2011</v>
      </c>
      <c r="CB209" s="218">
        <f>pAsympt_NoCare_Asympt_Dead_2010_2012*AS208</f>
        <v>0</v>
      </c>
      <c r="CC209" s="218">
        <f t="shared" si="1605"/>
        <v>0</v>
      </c>
      <c r="CD209" s="73">
        <f t="shared" si="1606"/>
        <v>0</v>
      </c>
      <c r="CE209" s="73">
        <f>pInt_NoCare_Int_Dead_2010_2012*AW208</f>
        <v>0</v>
      </c>
      <c r="CF209" s="73">
        <f t="shared" si="1607"/>
        <v>0</v>
      </c>
      <c r="CG209" s="73">
        <f t="shared" si="1608"/>
        <v>0</v>
      </c>
      <c r="CH209" s="73">
        <f t="shared" si="1609"/>
        <v>0</v>
      </c>
      <c r="CI209" s="73">
        <f t="shared" si="1610"/>
        <v>0</v>
      </c>
      <c r="CJ209" s="73">
        <f t="shared" si="1611"/>
        <v>0</v>
      </c>
      <c r="CK209" s="73">
        <f t="shared" si="1612"/>
        <v>0</v>
      </c>
      <c r="CL209" s="73">
        <f t="shared" si="1613"/>
        <v>0</v>
      </c>
      <c r="CM209" s="73">
        <f>pAIDS_NoCare_AIDS_Dead_2010_2012*BC208</f>
        <v>0</v>
      </c>
      <c r="CN209" s="73">
        <f t="shared" si="1615"/>
        <v>0</v>
      </c>
      <c r="CO209" s="73">
        <f t="shared" si="1616"/>
        <v>0</v>
      </c>
      <c r="CP209" s="73">
        <f t="shared" si="1617"/>
        <v>0</v>
      </c>
      <c r="CQ209" s="73">
        <f t="shared" si="1618"/>
        <v>0</v>
      </c>
      <c r="CR209" s="73">
        <f t="shared" si="1619"/>
        <v>0</v>
      </c>
      <c r="CS209" s="73">
        <f t="shared" si="1620"/>
        <v>0</v>
      </c>
      <c r="CT209" s="73">
        <f t="shared" si="1621"/>
        <v>0</v>
      </c>
      <c r="CU209" s="73">
        <f t="shared" si="1622"/>
        <v>0</v>
      </c>
      <c r="CV209" s="73">
        <f t="shared" si="1623"/>
        <v>0</v>
      </c>
      <c r="CW209" s="73">
        <f t="shared" si="1624"/>
        <v>0</v>
      </c>
      <c r="CX209" s="73">
        <f t="shared" si="1625"/>
        <v>0</v>
      </c>
      <c r="CY209" s="73">
        <f t="shared" si="1626"/>
        <v>0</v>
      </c>
      <c r="CZ209" s="190"/>
      <c r="DA209" s="66">
        <v>2011</v>
      </c>
      <c r="DB209" s="218">
        <f t="shared" si="1594"/>
        <v>0</v>
      </c>
      <c r="DC209" s="218">
        <f t="shared" si="1595"/>
        <v>0</v>
      </c>
      <c r="DD209" s="73">
        <f t="shared" si="1596"/>
        <v>0</v>
      </c>
      <c r="DE209" s="73">
        <f t="shared" si="1597"/>
        <v>0</v>
      </c>
      <c r="DF209" s="73">
        <f t="shared" si="1598"/>
        <v>0</v>
      </c>
      <c r="DG209" s="73">
        <f t="shared" si="1599"/>
        <v>0</v>
      </c>
      <c r="DH209" s="72" t="e">
        <f t="shared" si="1627"/>
        <v>#DIV/0!</v>
      </c>
      <c r="DI209" s="72" t="e">
        <f t="shared" si="1628"/>
        <v>#DIV/0!</v>
      </c>
      <c r="DJ209" s="73">
        <f>SUM(AV202:AV209,BB202:BB209,BI202:BI209)</f>
        <v>0</v>
      </c>
      <c r="DK209" s="218">
        <f>SUM(AV208:AV209,BB208:BB209,BI208:BI209)</f>
        <v>0</v>
      </c>
      <c r="DL209" s="190"/>
    </row>
    <row r="210" spans="1:116" x14ac:dyDescent="0.25">
      <c r="A210" s="190"/>
      <c r="B210" s="188">
        <v>2013</v>
      </c>
      <c r="C210" s="61" t="s">
        <v>325</v>
      </c>
      <c r="D210" s="169">
        <v>0</v>
      </c>
      <c r="E210" s="169">
        <v>0</v>
      </c>
      <c r="F210" s="169">
        <v>0</v>
      </c>
      <c r="G210" s="169">
        <v>0</v>
      </c>
      <c r="H210" s="169">
        <v>0</v>
      </c>
      <c r="I210" s="169">
        <v>0</v>
      </c>
      <c r="J210" s="171">
        <f>pInt_LTFU_Int_ART1_2013plus_u</f>
        <v>0.16159999999999999</v>
      </c>
      <c r="K210" s="171">
        <f>pInt_LTFU_Int_ART2_2013plus_u</f>
        <v>0.17169999999999999</v>
      </c>
      <c r="L210" s="172">
        <f>pInt_LTFU_2013plus_u</f>
        <v>0.39842838478243958</v>
      </c>
      <c r="M210" s="171">
        <f>pInt_LTFU_Int_Dead_2013plus_u</f>
        <v>2.7888537361361161E-2</v>
      </c>
      <c r="N210" s="169">
        <v>0</v>
      </c>
      <c r="O210" s="169">
        <v>0</v>
      </c>
      <c r="P210" s="169">
        <v>0</v>
      </c>
      <c r="Q210" s="169">
        <v>0</v>
      </c>
      <c r="R210" s="169">
        <v>0</v>
      </c>
      <c r="S210" s="170">
        <f>pInt_LTFU_AIDS_LTFU_2013plus_u</f>
        <v>0.24038307785619925</v>
      </c>
      <c r="T210" s="169">
        <v>0</v>
      </c>
      <c r="U210" s="61">
        <f t="shared" si="1600"/>
        <v>1</v>
      </c>
      <c r="V210" s="190"/>
      <c r="W210" s="66">
        <v>8</v>
      </c>
      <c r="X210" s="66">
        <v>2012</v>
      </c>
      <c r="Y210" s="69">
        <v>0</v>
      </c>
      <c r="Z210" s="69">
        <v>0</v>
      </c>
      <c r="AA210" s="69">
        <v>0</v>
      </c>
      <c r="AB210" s="69">
        <v>0</v>
      </c>
      <c r="AC210" s="69">
        <v>0</v>
      </c>
      <c r="AD210" s="69">
        <v>0</v>
      </c>
      <c r="AE210" s="69">
        <v>0</v>
      </c>
      <c r="AF210" s="69">
        <v>0</v>
      </c>
      <c r="AG210" s="69">
        <v>0</v>
      </c>
      <c r="AH210" s="69">
        <v>0</v>
      </c>
      <c r="AI210" s="69">
        <v>0</v>
      </c>
      <c r="AJ210" s="69">
        <v>0</v>
      </c>
      <c r="AK210" s="69">
        <v>0</v>
      </c>
      <c r="AL210" s="69">
        <v>0</v>
      </c>
      <c r="AM210" s="69">
        <v>0</v>
      </c>
      <c r="AN210" s="69">
        <v>0</v>
      </c>
      <c r="AO210" s="69">
        <v>0</v>
      </c>
      <c r="AP210" s="190"/>
      <c r="AQ210" s="66">
        <v>8</v>
      </c>
      <c r="AR210" s="66">
        <v>2012</v>
      </c>
      <c r="AS210" s="215">
        <f t="shared" si="1577"/>
        <v>0</v>
      </c>
      <c r="AT210" s="215">
        <f t="shared" si="1578"/>
        <v>0</v>
      </c>
      <c r="AU210" s="215">
        <f t="shared" si="1579"/>
        <v>0</v>
      </c>
      <c r="AV210" s="215">
        <f t="shared" si="1580"/>
        <v>0</v>
      </c>
      <c r="AW210" s="215">
        <f t="shared" si="1581"/>
        <v>0</v>
      </c>
      <c r="AX210" s="215">
        <f t="shared" si="1582"/>
        <v>0</v>
      </c>
      <c r="AY210" s="215">
        <f t="shared" si="1583"/>
        <v>0</v>
      </c>
      <c r="AZ210" s="215">
        <f t="shared" si="1584"/>
        <v>0</v>
      </c>
      <c r="BA210" s="215">
        <f t="shared" si="1585"/>
        <v>0</v>
      </c>
      <c r="BB210" s="215">
        <f t="shared" si="1586"/>
        <v>0</v>
      </c>
      <c r="BC210" s="215">
        <f t="shared" si="1587"/>
        <v>0</v>
      </c>
      <c r="BD210" s="215">
        <f t="shared" si="1588"/>
        <v>0</v>
      </c>
      <c r="BE210" s="215">
        <f t="shared" si="1589"/>
        <v>0</v>
      </c>
      <c r="BF210" s="215">
        <f t="shared" si="1590"/>
        <v>0</v>
      </c>
      <c r="BG210" s="215">
        <f t="shared" si="1591"/>
        <v>0</v>
      </c>
      <c r="BH210" s="215">
        <f t="shared" si="1592"/>
        <v>0</v>
      </c>
      <c r="BI210" s="215">
        <f t="shared" si="1593"/>
        <v>0</v>
      </c>
      <c r="BJ210" s="194"/>
      <c r="BK210" s="66">
        <v>8</v>
      </c>
      <c r="BL210" s="66">
        <v>2012</v>
      </c>
      <c r="BM210" s="215">
        <f t="shared" si="1601"/>
        <v>0</v>
      </c>
      <c r="BN210" s="219">
        <f t="shared" si="1602"/>
        <v>0</v>
      </c>
      <c r="BO210" s="219">
        <f t="shared" si="1603"/>
        <v>0</v>
      </c>
      <c r="BP210" s="219">
        <f t="shared" si="1629"/>
        <v>0</v>
      </c>
      <c r="BQ210" s="219">
        <f t="shared" si="1604"/>
        <v>0</v>
      </c>
      <c r="BR210" s="220">
        <f t="shared" si="1630"/>
        <v>0</v>
      </c>
      <c r="BS210" s="219">
        <f t="shared" si="1631"/>
        <v>0</v>
      </c>
      <c r="BT210" s="219">
        <f t="shared" si="1632"/>
        <v>0</v>
      </c>
      <c r="BU210" s="219">
        <f t="shared" si="1633"/>
        <v>0</v>
      </c>
      <c r="BV210" s="219">
        <f t="shared" si="1634"/>
        <v>0</v>
      </c>
      <c r="BW210" s="219">
        <f t="shared" si="1635"/>
        <v>0</v>
      </c>
      <c r="BX210" s="220">
        <f t="shared" si="1636"/>
        <v>0</v>
      </c>
      <c r="BY210" s="195"/>
      <c r="BZ210" s="192">
        <v>8</v>
      </c>
      <c r="CA210" s="66">
        <v>2012</v>
      </c>
      <c r="CB210" s="218">
        <f>pAsympt_NoCare_Asympt_Dead_2010_2012*AS209</f>
        <v>0</v>
      </c>
      <c r="CC210" s="218">
        <f t="shared" si="1605"/>
        <v>0</v>
      </c>
      <c r="CD210" s="73">
        <f t="shared" si="1606"/>
        <v>0</v>
      </c>
      <c r="CE210" s="73">
        <f>pInt_NoCare_Int_Dead_2010_2012*AW209</f>
        <v>0</v>
      </c>
      <c r="CF210" s="73">
        <f t="shared" si="1607"/>
        <v>0</v>
      </c>
      <c r="CG210" s="73">
        <f t="shared" si="1608"/>
        <v>0</v>
      </c>
      <c r="CH210" s="73">
        <f t="shared" si="1609"/>
        <v>0</v>
      </c>
      <c r="CI210" s="73">
        <f t="shared" si="1610"/>
        <v>0</v>
      </c>
      <c r="CJ210" s="73">
        <f t="shared" si="1611"/>
        <v>0</v>
      </c>
      <c r="CK210" s="73">
        <f t="shared" si="1612"/>
        <v>0</v>
      </c>
      <c r="CL210" s="73">
        <f t="shared" si="1613"/>
        <v>0</v>
      </c>
      <c r="CM210" s="73">
        <f>pAIDS_NoCare_AIDS_Dead_2010_2012*BC209</f>
        <v>0</v>
      </c>
      <c r="CN210" s="73">
        <f t="shared" si="1615"/>
        <v>0</v>
      </c>
      <c r="CO210" s="73">
        <f t="shared" si="1616"/>
        <v>0</v>
      </c>
      <c r="CP210" s="73">
        <f t="shared" si="1617"/>
        <v>0</v>
      </c>
      <c r="CQ210" s="73">
        <f t="shared" si="1618"/>
        <v>0</v>
      </c>
      <c r="CR210" s="73">
        <f t="shared" si="1619"/>
        <v>0</v>
      </c>
      <c r="CS210" s="73">
        <f t="shared" si="1620"/>
        <v>0</v>
      </c>
      <c r="CT210" s="73">
        <f t="shared" si="1621"/>
        <v>0</v>
      </c>
      <c r="CU210" s="73">
        <f t="shared" si="1622"/>
        <v>0</v>
      </c>
      <c r="CV210" s="73">
        <f t="shared" si="1623"/>
        <v>0</v>
      </c>
      <c r="CW210" s="73">
        <f t="shared" si="1624"/>
        <v>0</v>
      </c>
      <c r="CX210" s="73">
        <f t="shared" si="1625"/>
        <v>0</v>
      </c>
      <c r="CY210" s="73">
        <f t="shared" si="1626"/>
        <v>0</v>
      </c>
      <c r="CZ210" s="190"/>
      <c r="DA210" s="66">
        <v>2012</v>
      </c>
      <c r="DB210" s="218">
        <f t="shared" si="1594"/>
        <v>0</v>
      </c>
      <c r="DC210" s="218">
        <f t="shared" si="1595"/>
        <v>0</v>
      </c>
      <c r="DD210" s="73">
        <f t="shared" si="1596"/>
        <v>0</v>
      </c>
      <c r="DE210" s="73">
        <f t="shared" si="1597"/>
        <v>0</v>
      </c>
      <c r="DF210" s="73">
        <f t="shared" si="1598"/>
        <v>0</v>
      </c>
      <c r="DG210" s="73">
        <f t="shared" si="1599"/>
        <v>0</v>
      </c>
      <c r="DH210" s="72" t="e">
        <f t="shared" si="1627"/>
        <v>#DIV/0!</v>
      </c>
      <c r="DI210" s="72" t="e">
        <f t="shared" si="1628"/>
        <v>#DIV/0!</v>
      </c>
      <c r="DJ210" s="73">
        <f>SUM(AV202:AV210,BB202:BB210,BI202:BI210)</f>
        <v>0</v>
      </c>
      <c r="DK210" s="73">
        <f>SUM(AV208:AV210,BB208:BB210,BI208:BI210)</f>
        <v>0</v>
      </c>
      <c r="DL210" s="190"/>
    </row>
    <row r="211" spans="1:116" x14ac:dyDescent="0.25">
      <c r="A211" s="190"/>
      <c r="B211" s="188">
        <v>2013</v>
      </c>
      <c r="C211" s="61" t="s">
        <v>326</v>
      </c>
      <c r="D211" s="169">
        <v>0</v>
      </c>
      <c r="E211" s="169">
        <v>0</v>
      </c>
      <c r="F211" s="169">
        <v>0</v>
      </c>
      <c r="G211" s="169">
        <v>0</v>
      </c>
      <c r="H211" s="169">
        <v>0</v>
      </c>
      <c r="I211" s="169">
        <v>0</v>
      </c>
      <c r="J211" s="169">
        <v>0</v>
      </c>
      <c r="K211" s="169">
        <v>0</v>
      </c>
      <c r="L211" s="169">
        <v>0</v>
      </c>
      <c r="M211" s="169">
        <v>0</v>
      </c>
      <c r="N211" s="169">
        <v>0</v>
      </c>
      <c r="O211" s="169">
        <v>0</v>
      </c>
      <c r="P211" s="169">
        <v>0</v>
      </c>
      <c r="Q211" s="169">
        <v>0</v>
      </c>
      <c r="R211" s="169">
        <v>0</v>
      </c>
      <c r="S211" s="169">
        <v>0</v>
      </c>
      <c r="T211" s="169">
        <v>0</v>
      </c>
      <c r="U211" s="61">
        <f t="shared" si="1600"/>
        <v>0</v>
      </c>
      <c r="V211" s="190"/>
      <c r="W211" s="66">
        <v>9</v>
      </c>
      <c r="X211" s="66">
        <v>2013</v>
      </c>
      <c r="Y211" s="69">
        <v>1</v>
      </c>
      <c r="Z211" s="69">
        <v>0</v>
      </c>
      <c r="AA211" s="69">
        <v>0</v>
      </c>
      <c r="AB211" s="69">
        <v>0</v>
      </c>
      <c r="AC211" s="69">
        <v>0</v>
      </c>
      <c r="AD211" s="69">
        <v>0</v>
      </c>
      <c r="AE211" s="69">
        <v>0</v>
      </c>
      <c r="AF211" s="69">
        <v>0</v>
      </c>
      <c r="AG211" s="69">
        <v>0</v>
      </c>
      <c r="AH211" s="69">
        <v>0</v>
      </c>
      <c r="AI211" s="69">
        <v>0</v>
      </c>
      <c r="AJ211" s="69">
        <v>0</v>
      </c>
      <c r="AK211" s="69">
        <v>0</v>
      </c>
      <c r="AL211" s="69">
        <v>0</v>
      </c>
      <c r="AM211" s="69">
        <v>0</v>
      </c>
      <c r="AN211" s="69">
        <v>0</v>
      </c>
      <c r="AO211" s="69">
        <v>0</v>
      </c>
      <c r="AP211" s="190"/>
      <c r="AQ211" s="66">
        <v>9</v>
      </c>
      <c r="AR211" s="66">
        <v>2013</v>
      </c>
      <c r="AS211" s="215">
        <f t="shared" si="1577"/>
        <v>8588.0400000000009</v>
      </c>
      <c r="AT211" s="215">
        <f t="shared" si="1578"/>
        <v>0</v>
      </c>
      <c r="AU211" s="215">
        <f t="shared" si="1579"/>
        <v>0</v>
      </c>
      <c r="AV211" s="215">
        <f t="shared" si="1580"/>
        <v>0</v>
      </c>
      <c r="AW211" s="215">
        <f t="shared" si="1581"/>
        <v>0</v>
      </c>
      <c r="AX211" s="215">
        <f t="shared" si="1582"/>
        <v>0</v>
      </c>
      <c r="AY211" s="215">
        <f t="shared" si="1583"/>
        <v>0</v>
      </c>
      <c r="AZ211" s="215">
        <f t="shared" si="1584"/>
        <v>0</v>
      </c>
      <c r="BA211" s="215">
        <f t="shared" si="1585"/>
        <v>0</v>
      </c>
      <c r="BB211" s="215">
        <f t="shared" si="1586"/>
        <v>0</v>
      </c>
      <c r="BC211" s="215">
        <f t="shared" si="1587"/>
        <v>0</v>
      </c>
      <c r="BD211" s="215">
        <f t="shared" si="1588"/>
        <v>0</v>
      </c>
      <c r="BE211" s="215">
        <f t="shared" si="1589"/>
        <v>0</v>
      </c>
      <c r="BF211" s="215">
        <f t="shared" si="1590"/>
        <v>0</v>
      </c>
      <c r="BG211" s="215">
        <f t="shared" si="1591"/>
        <v>0</v>
      </c>
      <c r="BH211" s="215">
        <f t="shared" si="1592"/>
        <v>0</v>
      </c>
      <c r="BI211" s="215">
        <f t="shared" si="1593"/>
        <v>0</v>
      </c>
      <c r="BJ211" s="194"/>
      <c r="BK211" s="66">
        <v>9</v>
      </c>
      <c r="BL211" s="66">
        <v>2013</v>
      </c>
      <c r="BM211" s="215">
        <f t="shared" ref="BM211:BM221" si="1637">(AX210*pInt_InCare_Int_LTFU_2013plus_u)+(BM210*pInt_LTFU_2013plus_u)</f>
        <v>0</v>
      </c>
      <c r="BN211" s="219">
        <f t="shared" ref="BN211:BN221" si="1638">(AU210*pAsympt_LTFU_Int_LTFU_2013plus_u)+(BN210*pInt_LTFU_2013plus_u)</f>
        <v>0</v>
      </c>
      <c r="BO211" s="219">
        <f t="shared" ref="BO211:BO221" si="1639">(AY210*pInt_ART1_Int_LTFU_2013plus_u)+(BO210*pInt_LTFU_2013plus_u)</f>
        <v>0</v>
      </c>
      <c r="BP211" s="219">
        <f t="shared" ref="BP211:BP221" si="1640">(AZ210*pInt_ART2_Int_LTFU_2013plus_u)+(BP210*pInt_LTFU_2013plus_u)</f>
        <v>0</v>
      </c>
      <c r="BQ211" s="219">
        <f t="shared" ref="BQ211:BQ221" si="1641">(BD210*pAIDS_InCare_AIDS_LTFU_2013plus_u)+(BQ210*pAIDS_LTFU_2013plus_u)</f>
        <v>0</v>
      </c>
      <c r="BR211" s="220">
        <f t="shared" ref="BR211:BR221" si="1642">(BN210*pInt_LTFU_AIDS_LTFU_2013plus_u)+(BR210*pAIDS_LTFU_2013plus_u)</f>
        <v>0</v>
      </c>
      <c r="BS211" s="219">
        <f t="shared" ref="BS211:BS221" si="1643">(BM210*pInt_LTFU_AIDS_LTFU_2013plus_u)+(BS210*pAIDS_LTFU_2013plus_u)</f>
        <v>0</v>
      </c>
      <c r="BT211" s="219">
        <f t="shared" ref="BT211:BT221" si="1644">(BE210*pAIDS_ART1ear_AIDS_LTFU_2013plus_u)+(BT210*pAIDS_LTFU_2013plus_u)</f>
        <v>0</v>
      </c>
      <c r="BU211" s="219">
        <f t="shared" ref="BU211:BU221" si="1645">(BF210*pAIDS_ART1late_AIDS_LTFU_2013plus_u)+(BU210*pAIDS_LTFU_2013plus_u)</f>
        <v>0</v>
      </c>
      <c r="BV211" s="219">
        <f t="shared" ref="BV211:BV221" si="1646">(BO210*pInt_LTFU_AIDS_LTFU_2013plus_u)+(BV210*pAIDS_LTFU_2013plus_u)</f>
        <v>0</v>
      </c>
      <c r="BW211" s="219">
        <f t="shared" ref="BW211:BW221" si="1647">(BG210*pAIDS_ART2_AIDS_LTFU_2013plus_u)+(BW210*pAIDS_LTFU_2013plus_u)</f>
        <v>0</v>
      </c>
      <c r="BX211" s="220">
        <f t="shared" ref="BX211:BX221" si="1648">(BP210*pInt_LTFU_AIDS_LTFU_2013plus_u)+(BX210*pAIDS_LTFU_2013plus_u)</f>
        <v>0</v>
      </c>
      <c r="BY211" s="195"/>
      <c r="BZ211" s="192">
        <v>9</v>
      </c>
      <c r="CA211" s="66">
        <v>2013</v>
      </c>
      <c r="CB211" s="218">
        <f t="shared" ref="CB211:CB221" si="1649">pAsympt_NoCare_Asympt_Dead_2013plus_u*AS210</f>
        <v>0</v>
      </c>
      <c r="CC211" s="218">
        <f t="shared" ref="CC211:CC221" si="1650">pAsympt_InCare_Asympt_Dead_2013plus_u*AT210</f>
        <v>0</v>
      </c>
      <c r="CD211" s="73">
        <f t="shared" ref="CD211:CD221" si="1651">pAsympt_LTFU_Asympt_Dead_2013plus_u*AU210</f>
        <v>0</v>
      </c>
      <c r="CE211" s="73">
        <f t="shared" ref="CE211:CE221" si="1652">pInt_NoCare_Int_Dead_2013plus_u*AW210</f>
        <v>0</v>
      </c>
      <c r="CF211" s="73">
        <f t="shared" ref="CF211:CF221" si="1653">pInt_InCare_Int_Dead_2013plus_u*AX210</f>
        <v>0</v>
      </c>
      <c r="CG211" s="73">
        <f t="shared" ref="CG211:CG221" si="1654">pInt_ART1_Int_Dead_2013plus_u*AY210</f>
        <v>0</v>
      </c>
      <c r="CH211" s="73">
        <f t="shared" ref="CH211:CH221" si="1655">pInt_ART2_Int_Dead_2013plus_u*AZ210</f>
        <v>0</v>
      </c>
      <c r="CI211" s="73">
        <f t="shared" ref="CI211:CI221" si="1656">(BM210*pInt_LTFU_Int_Dead_2013plus_u)</f>
        <v>0</v>
      </c>
      <c r="CJ211" s="73">
        <f t="shared" ref="CJ211:CJ221" si="1657">(BN210*pInt_LTFU_Int_Dead_2013plus_u)</f>
        <v>0</v>
      </c>
      <c r="CK211" s="73">
        <f t="shared" ref="CK211:CK221" si="1658">(BO210*pInt_LTFU_Int_Dead_2013plus_u)</f>
        <v>0</v>
      </c>
      <c r="CL211" s="73">
        <f t="shared" ref="CL211:CL221" si="1659">(BP210*pInt_LTFU_Int_Dead_2013plus_u)</f>
        <v>0</v>
      </c>
      <c r="CM211" s="73">
        <f t="shared" ref="CM211:CM221" si="1660">pAIDS_NoCare_AIDS_Dead_2013plus_u*BC210</f>
        <v>0</v>
      </c>
      <c r="CN211" s="73">
        <f t="shared" ref="CN211:CN221" si="1661">pAIDS_InCare_AIDS_Dead_2013plus_u*BD210</f>
        <v>0</v>
      </c>
      <c r="CO211" s="73">
        <f t="shared" ref="CO211:CO221" si="1662">pAIDS_ART1ear_AIDS_Dead_2013plus_u*BE210</f>
        <v>0</v>
      </c>
      <c r="CP211" s="73">
        <f t="shared" ref="CP211:CP221" si="1663">pAIDS_ART1late_AIDS_Dead_2013plus_u*BF210</f>
        <v>0</v>
      </c>
      <c r="CQ211" s="73">
        <f t="shared" ref="CQ211:CQ221" si="1664">pAIDS_ART2_AIDS_Dead_2013plus_u*BG210</f>
        <v>0</v>
      </c>
      <c r="CR211" s="73">
        <f t="shared" ref="CR211:CR221" si="1665">(BQ210*pAIDS_LTFU_AIDS_Dead_2013plus_u)</f>
        <v>0</v>
      </c>
      <c r="CS211" s="73">
        <f t="shared" ref="CS211:CS221" si="1666">(BR210*pAIDS_LTFU_AIDS_Dead_2013plus_u)</f>
        <v>0</v>
      </c>
      <c r="CT211" s="73">
        <f t="shared" ref="CT211:CT221" si="1667">(BS210*pAIDS_LTFU_AIDS_Dead_2013plus_u)</f>
        <v>0</v>
      </c>
      <c r="CU211" s="73">
        <f t="shared" ref="CU211:CU221" si="1668">(BT210*pAIDS_LTFU_AIDS_Dead_2013plus_u)</f>
        <v>0</v>
      </c>
      <c r="CV211" s="73">
        <f t="shared" ref="CV211:CV221" si="1669">(BU210*pAIDS_LTFU_AIDS_Dead_2013plus_u)</f>
        <v>0</v>
      </c>
      <c r="CW211" s="73">
        <f t="shared" ref="CW211:CW221" si="1670">(BV210*pAIDS_LTFU_AIDS_Dead_2013plus_u)</f>
        <v>0</v>
      </c>
      <c r="CX211" s="73">
        <f t="shared" ref="CX211:CX221" si="1671">(BW210*pAIDS_LTFU_AIDS_Dead_2013plus_u)</f>
        <v>0</v>
      </c>
      <c r="CY211" s="73">
        <f t="shared" ref="CY211:CY221" si="1672">(BX210*pAIDS_LTFU_AIDS_Dead_2013plus_u)</f>
        <v>0</v>
      </c>
      <c r="CZ211" s="190"/>
      <c r="DA211" s="66">
        <v>2013</v>
      </c>
      <c r="DB211" s="218">
        <f t="shared" si="1594"/>
        <v>0</v>
      </c>
      <c r="DC211" s="218">
        <f t="shared" si="1595"/>
        <v>8588.0400000000009</v>
      </c>
      <c r="DD211" s="73">
        <f t="shared" si="1596"/>
        <v>0</v>
      </c>
      <c r="DE211" s="73">
        <f t="shared" si="1597"/>
        <v>0</v>
      </c>
      <c r="DF211" s="73">
        <f t="shared" si="1598"/>
        <v>0</v>
      </c>
      <c r="DG211" s="73">
        <f t="shared" si="1599"/>
        <v>0</v>
      </c>
      <c r="DH211" s="72" t="e">
        <f t="shared" si="1627"/>
        <v>#DIV/0!</v>
      </c>
      <c r="DI211" s="72" t="e">
        <f t="shared" si="1628"/>
        <v>#DIV/0!</v>
      </c>
      <c r="DJ211" s="73">
        <f>SUM(AV202:AV211,BB202:BB211,BI202:BI211)</f>
        <v>0</v>
      </c>
      <c r="DK211" s="73">
        <f>SUM(AV208:AV211,BB208:BB211,BI208:BI211)</f>
        <v>0</v>
      </c>
      <c r="DL211" s="190"/>
    </row>
    <row r="212" spans="1:116" x14ac:dyDescent="0.25">
      <c r="A212" s="190"/>
      <c r="B212" s="188">
        <v>2013</v>
      </c>
      <c r="C212" s="61" t="s">
        <v>327</v>
      </c>
      <c r="D212" s="169">
        <v>0</v>
      </c>
      <c r="E212" s="169">
        <v>0</v>
      </c>
      <c r="F212" s="169">
        <v>0</v>
      </c>
      <c r="G212" s="169">
        <v>0</v>
      </c>
      <c r="H212" s="169">
        <v>0</v>
      </c>
      <c r="I212" s="169">
        <v>0</v>
      </c>
      <c r="J212" s="169">
        <v>0</v>
      </c>
      <c r="K212" s="169">
        <v>0</v>
      </c>
      <c r="L212" s="169">
        <v>0</v>
      </c>
      <c r="M212" s="169">
        <v>0</v>
      </c>
      <c r="N212" s="172">
        <f>pAIDS_NoCare_2013plus_u</f>
        <v>6.9057483924386098E-2</v>
      </c>
      <c r="O212" s="172">
        <f>pAIDS_NoCare_AIDS_InCare_2013plus_u</f>
        <v>0.46884042112291341</v>
      </c>
      <c r="P212" s="170">
        <f>pAIDS_NoCare_AIDS_ART1ear_2013plus_u</f>
        <v>5.1587356649849515E-2</v>
      </c>
      <c r="Q212" s="169">
        <v>0</v>
      </c>
      <c r="R212" s="169">
        <v>0</v>
      </c>
      <c r="S212" s="169">
        <v>0</v>
      </c>
      <c r="T212" s="170">
        <f>pAIDS_NoCare_AIDS_Dead_2013plus_u</f>
        <v>0.41051473830285101</v>
      </c>
      <c r="U212" s="61">
        <f t="shared" si="1600"/>
        <v>1</v>
      </c>
      <c r="V212" s="190"/>
      <c r="W212" s="66">
        <v>10</v>
      </c>
      <c r="X212" s="66">
        <v>2014</v>
      </c>
      <c r="Y212" s="70">
        <f t="shared" ref="Y212:Y221" si="1673">MMULT($Y211:$AO211,D$202:D$218)</f>
        <v>0.63376008575865694</v>
      </c>
      <c r="Z212" s="70">
        <f t="shared" ref="Z212:Z221" si="1674">MMULT($Y211:$AO211,E$202:E$218)</f>
        <v>7.4027434914144222E-2</v>
      </c>
      <c r="AA212" s="70">
        <f t="shared" ref="AA212:AA221" si="1675">MMULT($Y211:$AO211,F$202:F$218)</f>
        <v>0</v>
      </c>
      <c r="AB212" s="70">
        <f t="shared" ref="AB212:AB221" si="1676">MMULT($Y211:$AO211,G$202:G$218)</f>
        <v>1.818504441305463E-2</v>
      </c>
      <c r="AC212" s="70">
        <f t="shared" ref="AC212:AC221" si="1677">MMULT($Y211:$AO211,H$202:H$218)</f>
        <v>0.2</v>
      </c>
      <c r="AD212" s="70">
        <f t="shared" ref="AD212:AD221" si="1678">MMULT($Y211:$AO211,I$202:I$218)</f>
        <v>7.4027434914144222E-2</v>
      </c>
      <c r="AE212" s="70">
        <f t="shared" ref="AE212:AE221" si="1679">MMULT($Y211:$AO211,J$202:J$218)</f>
        <v>0</v>
      </c>
      <c r="AF212" s="70">
        <f t="shared" ref="AF212:AF221" si="1680">MMULT($Y211:$AO211,K$202:K$218)</f>
        <v>0</v>
      </c>
      <c r="AG212" s="70">
        <f t="shared" ref="AG212:AG221" si="1681">MMULT($Y211:$AO211,L$202:L$218)</f>
        <v>0</v>
      </c>
      <c r="AH212" s="70">
        <f t="shared" ref="AH212:AH221" si="1682">MMULT($Y211:$AO211,M$202:M$218)</f>
        <v>0</v>
      </c>
      <c r="AI212" s="70">
        <f t="shared" ref="AI212:AI221" si="1683">MMULT($Y211:$AO211,N$202:N$218)</f>
        <v>0</v>
      </c>
      <c r="AJ212" s="70">
        <f t="shared" ref="AJ212:AJ221" si="1684">MMULT($Y211:$AO211,O$202:O$218)</f>
        <v>0</v>
      </c>
      <c r="AK212" s="70">
        <f t="shared" ref="AK212:AK221" si="1685">MMULT($Y211:$AO211,P$202:P$218)</f>
        <v>0</v>
      </c>
      <c r="AL212" s="70">
        <f t="shared" ref="AL212:AL221" si="1686">MMULT($Y211:$AO211,Q$202:Q$218)</f>
        <v>0</v>
      </c>
      <c r="AM212" s="70">
        <f t="shared" ref="AM212:AM221" si="1687">MMULT($Y211:$AO211,R$202:R$218)</f>
        <v>0</v>
      </c>
      <c r="AN212" s="70">
        <f t="shared" ref="AN212:AN221" si="1688">MMULT($Y211:$AO211,S$202:S$218)</f>
        <v>0</v>
      </c>
      <c r="AO212" s="70">
        <f t="shared" ref="AO212:AO221" si="1689">MMULT($Y211:$AO211,T$202:T$218)</f>
        <v>0</v>
      </c>
      <c r="AP212" s="190"/>
      <c r="AQ212" s="66">
        <v>10</v>
      </c>
      <c r="AR212" s="66">
        <v>2014</v>
      </c>
      <c r="AS212" s="215">
        <f t="shared" si="1577"/>
        <v>5442.7569668987771</v>
      </c>
      <c r="AT212" s="215">
        <f t="shared" si="1578"/>
        <v>635.75057214006722</v>
      </c>
      <c r="AU212" s="215">
        <f t="shared" si="1579"/>
        <v>0</v>
      </c>
      <c r="AV212" s="215">
        <f t="shared" si="1580"/>
        <v>156.17388882108969</v>
      </c>
      <c r="AW212" s="215">
        <f t="shared" si="1581"/>
        <v>1717.6080000000002</v>
      </c>
      <c r="AX212" s="215">
        <f t="shared" si="1582"/>
        <v>635.75057214006722</v>
      </c>
      <c r="AY212" s="215">
        <f t="shared" si="1583"/>
        <v>0</v>
      </c>
      <c r="AZ212" s="215">
        <f t="shared" si="1584"/>
        <v>0</v>
      </c>
      <c r="BA212" s="215">
        <f t="shared" si="1585"/>
        <v>0</v>
      </c>
      <c r="BB212" s="215">
        <f t="shared" si="1586"/>
        <v>0</v>
      </c>
      <c r="BC212" s="215">
        <f t="shared" si="1587"/>
        <v>0</v>
      </c>
      <c r="BD212" s="215">
        <f t="shared" si="1588"/>
        <v>0</v>
      </c>
      <c r="BE212" s="215">
        <f t="shared" si="1589"/>
        <v>0</v>
      </c>
      <c r="BF212" s="215">
        <f t="shared" si="1590"/>
        <v>0</v>
      </c>
      <c r="BG212" s="215">
        <f t="shared" si="1591"/>
        <v>0</v>
      </c>
      <c r="BH212" s="215">
        <f t="shared" si="1592"/>
        <v>0</v>
      </c>
      <c r="BI212" s="215">
        <f t="shared" si="1593"/>
        <v>0</v>
      </c>
      <c r="BJ212" s="194"/>
      <c r="BK212" s="66">
        <v>10</v>
      </c>
      <c r="BL212" s="66">
        <v>2014</v>
      </c>
      <c r="BM212" s="215">
        <f t="shared" si="1637"/>
        <v>0</v>
      </c>
      <c r="BN212" s="219">
        <f t="shared" si="1638"/>
        <v>0</v>
      </c>
      <c r="BO212" s="219">
        <f t="shared" si="1639"/>
        <v>0</v>
      </c>
      <c r="BP212" s="219">
        <f t="shared" si="1640"/>
        <v>0</v>
      </c>
      <c r="BQ212" s="219">
        <f t="shared" si="1641"/>
        <v>0</v>
      </c>
      <c r="BR212" s="220">
        <f t="shared" si="1642"/>
        <v>0</v>
      </c>
      <c r="BS212" s="219">
        <f t="shared" si="1643"/>
        <v>0</v>
      </c>
      <c r="BT212" s="219">
        <f t="shared" si="1644"/>
        <v>0</v>
      </c>
      <c r="BU212" s="219">
        <f t="shared" si="1645"/>
        <v>0</v>
      </c>
      <c r="BV212" s="219">
        <f t="shared" si="1646"/>
        <v>0</v>
      </c>
      <c r="BW212" s="219">
        <f t="shared" si="1647"/>
        <v>0</v>
      </c>
      <c r="BX212" s="220">
        <f t="shared" si="1648"/>
        <v>0</v>
      </c>
      <c r="BY212" s="195"/>
      <c r="BZ212" s="192">
        <v>10</v>
      </c>
      <c r="CA212" s="66">
        <v>2014</v>
      </c>
      <c r="CB212" s="218">
        <f t="shared" si="1649"/>
        <v>156.17388882108969</v>
      </c>
      <c r="CC212" s="218">
        <f t="shared" si="1650"/>
        <v>0</v>
      </c>
      <c r="CD212" s="73">
        <f t="shared" si="1651"/>
        <v>0</v>
      </c>
      <c r="CE212" s="73">
        <f t="shared" si="1652"/>
        <v>0</v>
      </c>
      <c r="CF212" s="73">
        <f t="shared" si="1653"/>
        <v>0</v>
      </c>
      <c r="CG212" s="73">
        <f t="shared" si="1654"/>
        <v>0</v>
      </c>
      <c r="CH212" s="73">
        <f t="shared" si="1655"/>
        <v>0</v>
      </c>
      <c r="CI212" s="73">
        <f t="shared" si="1656"/>
        <v>0</v>
      </c>
      <c r="CJ212" s="73">
        <f t="shared" si="1657"/>
        <v>0</v>
      </c>
      <c r="CK212" s="73">
        <f t="shared" si="1658"/>
        <v>0</v>
      </c>
      <c r="CL212" s="73">
        <f t="shared" si="1659"/>
        <v>0</v>
      </c>
      <c r="CM212" s="73">
        <f t="shared" si="1660"/>
        <v>0</v>
      </c>
      <c r="CN212" s="73">
        <f t="shared" si="1661"/>
        <v>0</v>
      </c>
      <c r="CO212" s="73">
        <f t="shared" si="1662"/>
        <v>0</v>
      </c>
      <c r="CP212" s="73">
        <f t="shared" si="1663"/>
        <v>0</v>
      </c>
      <c r="CQ212" s="73">
        <f t="shared" si="1664"/>
        <v>0</v>
      </c>
      <c r="CR212" s="73">
        <f t="shared" si="1665"/>
        <v>0</v>
      </c>
      <c r="CS212" s="73">
        <f t="shared" si="1666"/>
        <v>0</v>
      </c>
      <c r="CT212" s="73">
        <f t="shared" si="1667"/>
        <v>0</v>
      </c>
      <c r="CU212" s="73">
        <f t="shared" si="1668"/>
        <v>0</v>
      </c>
      <c r="CV212" s="73">
        <f t="shared" si="1669"/>
        <v>0</v>
      </c>
      <c r="CW212" s="73">
        <f t="shared" si="1670"/>
        <v>0</v>
      </c>
      <c r="CX212" s="73">
        <f t="shared" si="1671"/>
        <v>0</v>
      </c>
      <c r="CY212" s="73">
        <f t="shared" si="1672"/>
        <v>0</v>
      </c>
      <c r="CZ212" s="190"/>
      <c r="DA212" s="66">
        <v>2014</v>
      </c>
      <c r="DB212" s="218">
        <f t="shared" si="1594"/>
        <v>1271.5011442801344</v>
      </c>
      <c r="DC212" s="218">
        <f t="shared" si="1595"/>
        <v>8431.8661111789115</v>
      </c>
      <c r="DD212" s="73">
        <f t="shared" si="1596"/>
        <v>0</v>
      </c>
      <c r="DE212" s="73">
        <f t="shared" si="1597"/>
        <v>0</v>
      </c>
      <c r="DF212" s="73">
        <f t="shared" si="1598"/>
        <v>0</v>
      </c>
      <c r="DG212" s="73">
        <f t="shared" si="1599"/>
        <v>2353.3585721400673</v>
      </c>
      <c r="DH212" s="72">
        <f t="shared" si="1627"/>
        <v>0</v>
      </c>
      <c r="DI212" s="72" t="e">
        <f t="shared" si="1628"/>
        <v>#DIV/0!</v>
      </c>
      <c r="DJ212" s="73">
        <f>SUM(AV202:AV212,BB202:BB212,BI202:BI212)</f>
        <v>156.17388882108969</v>
      </c>
      <c r="DK212" s="73">
        <f>SUM(AV208:AV212,BB208:BB212,BI208:BI212)</f>
        <v>156.17388882108969</v>
      </c>
      <c r="DL212" s="190"/>
    </row>
    <row r="213" spans="1:116" x14ac:dyDescent="0.25">
      <c r="A213" s="190"/>
      <c r="B213" s="188">
        <v>2013</v>
      </c>
      <c r="C213" s="61" t="s">
        <v>328</v>
      </c>
      <c r="D213" s="169">
        <v>0</v>
      </c>
      <c r="E213" s="169">
        <v>0</v>
      </c>
      <c r="F213" s="169">
        <v>0</v>
      </c>
      <c r="G213" s="169">
        <v>0</v>
      </c>
      <c r="H213" s="169">
        <v>0</v>
      </c>
      <c r="I213" s="169">
        <v>0</v>
      </c>
      <c r="J213" s="169">
        <v>0</v>
      </c>
      <c r="K213" s="169">
        <v>0</v>
      </c>
      <c r="L213" s="169">
        <v>0</v>
      </c>
      <c r="M213" s="169">
        <v>0</v>
      </c>
      <c r="N213" s="169">
        <v>0</v>
      </c>
      <c r="O213" s="172">
        <f>pAIDS_InCare_2013plus_u</f>
        <v>0.12310001975146173</v>
      </c>
      <c r="P213" s="172">
        <f>pAIDS_InCare_AIDS_ART1ear_2013plus_u</f>
        <v>0.43290702569058864</v>
      </c>
      <c r="Q213" s="169">
        <v>0</v>
      </c>
      <c r="R213" s="169">
        <v>0</v>
      </c>
      <c r="S213" s="170">
        <f>pAIDS_InCare_AIDS_LTFU_2013plus_u</f>
        <v>5.8805476905872532E-2</v>
      </c>
      <c r="T213" s="170">
        <f>pAIDS_InCare_AIDS_Dead_2013plus_u</f>
        <v>0.385187477652077</v>
      </c>
      <c r="U213" s="61">
        <f t="shared" si="1600"/>
        <v>1</v>
      </c>
      <c r="V213" s="190"/>
      <c r="W213" s="66">
        <v>11</v>
      </c>
      <c r="X213" s="66">
        <v>2015</v>
      </c>
      <c r="Y213" s="70">
        <f t="shared" si="1673"/>
        <v>0.40165184630082018</v>
      </c>
      <c r="Z213" s="70">
        <f t="shared" si="1674"/>
        <v>7.9350132444030066E-2</v>
      </c>
      <c r="AA213" s="70">
        <f t="shared" si="1675"/>
        <v>2.2711269412095766E-2</v>
      </c>
      <c r="AB213" s="70">
        <f t="shared" si="1676"/>
        <v>1.2788092354875989E-2</v>
      </c>
      <c r="AC213" s="70">
        <f t="shared" si="1677"/>
        <v>0.22169301105858225</v>
      </c>
      <c r="AD213" s="70">
        <f t="shared" si="1678"/>
        <v>0.1017364552227743</v>
      </c>
      <c r="AE213" s="70">
        <f t="shared" si="1679"/>
        <v>1.2322340839651991E-2</v>
      </c>
      <c r="AF213" s="70">
        <f t="shared" si="1680"/>
        <v>0</v>
      </c>
      <c r="AG213" s="70">
        <f t="shared" si="1681"/>
        <v>1.3509635260084139E-2</v>
      </c>
      <c r="AH213" s="70">
        <f t="shared" si="1682"/>
        <v>7.5148512019901498E-3</v>
      </c>
      <c r="AI213" s="70">
        <f t="shared" si="1683"/>
        <v>0.06</v>
      </c>
      <c r="AJ213" s="70">
        <f t="shared" si="1684"/>
        <v>4.1948879784681731E-2</v>
      </c>
      <c r="AK213" s="70">
        <f t="shared" si="1685"/>
        <v>6.5884417073588351E-3</v>
      </c>
      <c r="AL213" s="70">
        <f t="shared" si="1686"/>
        <v>0</v>
      </c>
      <c r="AM213" s="70">
        <f t="shared" si="1687"/>
        <v>0</v>
      </c>
      <c r="AN213" s="70">
        <f t="shared" si="1688"/>
        <v>0</v>
      </c>
      <c r="AO213" s="70">
        <f t="shared" si="1689"/>
        <v>0</v>
      </c>
      <c r="AP213" s="190"/>
      <c r="AQ213" s="66">
        <v>11</v>
      </c>
      <c r="AR213" s="66">
        <v>2015</v>
      </c>
      <c r="AS213" s="215">
        <f t="shared" si="1577"/>
        <v>3449.4021221052963</v>
      </c>
      <c r="AT213" s="215">
        <f t="shared" si="1578"/>
        <v>681.46211143462801</v>
      </c>
      <c r="AU213" s="215">
        <f t="shared" si="1579"/>
        <v>195.04529016185495</v>
      </c>
      <c r="AV213" s="215">
        <f t="shared" si="1580"/>
        <v>109.8246486673692</v>
      </c>
      <c r="AW213" s="215">
        <f t="shared" si="1581"/>
        <v>1903.9084466915469</v>
      </c>
      <c r="AX213" s="215">
        <f t="shared" si="1582"/>
        <v>873.71674691139469</v>
      </c>
      <c r="AY213" s="215">
        <f t="shared" si="1583"/>
        <v>105.82475602456491</v>
      </c>
      <c r="AZ213" s="215">
        <f t="shared" si="1584"/>
        <v>0</v>
      </c>
      <c r="BA213" s="215">
        <f t="shared" si="1585"/>
        <v>116.021287999013</v>
      </c>
      <c r="BB213" s="215">
        <f t="shared" si="1586"/>
        <v>64.53784271673949</v>
      </c>
      <c r="BC213" s="215">
        <f t="shared" si="1587"/>
        <v>515.28240000000005</v>
      </c>
      <c r="BD213" s="215">
        <f t="shared" si="1588"/>
        <v>360.25865754603814</v>
      </c>
      <c r="BE213" s="215">
        <f t="shared" si="1589"/>
        <v>56.581800920465973</v>
      </c>
      <c r="BF213" s="215">
        <f t="shared" si="1590"/>
        <v>0</v>
      </c>
      <c r="BG213" s="215">
        <f t="shared" si="1591"/>
        <v>0</v>
      </c>
      <c r="BH213" s="215">
        <f t="shared" si="1592"/>
        <v>0</v>
      </c>
      <c r="BI213" s="215">
        <f t="shared" si="1593"/>
        <v>0</v>
      </c>
      <c r="BJ213" s="194"/>
      <c r="BK213" s="66">
        <v>11</v>
      </c>
      <c r="BL213" s="66">
        <v>2015</v>
      </c>
      <c r="BM213" s="215">
        <f t="shared" si="1637"/>
        <v>116.021287999013</v>
      </c>
      <c r="BN213" s="219">
        <f t="shared" si="1638"/>
        <v>0</v>
      </c>
      <c r="BO213" s="219">
        <f t="shared" si="1639"/>
        <v>0</v>
      </c>
      <c r="BP213" s="219">
        <f t="shared" si="1640"/>
        <v>0</v>
      </c>
      <c r="BQ213" s="219">
        <f t="shared" si="1641"/>
        <v>0</v>
      </c>
      <c r="BR213" s="220">
        <f t="shared" si="1642"/>
        <v>0</v>
      </c>
      <c r="BS213" s="219">
        <f t="shared" si="1643"/>
        <v>0</v>
      </c>
      <c r="BT213" s="219">
        <f t="shared" si="1644"/>
        <v>0</v>
      </c>
      <c r="BU213" s="219">
        <f t="shared" si="1645"/>
        <v>0</v>
      </c>
      <c r="BV213" s="219">
        <f t="shared" si="1646"/>
        <v>0</v>
      </c>
      <c r="BW213" s="219">
        <f t="shared" si="1647"/>
        <v>0</v>
      </c>
      <c r="BX213" s="220">
        <f t="shared" si="1648"/>
        <v>0</v>
      </c>
      <c r="BY213" s="195"/>
      <c r="BZ213" s="192">
        <v>11</v>
      </c>
      <c r="CA213" s="66">
        <v>2015</v>
      </c>
      <c r="CB213" s="218">
        <f t="shared" si="1649"/>
        <v>98.976777172516762</v>
      </c>
      <c r="CC213" s="218">
        <f t="shared" si="1650"/>
        <v>10.847871494852438</v>
      </c>
      <c r="CD213" s="73">
        <f t="shared" si="1651"/>
        <v>0</v>
      </c>
      <c r="CE213" s="73">
        <f t="shared" si="1652"/>
        <v>47.901574880172824</v>
      </c>
      <c r="CF213" s="73">
        <f t="shared" si="1653"/>
        <v>16.636267836566656</v>
      </c>
      <c r="CG213" s="73">
        <f t="shared" si="1654"/>
        <v>0</v>
      </c>
      <c r="CH213" s="73">
        <f t="shared" si="1655"/>
        <v>0</v>
      </c>
      <c r="CI213" s="73">
        <f t="shared" si="1656"/>
        <v>0</v>
      </c>
      <c r="CJ213" s="73">
        <f t="shared" si="1657"/>
        <v>0</v>
      </c>
      <c r="CK213" s="73">
        <f t="shared" si="1658"/>
        <v>0</v>
      </c>
      <c r="CL213" s="73">
        <f t="shared" si="1659"/>
        <v>0</v>
      </c>
      <c r="CM213" s="73">
        <f t="shared" si="1660"/>
        <v>0</v>
      </c>
      <c r="CN213" s="73">
        <f t="shared" si="1661"/>
        <v>0</v>
      </c>
      <c r="CO213" s="73">
        <f t="shared" si="1662"/>
        <v>0</v>
      </c>
      <c r="CP213" s="73">
        <f t="shared" si="1663"/>
        <v>0</v>
      </c>
      <c r="CQ213" s="73">
        <f t="shared" si="1664"/>
        <v>0</v>
      </c>
      <c r="CR213" s="73">
        <f t="shared" si="1665"/>
        <v>0</v>
      </c>
      <c r="CS213" s="73">
        <f t="shared" si="1666"/>
        <v>0</v>
      </c>
      <c r="CT213" s="73">
        <f t="shared" si="1667"/>
        <v>0</v>
      </c>
      <c r="CU213" s="73">
        <f t="shared" si="1668"/>
        <v>0</v>
      </c>
      <c r="CV213" s="73">
        <f t="shared" si="1669"/>
        <v>0</v>
      </c>
      <c r="CW213" s="73">
        <f t="shared" si="1670"/>
        <v>0</v>
      </c>
      <c r="CX213" s="73">
        <f t="shared" si="1671"/>
        <v>0</v>
      </c>
      <c r="CY213" s="73">
        <f t="shared" si="1672"/>
        <v>0</v>
      </c>
      <c r="CZ213" s="190"/>
      <c r="DA213" s="66">
        <v>2015</v>
      </c>
      <c r="DB213" s="218">
        <f t="shared" si="1594"/>
        <v>1915.4375158920609</v>
      </c>
      <c r="DC213" s="218">
        <f t="shared" si="1595"/>
        <v>8257.5036197948029</v>
      </c>
      <c r="DD213" s="73">
        <f t="shared" si="1596"/>
        <v>162.40655694503087</v>
      </c>
      <c r="DE213" s="73">
        <f t="shared" si="1597"/>
        <v>56.581800920465973</v>
      </c>
      <c r="DF213" s="73">
        <f t="shared" si="1598"/>
        <v>875.54105754603825</v>
      </c>
      <c r="DG213" s="73">
        <f t="shared" si="1599"/>
        <v>3769.187539147993</v>
      </c>
      <c r="DH213" s="72">
        <f t="shared" si="1627"/>
        <v>4.1308068171742478E-2</v>
      </c>
      <c r="DI213" s="72">
        <f t="shared" si="1628"/>
        <v>6.0702084930684311E-2</v>
      </c>
      <c r="DJ213" s="73">
        <f>SUM(AV202:AV213,BB202:BB213,BI202:BI213)</f>
        <v>330.53638020519838</v>
      </c>
      <c r="DK213" s="73">
        <f>SUM(AV208:AV213,BB208:BB213,BI208:BI213)</f>
        <v>330.53638020519838</v>
      </c>
      <c r="DL213" s="190"/>
    </row>
    <row r="214" spans="1:116" x14ac:dyDescent="0.25">
      <c r="A214" s="190"/>
      <c r="B214" s="188">
        <v>2013</v>
      </c>
      <c r="C214" s="61" t="s">
        <v>329</v>
      </c>
      <c r="D214" s="169">
        <v>0</v>
      </c>
      <c r="E214" s="169">
        <v>0</v>
      </c>
      <c r="F214" s="169">
        <v>0</v>
      </c>
      <c r="G214" s="169">
        <v>0</v>
      </c>
      <c r="H214" s="169">
        <v>0</v>
      </c>
      <c r="I214" s="169">
        <v>0</v>
      </c>
      <c r="J214" s="169">
        <v>0</v>
      </c>
      <c r="K214" s="169">
        <v>0</v>
      </c>
      <c r="L214" s="169">
        <v>0</v>
      </c>
      <c r="M214" s="169">
        <v>0</v>
      </c>
      <c r="N214" s="169">
        <v>0</v>
      </c>
      <c r="O214" s="169">
        <v>0</v>
      </c>
      <c r="P214" s="169">
        <v>0</v>
      </c>
      <c r="Q214" s="172">
        <f>pAIDS_ART1ear_AIDS_ART1late_2013plus_u</f>
        <v>0.82048978572958342</v>
      </c>
      <c r="R214" s="169">
        <v>0</v>
      </c>
      <c r="S214" s="170">
        <f>pAIDS_ART1ear_AIDS_LTFU_2013plus_u</f>
        <v>3.1705300812410298E-2</v>
      </c>
      <c r="T214" s="170">
        <f>pAIDS_ART1ear_AIDS_Dead_2013plus_u</f>
        <v>0.14780491345800628</v>
      </c>
      <c r="U214" s="61">
        <f t="shared" si="1600"/>
        <v>1</v>
      </c>
      <c r="V214" s="190"/>
      <c r="W214" s="66">
        <v>12</v>
      </c>
      <c r="X214" s="66">
        <v>2016</v>
      </c>
      <c r="Y214" s="70">
        <f t="shared" si="1673"/>
        <v>0.25455090855673068</v>
      </c>
      <c r="Z214" s="70">
        <f t="shared" si="1674"/>
        <v>6.4499850078608451E-2</v>
      </c>
      <c r="AA214" s="70">
        <f t="shared" si="1675"/>
        <v>3.9118268432763954E-2</v>
      </c>
      <c r="AB214" s="70">
        <f t="shared" si="1676"/>
        <v>9.0710208405925634E-3</v>
      </c>
      <c r="AC214" s="70">
        <f t="shared" si="1677"/>
        <v>0.18556914332068541</v>
      </c>
      <c r="AD214" s="70">
        <f t="shared" si="1678"/>
        <v>9.5348753537974687E-2</v>
      </c>
      <c r="AE214" s="70">
        <f t="shared" si="1679"/>
        <v>3.3225173226078444E-2</v>
      </c>
      <c r="AF214" s="70">
        <f t="shared" si="1680"/>
        <v>2.4263437499190883E-3</v>
      </c>
      <c r="AG214" s="70">
        <f t="shared" si="1681"/>
        <v>2.8668531751787067E-2</v>
      </c>
      <c r="AH214" s="70">
        <f t="shared" si="1682"/>
        <v>9.2840050097176517E-3</v>
      </c>
      <c r="AI214" s="70">
        <f t="shared" si="1683"/>
        <v>7.0651352353037836E-2</v>
      </c>
      <c r="AJ214" s="70">
        <f t="shared" si="1684"/>
        <v>8.569708969366624E-2</v>
      </c>
      <c r="AK214" s="70">
        <f t="shared" si="1685"/>
        <v>3.0309750692456512E-2</v>
      </c>
      <c r="AL214" s="70">
        <f t="shared" si="1686"/>
        <v>5.4057491247627015E-3</v>
      </c>
      <c r="AM214" s="70">
        <f t="shared" si="1687"/>
        <v>0</v>
      </c>
      <c r="AN214" s="70">
        <f t="shared" si="1688"/>
        <v>5.9232001121558263E-3</v>
      </c>
      <c r="AO214" s="70">
        <f t="shared" si="1689"/>
        <v>4.1762871549142107E-2</v>
      </c>
      <c r="AP214" s="190"/>
      <c r="AQ214" s="66">
        <v>12</v>
      </c>
      <c r="AR214" s="66">
        <v>2016</v>
      </c>
      <c r="AS214" s="215">
        <f t="shared" si="1577"/>
        <v>2186.0933847215456</v>
      </c>
      <c r="AT214" s="215">
        <f t="shared" si="1578"/>
        <v>553.92729246909255</v>
      </c>
      <c r="AU214" s="215">
        <f t="shared" si="1579"/>
        <v>335.94925403131418</v>
      </c>
      <c r="AV214" s="215">
        <f t="shared" si="1580"/>
        <v>77.902289819842565</v>
      </c>
      <c r="AW214" s="215">
        <f t="shared" si="1581"/>
        <v>1593.6752256037794</v>
      </c>
      <c r="AX214" s="215">
        <f t="shared" si="1582"/>
        <v>818.85890933426822</v>
      </c>
      <c r="AY214" s="215">
        <f t="shared" si="1583"/>
        <v>285.33911667249077</v>
      </c>
      <c r="AZ214" s="215">
        <f t="shared" si="1584"/>
        <v>20.837537178055129</v>
      </c>
      <c r="BA214" s="215">
        <f t="shared" si="1585"/>
        <v>246.20649742561744</v>
      </c>
      <c r="BB214" s="215">
        <f t="shared" si="1586"/>
        <v>79.731406383655596</v>
      </c>
      <c r="BC214" s="215">
        <f t="shared" si="1587"/>
        <v>606.75664006198315</v>
      </c>
      <c r="BD214" s="215">
        <f t="shared" si="1588"/>
        <v>735.97003417279348</v>
      </c>
      <c r="BE214" s="215">
        <f t="shared" si="1589"/>
        <v>260.30135133684428</v>
      </c>
      <c r="BF214" s="215">
        <f t="shared" si="1590"/>
        <v>46.424789713427074</v>
      </c>
      <c r="BG214" s="215">
        <f t="shared" si="1591"/>
        <v>0</v>
      </c>
      <c r="BH214" s="215">
        <f t="shared" si="1592"/>
        <v>50.868679491198726</v>
      </c>
      <c r="BI214" s="215">
        <f t="shared" si="1593"/>
        <v>358.66121137889439</v>
      </c>
      <c r="BJ214" s="194"/>
      <c r="BK214" s="66">
        <v>12</v>
      </c>
      <c r="BL214" s="66">
        <v>2016</v>
      </c>
      <c r="BM214" s="215">
        <f t="shared" si="1637"/>
        <v>205.67509470161843</v>
      </c>
      <c r="BN214" s="219">
        <f t="shared" si="1638"/>
        <v>39.009058032370994</v>
      </c>
      <c r="BO214" s="219">
        <f t="shared" si="1639"/>
        <v>1.5223446916279959</v>
      </c>
      <c r="BP214" s="219">
        <f t="shared" si="1640"/>
        <v>0</v>
      </c>
      <c r="BQ214" s="219">
        <f t="shared" si="1641"/>
        <v>21.185182166464188</v>
      </c>
      <c r="BR214" s="220">
        <f t="shared" si="1642"/>
        <v>0</v>
      </c>
      <c r="BS214" s="219">
        <f t="shared" si="1643"/>
        <v>27.889554306043259</v>
      </c>
      <c r="BT214" s="219">
        <f t="shared" si="1644"/>
        <v>1.7939430186912875</v>
      </c>
      <c r="BU214" s="219">
        <f t="shared" si="1645"/>
        <v>0</v>
      </c>
      <c r="BV214" s="219">
        <f t="shared" si="1646"/>
        <v>0</v>
      </c>
      <c r="BW214" s="219">
        <f t="shared" si="1647"/>
        <v>0</v>
      </c>
      <c r="BX214" s="220">
        <f t="shared" si="1648"/>
        <v>0</v>
      </c>
      <c r="BY214" s="195"/>
      <c r="BZ214" s="192">
        <v>12</v>
      </c>
      <c r="CA214" s="66">
        <v>2016</v>
      </c>
      <c r="CB214" s="218">
        <f t="shared" si="1649"/>
        <v>62.727530788969702</v>
      </c>
      <c r="CC214" s="218">
        <f t="shared" si="1650"/>
        <v>11.627851766722399</v>
      </c>
      <c r="CD214" s="73">
        <f t="shared" si="1651"/>
        <v>3.5469072641504593</v>
      </c>
      <c r="CE214" s="73">
        <f t="shared" si="1652"/>
        <v>53.097221848168303</v>
      </c>
      <c r="CF214" s="73">
        <f t="shared" si="1653"/>
        <v>22.863346809083612</v>
      </c>
      <c r="CG214" s="73">
        <f t="shared" si="1654"/>
        <v>0.53517370132995767</v>
      </c>
      <c r="CH214" s="73">
        <f t="shared" si="1655"/>
        <v>0</v>
      </c>
      <c r="CI214" s="73">
        <f t="shared" si="1656"/>
        <v>3.2356640250737172</v>
      </c>
      <c r="CJ214" s="73">
        <f t="shared" si="1657"/>
        <v>0</v>
      </c>
      <c r="CK214" s="73">
        <f t="shared" si="1658"/>
        <v>0</v>
      </c>
      <c r="CL214" s="73">
        <f t="shared" si="1659"/>
        <v>0</v>
      </c>
      <c r="CM214" s="73">
        <f t="shared" si="1660"/>
        <v>211.53101958806502</v>
      </c>
      <c r="CN214" s="73">
        <f t="shared" si="1661"/>
        <v>138.76712360248183</v>
      </c>
      <c r="CO214" s="73">
        <f t="shared" si="1662"/>
        <v>8.3630681883476132</v>
      </c>
      <c r="CP214" s="73">
        <f t="shared" si="1663"/>
        <v>0</v>
      </c>
      <c r="CQ214" s="73">
        <f t="shared" si="1664"/>
        <v>0</v>
      </c>
      <c r="CR214" s="73">
        <f t="shared" si="1665"/>
        <v>0</v>
      </c>
      <c r="CS214" s="73">
        <f t="shared" si="1666"/>
        <v>0</v>
      </c>
      <c r="CT214" s="73">
        <f t="shared" si="1667"/>
        <v>0</v>
      </c>
      <c r="CU214" s="73">
        <f t="shared" si="1668"/>
        <v>0</v>
      </c>
      <c r="CV214" s="73">
        <f t="shared" si="1669"/>
        <v>0</v>
      </c>
      <c r="CW214" s="73">
        <f t="shared" si="1670"/>
        <v>0</v>
      </c>
      <c r="CX214" s="73">
        <f t="shared" si="1671"/>
        <v>0</v>
      </c>
      <c r="CY214" s="73">
        <f t="shared" si="1672"/>
        <v>0</v>
      </c>
      <c r="CZ214" s="190"/>
      <c r="DA214" s="66">
        <v>2016</v>
      </c>
      <c r="DB214" s="218">
        <f t="shared" si="1594"/>
        <v>2108.7562359761541</v>
      </c>
      <c r="DC214" s="218">
        <f t="shared" si="1595"/>
        <v>7741.2087122124094</v>
      </c>
      <c r="DD214" s="73">
        <f t="shared" si="1596"/>
        <v>612.9027949008173</v>
      </c>
      <c r="DE214" s="73">
        <f t="shared" si="1597"/>
        <v>306.72614105027134</v>
      </c>
      <c r="DF214" s="73">
        <f t="shared" si="1598"/>
        <v>1393.5953537259752</v>
      </c>
      <c r="DG214" s="73">
        <f t="shared" si="1599"/>
        <v>4052.3359860896398</v>
      </c>
      <c r="DH214" s="72">
        <f t="shared" si="1627"/>
        <v>0.13137651118699961</v>
      </c>
      <c r="DI214" s="72">
        <f t="shared" si="1628"/>
        <v>0.18039302684380573</v>
      </c>
      <c r="DJ214" s="73">
        <f>SUM(AV202:AV214,BB202:BB214,BI202:BI214)</f>
        <v>846.83128778759101</v>
      </c>
      <c r="DK214" s="73">
        <f>SUM(AV208:AV214,BB208:BB214,BI208:BI214)</f>
        <v>846.83128778759101</v>
      </c>
      <c r="DL214" s="190"/>
    </row>
    <row r="215" spans="1:116" x14ac:dyDescent="0.25">
      <c r="A215" s="190"/>
      <c r="B215" s="188">
        <v>2013</v>
      </c>
      <c r="C215" s="61" t="s">
        <v>330</v>
      </c>
      <c r="D215" s="169">
        <v>0</v>
      </c>
      <c r="E215" s="169">
        <v>0</v>
      </c>
      <c r="F215" s="169">
        <v>0</v>
      </c>
      <c r="G215" s="169">
        <v>0</v>
      </c>
      <c r="H215" s="169">
        <v>0</v>
      </c>
      <c r="I215" s="169">
        <v>0</v>
      </c>
      <c r="J215" s="169">
        <v>0</v>
      </c>
      <c r="K215" s="169">
        <v>0</v>
      </c>
      <c r="L215" s="169">
        <v>0</v>
      </c>
      <c r="M215" s="169">
        <v>0</v>
      </c>
      <c r="N215" s="169">
        <v>0</v>
      </c>
      <c r="O215" s="169">
        <v>0</v>
      </c>
      <c r="P215" s="169">
        <v>0</v>
      </c>
      <c r="Q215" s="172">
        <f>pAIDS_ART1late_2013plus_u</f>
        <v>0.93285322767942069</v>
      </c>
      <c r="R215" s="170">
        <f>pAIDS_ART1late_AIDS_ART2_2013plus_u</f>
        <v>3.0593921587134254E-2</v>
      </c>
      <c r="S215" s="170">
        <f>pAIDS_ART1late_AIDS_LTFU_2013plus_u</f>
        <v>1.0797654247759469E-2</v>
      </c>
      <c r="T215" s="170">
        <f>pAIDS_ART1late_AIDS_Dead_2013plus_u</f>
        <v>2.5755196485685583E-2</v>
      </c>
      <c r="U215" s="61">
        <f t="shared" si="1600"/>
        <v>1</v>
      </c>
      <c r="V215" s="190"/>
      <c r="W215" s="66">
        <v>13</v>
      </c>
      <c r="X215" s="66">
        <v>2017</v>
      </c>
      <c r="Y215" s="70">
        <f t="shared" si="1673"/>
        <v>0.16132420563685768</v>
      </c>
      <c r="Z215" s="70">
        <f t="shared" si="1674"/>
        <v>4.71038184743756E-2</v>
      </c>
      <c r="AA215" s="70">
        <f t="shared" si="1675"/>
        <v>4.5235269776561449E-2</v>
      </c>
      <c r="AB215" s="70">
        <f t="shared" si="1676"/>
        <v>6.4409540029590553E-3</v>
      </c>
      <c r="AC215" s="70">
        <f t="shared" si="1677"/>
        <v>0.13900077623788976</v>
      </c>
      <c r="AD215" s="70">
        <f t="shared" si="1678"/>
        <v>7.6174180760404872E-2</v>
      </c>
      <c r="AE215" s="70">
        <f t="shared" si="1679"/>
        <v>5.6759597073604617E-2</v>
      </c>
      <c r="AF215" s="70">
        <f t="shared" si="1680"/>
        <v>7.5893612305730114E-3</v>
      </c>
      <c r="AG215" s="70">
        <f t="shared" si="1681"/>
        <v>3.7159545159019869E-2</v>
      </c>
      <c r="AH215" s="70">
        <f t="shared" si="1682"/>
        <v>8.6501493740506214E-3</v>
      </c>
      <c r="AI215" s="70">
        <f t="shared" si="1683"/>
        <v>6.0549747625561666E-2</v>
      </c>
      <c r="AJ215" s="70">
        <f t="shared" si="1684"/>
        <v>9.0594426191087832E-2</v>
      </c>
      <c r="AK215" s="70">
        <f t="shared" si="1685"/>
        <v>5.0485938529922988E-2</v>
      </c>
      <c r="AL215" s="70">
        <f t="shared" si="1686"/>
        <v>2.9911611370230826E-2</v>
      </c>
      <c r="AM215" s="70">
        <f t="shared" si="1687"/>
        <v>1.5413424508965083E-3</v>
      </c>
      <c r="AN215" s="70">
        <f t="shared" si="1688"/>
        <v>1.3809606340603651E-2</v>
      </c>
      <c r="AO215" s="70">
        <f t="shared" si="1689"/>
        <v>6.9063584396026889E-2</v>
      </c>
      <c r="AP215" s="190"/>
      <c r="AQ215" s="66">
        <v>13</v>
      </c>
      <c r="AR215" s="66">
        <v>2017</v>
      </c>
      <c r="AS215" s="215">
        <f t="shared" si="1577"/>
        <v>1385.4587309775593</v>
      </c>
      <c r="AT215" s="215">
        <f t="shared" si="1578"/>
        <v>404.52947721067665</v>
      </c>
      <c r="AU215" s="215">
        <f t="shared" si="1579"/>
        <v>388.48230625190081</v>
      </c>
      <c r="AV215" s="215">
        <f t="shared" si="1580"/>
        <v>55.315170615572491</v>
      </c>
      <c r="AW215" s="215">
        <f t="shared" si="1581"/>
        <v>1193.7442263620469</v>
      </c>
      <c r="AX215" s="215">
        <f t="shared" si="1582"/>
        <v>654.1869113375875</v>
      </c>
      <c r="AY215" s="215">
        <f t="shared" si="1583"/>
        <v>487.45369005199944</v>
      </c>
      <c r="AZ215" s="215">
        <f t="shared" si="1584"/>
        <v>65.177737822610254</v>
      </c>
      <c r="BA215" s="215">
        <f t="shared" si="1585"/>
        <v>319.12766020746903</v>
      </c>
      <c r="BB215" s="215">
        <f t="shared" si="1586"/>
        <v>74.2878288303217</v>
      </c>
      <c r="BC215" s="215">
        <f t="shared" si="1587"/>
        <v>520.00365459822865</v>
      </c>
      <c r="BD215" s="215">
        <f t="shared" si="1588"/>
        <v>778.02855590611</v>
      </c>
      <c r="BE215" s="215">
        <f t="shared" si="1589"/>
        <v>433.57525953251985</v>
      </c>
      <c r="BF215" s="215">
        <f t="shared" si="1590"/>
        <v>256.88211491199718</v>
      </c>
      <c r="BG215" s="215">
        <f t="shared" si="1591"/>
        <v>13.23711062199725</v>
      </c>
      <c r="BH215" s="215">
        <f t="shared" si="1592"/>
        <v>118.59745163735779</v>
      </c>
      <c r="BI215" s="215">
        <f t="shared" si="1593"/>
        <v>593.1208253364548</v>
      </c>
      <c r="BJ215" s="194"/>
      <c r="BK215" s="66">
        <v>13</v>
      </c>
      <c r="BL215" s="66">
        <v>2017</v>
      </c>
      <c r="BM215" s="215">
        <f t="shared" si="1637"/>
        <v>231.38443611982507</v>
      </c>
      <c r="BN215" s="219">
        <f t="shared" si="1638"/>
        <v>82.732166789984859</v>
      </c>
      <c r="BO215" s="219">
        <f t="shared" si="1639"/>
        <v>4.711298382058585</v>
      </c>
      <c r="BP215" s="219">
        <f t="shared" si="1640"/>
        <v>0.29975891560052059</v>
      </c>
      <c r="BQ215" s="219">
        <f t="shared" si="1641"/>
        <v>46.352726546685659</v>
      </c>
      <c r="BR215" s="220">
        <f t="shared" si="1642"/>
        <v>9.3771174340924315</v>
      </c>
      <c r="BS215" s="219">
        <f t="shared" si="1643"/>
        <v>53.487175587849435</v>
      </c>
      <c r="BT215" s="219">
        <f t="shared" si="1644"/>
        <v>8.5132073383481472</v>
      </c>
      <c r="BU215" s="219">
        <f t="shared" si="1645"/>
        <v>0.50127882785052602</v>
      </c>
      <c r="BV215" s="219">
        <f t="shared" si="1646"/>
        <v>0.36594590253158416</v>
      </c>
      <c r="BW215" s="219">
        <f t="shared" si="1647"/>
        <v>0</v>
      </c>
      <c r="BX215" s="220">
        <f t="shared" si="1648"/>
        <v>0</v>
      </c>
      <c r="BY215" s="195"/>
      <c r="BZ215" s="192">
        <v>13</v>
      </c>
      <c r="CA215" s="66">
        <v>2017</v>
      </c>
      <c r="CB215" s="218">
        <f t="shared" si="1649"/>
        <v>39.754205292246226</v>
      </c>
      <c r="CC215" s="218">
        <f t="shared" si="1650"/>
        <v>9.4517132182342465</v>
      </c>
      <c r="CD215" s="73">
        <f t="shared" si="1651"/>
        <v>6.1092521050920201</v>
      </c>
      <c r="CE215" s="73">
        <f t="shared" si="1652"/>
        <v>44.445271071126676</v>
      </c>
      <c r="CF215" s="73">
        <f t="shared" si="1653"/>
        <v>21.427831500311104</v>
      </c>
      <c r="CG215" s="73">
        <f t="shared" si="1654"/>
        <v>1.443008204700138</v>
      </c>
      <c r="CH215" s="73">
        <f t="shared" si="1655"/>
        <v>0.10537895211959421</v>
      </c>
      <c r="CI215" s="73">
        <f t="shared" si="1656"/>
        <v>5.7359775628875811</v>
      </c>
      <c r="CJ215" s="73">
        <f t="shared" si="1657"/>
        <v>1.0879055723672841</v>
      </c>
      <c r="CK215" s="73">
        <f t="shared" si="1658"/>
        <v>4.2455966809337199E-2</v>
      </c>
      <c r="CL215" s="73">
        <f t="shared" si="1659"/>
        <v>0</v>
      </c>
      <c r="CM215" s="73">
        <f t="shared" si="1660"/>
        <v>249.08254330856218</v>
      </c>
      <c r="CN215" s="73">
        <f t="shared" si="1661"/>
        <v>283.48644109053123</v>
      </c>
      <c r="CO215" s="73">
        <f t="shared" si="1662"/>
        <v>38.473818707344357</v>
      </c>
      <c r="CP215" s="73">
        <f t="shared" si="1663"/>
        <v>1.1956795808759493</v>
      </c>
      <c r="CQ215" s="73">
        <f t="shared" si="1664"/>
        <v>0</v>
      </c>
      <c r="CR215" s="73">
        <f t="shared" si="1665"/>
        <v>8.696829512964273</v>
      </c>
      <c r="CS215" s="73">
        <f t="shared" si="1666"/>
        <v>0</v>
      </c>
      <c r="CT215" s="73">
        <f t="shared" si="1667"/>
        <v>11.4490730873285</v>
      </c>
      <c r="CU215" s="73">
        <f t="shared" si="1668"/>
        <v>0.7364400488482804</v>
      </c>
      <c r="CV215" s="73">
        <f t="shared" si="1669"/>
        <v>0</v>
      </c>
      <c r="CW215" s="73">
        <f t="shared" si="1670"/>
        <v>0</v>
      </c>
      <c r="CX215" s="73">
        <f t="shared" si="1671"/>
        <v>0</v>
      </c>
      <c r="CY215" s="73">
        <f t="shared" si="1672"/>
        <v>0</v>
      </c>
      <c r="CZ215" s="190"/>
      <c r="DA215" s="66">
        <v>2017</v>
      </c>
      <c r="DB215" s="218">
        <f t="shared" si="1594"/>
        <v>1836.744944454374</v>
      </c>
      <c r="DC215" s="218">
        <f t="shared" si="1595"/>
        <v>7018.4848874300624</v>
      </c>
      <c r="DD215" s="73">
        <f t="shared" si="1596"/>
        <v>1256.325912941124</v>
      </c>
      <c r="DE215" s="73">
        <f t="shared" si="1597"/>
        <v>703.69448506651418</v>
      </c>
      <c r="DF215" s="73">
        <f t="shared" si="1598"/>
        <v>1416.6296621416966</v>
      </c>
      <c r="DG215" s="73">
        <f t="shared" si="1599"/>
        <v>3583.6884600488002</v>
      </c>
      <c r="DH215" s="72">
        <f t="shared" si="1627"/>
        <v>0.25957069878803424</v>
      </c>
      <c r="DI215" s="72">
        <f t="shared" si="1628"/>
        <v>0.33188061645812733</v>
      </c>
      <c r="DJ215" s="73">
        <f>SUM(AV202:AV215,BB202:BB215,BI202:BI215)</f>
        <v>1569.5551125699399</v>
      </c>
      <c r="DK215" s="73">
        <f>SUM(AV208:AV215,BB208:BB215,BI208:BI215)</f>
        <v>1569.5551125699399</v>
      </c>
      <c r="DL215" s="190"/>
    </row>
    <row r="216" spans="1:116" x14ac:dyDescent="0.25">
      <c r="A216" s="190"/>
      <c r="B216" s="188">
        <v>2013</v>
      </c>
      <c r="C216" s="61" t="s">
        <v>331</v>
      </c>
      <c r="D216" s="169">
        <v>0</v>
      </c>
      <c r="E216" s="169">
        <v>0</v>
      </c>
      <c r="F216" s="169">
        <v>0</v>
      </c>
      <c r="G216" s="169">
        <v>0</v>
      </c>
      <c r="H216" s="169">
        <v>0</v>
      </c>
      <c r="I216" s="169">
        <v>0</v>
      </c>
      <c r="J216" s="169">
        <v>0</v>
      </c>
      <c r="K216" s="169">
        <v>0</v>
      </c>
      <c r="L216" s="169">
        <v>0</v>
      </c>
      <c r="M216" s="169">
        <v>0</v>
      </c>
      <c r="N216" s="169">
        <v>0</v>
      </c>
      <c r="O216" s="169">
        <v>0</v>
      </c>
      <c r="P216" s="169">
        <v>0</v>
      </c>
      <c r="Q216" s="169">
        <v>0</v>
      </c>
      <c r="R216" s="172">
        <f>pAIDS_ART2_2013plus_u</f>
        <v>0.87834172729587623</v>
      </c>
      <c r="S216" s="170">
        <f>pAIDS_ART2_AIDS_LTFU_2013plus_u</f>
        <v>2.7446069457994882E-2</v>
      </c>
      <c r="T216" s="171">
        <f>pAIDS_ART2_AIDS_Dead_2013plus_u</f>
        <v>9.4212203246128889E-2</v>
      </c>
      <c r="U216" s="61">
        <f t="shared" si="1600"/>
        <v>1</v>
      </c>
      <c r="V216" s="190"/>
      <c r="W216" s="66">
        <v>14</v>
      </c>
      <c r="X216" s="66">
        <v>2018</v>
      </c>
      <c r="Y216" s="70">
        <f t="shared" si="1673"/>
        <v>0.10224084239936213</v>
      </c>
      <c r="Z216" s="70">
        <f t="shared" si="1674"/>
        <v>3.2580559631701374E-2</v>
      </c>
      <c r="AA216" s="70">
        <f t="shared" si="1675"/>
        <v>4.3877449826514398E-2</v>
      </c>
      <c r="AB216" s="70">
        <f t="shared" si="1676"/>
        <v>4.5600300961105844E-3</v>
      </c>
      <c r="AC216" s="70">
        <f t="shared" si="1677"/>
        <v>9.8249200376616691E-2</v>
      </c>
      <c r="AD216" s="70">
        <f t="shared" si="1678"/>
        <v>5.594564639296358E-2</v>
      </c>
      <c r="AE216" s="70">
        <f t="shared" si="1679"/>
        <v>7.8683751021691631E-2</v>
      </c>
      <c r="AF216" s="70">
        <f t="shared" si="1680"/>
        <v>1.431376414662134E-2</v>
      </c>
      <c r="AG216" s="70">
        <f t="shared" si="1681"/>
        <v>3.8679570672292926E-2</v>
      </c>
      <c r="AH216" s="70">
        <f t="shared" si="1682"/>
        <v>7.2315968732316049E-3</v>
      </c>
      <c r="AI216" s="70">
        <f t="shared" si="1683"/>
        <v>4.588164609464479E-2</v>
      </c>
      <c r="AJ216" s="70">
        <f t="shared" si="1684"/>
        <v>7.6112426945225728E-2</v>
      </c>
      <c r="AK216" s="70">
        <f t="shared" si="1685"/>
        <v>5.2051084604865697E-2</v>
      </c>
      <c r="AL216" s="70">
        <f t="shared" si="1686"/>
        <v>6.9326340098585723E-2</v>
      </c>
      <c r="AM216" s="70">
        <f t="shared" si="1687"/>
        <v>5.4769104364028025E-3</v>
      </c>
      <c r="AN216" s="70">
        <f t="shared" si="1688"/>
        <v>1.8229495521526532E-2</v>
      </c>
      <c r="AO216" s="70">
        <f t="shared" si="1689"/>
        <v>7.3799111719232813E-2</v>
      </c>
      <c r="AP216" s="190"/>
      <c r="AQ216" s="66">
        <v>14</v>
      </c>
      <c r="AR216" s="66">
        <v>2018</v>
      </c>
      <c r="AS216" s="215">
        <f t="shared" si="1577"/>
        <v>878.04844415941795</v>
      </c>
      <c r="AT216" s="215">
        <f t="shared" si="1578"/>
        <v>279.80314933943669</v>
      </c>
      <c r="AU216" s="215">
        <f t="shared" si="1579"/>
        <v>376.82129420809872</v>
      </c>
      <c r="AV216" s="215">
        <f t="shared" si="1580"/>
        <v>39.161720866601549</v>
      </c>
      <c r="AW216" s="215">
        <f t="shared" si="1581"/>
        <v>843.7680628023993</v>
      </c>
      <c r="AX216" s="215">
        <f t="shared" si="1582"/>
        <v>480.46344904862701</v>
      </c>
      <c r="AY216" s="215">
        <f t="shared" si="1583"/>
        <v>675.7392011243287</v>
      </c>
      <c r="AZ216" s="215">
        <f t="shared" si="1584"/>
        <v>122.92717904174994</v>
      </c>
      <c r="BA216" s="215">
        <f t="shared" si="1585"/>
        <v>332.18170011647857</v>
      </c>
      <c r="BB216" s="215">
        <f t="shared" si="1586"/>
        <v>62.105243211187961</v>
      </c>
      <c r="BC216" s="215">
        <f t="shared" si="1587"/>
        <v>394.03341192665329</v>
      </c>
      <c r="BD216" s="215">
        <f t="shared" si="1588"/>
        <v>653.65656710267638</v>
      </c>
      <c r="BE216" s="215">
        <f t="shared" si="1589"/>
        <v>447.01679662997083</v>
      </c>
      <c r="BF216" s="215">
        <f t="shared" si="1590"/>
        <v>595.37738182025817</v>
      </c>
      <c r="BG216" s="215">
        <f t="shared" si="1591"/>
        <v>47.035925904244728</v>
      </c>
      <c r="BH216" s="215">
        <f t="shared" si="1592"/>
        <v>156.55563671869072</v>
      </c>
      <c r="BI216" s="215">
        <f t="shared" si="1593"/>
        <v>633.7897234092402</v>
      </c>
      <c r="BJ216" s="194"/>
      <c r="BK216" s="66">
        <v>14</v>
      </c>
      <c r="BL216" s="66">
        <v>2018</v>
      </c>
      <c r="BM216" s="215">
        <f t="shared" si="1637"/>
        <v>211.57595450064349</v>
      </c>
      <c r="BN216" s="219">
        <f t="shared" si="1638"/>
        <v>110.65930483406522</v>
      </c>
      <c r="BO216" s="219">
        <f t="shared" si="1639"/>
        <v>8.889392333092097</v>
      </c>
      <c r="BP216" s="219">
        <f t="shared" si="1640"/>
        <v>1.0570484486777949</v>
      </c>
      <c r="BQ216" s="219">
        <f t="shared" si="1641"/>
        <v>52.477437737848376</v>
      </c>
      <c r="BR216" s="220">
        <f t="shared" si="1642"/>
        <v>21.24789442757919</v>
      </c>
      <c r="BS216" s="219">
        <f t="shared" si="1643"/>
        <v>63.381103790109165</v>
      </c>
      <c r="BT216" s="219">
        <f t="shared" si="1644"/>
        <v>14.981774942863737</v>
      </c>
      <c r="BU216" s="219">
        <f t="shared" si="1645"/>
        <v>2.8464524291748958</v>
      </c>
      <c r="BV216" s="219">
        <f t="shared" si="1646"/>
        <v>1.1856097628139688</v>
      </c>
      <c r="BW216" s="219">
        <f t="shared" si="1647"/>
        <v>0.36330665755449837</v>
      </c>
      <c r="BX216" s="220">
        <f t="shared" si="1648"/>
        <v>7.2056970746889798E-2</v>
      </c>
      <c r="BY216" s="195"/>
      <c r="BZ216" s="192">
        <v>14</v>
      </c>
      <c r="CA216" s="66">
        <v>2018</v>
      </c>
      <c r="CB216" s="218">
        <f t="shared" si="1649"/>
        <v>25.194628555281223</v>
      </c>
      <c r="CC216" s="218">
        <f t="shared" si="1650"/>
        <v>6.9025243184436187</v>
      </c>
      <c r="CD216" s="73">
        <f t="shared" si="1651"/>
        <v>7.0645679928767064</v>
      </c>
      <c r="CE216" s="73">
        <f t="shared" si="1652"/>
        <v>33.291780456807118</v>
      </c>
      <c r="CF216" s="73">
        <f t="shared" si="1653"/>
        <v>17.118708419802445</v>
      </c>
      <c r="CG216" s="73">
        <f t="shared" si="1654"/>
        <v>2.4651358087848432</v>
      </c>
      <c r="CH216" s="73">
        <f t="shared" si="1655"/>
        <v>0.32961485105378319</v>
      </c>
      <c r="CI216" s="73">
        <f t="shared" si="1656"/>
        <v>6.4529734915652259</v>
      </c>
      <c r="CJ216" s="73">
        <f t="shared" si="1657"/>
        <v>2.307279124508856</v>
      </c>
      <c r="CK216" s="73">
        <f t="shared" si="1658"/>
        <v>0.13139122094856123</v>
      </c>
      <c r="CL216" s="73">
        <f t="shared" si="1659"/>
        <v>8.3598377171262249E-3</v>
      </c>
      <c r="CM216" s="73">
        <f t="shared" si="1660"/>
        <v>213.46916418391797</v>
      </c>
      <c r="CN216" s="73">
        <f t="shared" si="1661"/>
        <v>299.68685699076246</v>
      </c>
      <c r="CO216" s="73">
        <f t="shared" si="1662"/>
        <v>64.084553712736707</v>
      </c>
      <c r="CP216" s="73">
        <f t="shared" si="1663"/>
        <v>6.6160493432169503</v>
      </c>
      <c r="CQ216" s="73">
        <f t="shared" si="1664"/>
        <v>1.2470973563110965</v>
      </c>
      <c r="CR216" s="73">
        <f t="shared" si="1665"/>
        <v>19.028477407936279</v>
      </c>
      <c r="CS216" s="73">
        <f t="shared" si="1666"/>
        <v>3.8494449094915564</v>
      </c>
      <c r="CT216" s="73">
        <f t="shared" si="1667"/>
        <v>21.957273889004654</v>
      </c>
      <c r="CU216" s="73">
        <f t="shared" si="1668"/>
        <v>3.4947970826199004</v>
      </c>
      <c r="CV216" s="73">
        <f t="shared" si="1669"/>
        <v>0.20578234683181859</v>
      </c>
      <c r="CW216" s="73">
        <f t="shared" si="1670"/>
        <v>0.15022618641075389</v>
      </c>
      <c r="CX216" s="73">
        <f t="shared" si="1671"/>
        <v>0</v>
      </c>
      <c r="CY216" s="73">
        <f t="shared" si="1672"/>
        <v>0</v>
      </c>
      <c r="CZ216" s="190"/>
      <c r="DA216" s="66">
        <v>2018</v>
      </c>
      <c r="DB216" s="218">
        <f t="shared" si="1594"/>
        <v>1413.9231654907401</v>
      </c>
      <c r="DC216" s="218">
        <f t="shared" si="1595"/>
        <v>6283.4281999430304</v>
      </c>
      <c r="DD216" s="73">
        <f t="shared" si="1596"/>
        <v>1888.0964845205522</v>
      </c>
      <c r="DE216" s="73">
        <f t="shared" si="1597"/>
        <v>1089.4301043544738</v>
      </c>
      <c r="DF216" s="73">
        <f t="shared" si="1598"/>
        <v>1204.2456157480203</v>
      </c>
      <c r="DG216" s="73">
        <f t="shared" si="1599"/>
        <v>2860.6588277155251</v>
      </c>
      <c r="DH216" s="72">
        <f t="shared" si="1627"/>
        <v>0.39759818318191931</v>
      </c>
      <c r="DI216" s="72">
        <f t="shared" si="1628"/>
        <v>0.47497128508898029</v>
      </c>
      <c r="DJ216" s="73">
        <f>SUM(AV202:AV216,BB202:BB216,BI202:BI216)</f>
        <v>2304.6118000569695</v>
      </c>
      <c r="DK216" s="73">
        <f>SUM(AV208:AV216,BB208:BB216,BI208:BI216)</f>
        <v>2304.6118000569695</v>
      </c>
      <c r="DL216" s="190"/>
    </row>
    <row r="217" spans="1:116" x14ac:dyDescent="0.25">
      <c r="A217" s="190"/>
      <c r="B217" s="188">
        <v>2013</v>
      </c>
      <c r="C217" s="61" t="s">
        <v>332</v>
      </c>
      <c r="D217" s="169">
        <v>0</v>
      </c>
      <c r="E217" s="169">
        <v>0</v>
      </c>
      <c r="F217" s="169">
        <v>0</v>
      </c>
      <c r="G217" s="169">
        <v>0</v>
      </c>
      <c r="H217" s="169">
        <v>0</v>
      </c>
      <c r="I217" s="169">
        <v>0</v>
      </c>
      <c r="J217" s="169">
        <v>0</v>
      </c>
      <c r="K217" s="169">
        <v>0</v>
      </c>
      <c r="L217" s="169">
        <v>0</v>
      </c>
      <c r="M217" s="169">
        <v>0</v>
      </c>
      <c r="N217" s="169">
        <v>0</v>
      </c>
      <c r="O217" s="169">
        <v>0</v>
      </c>
      <c r="P217" s="171">
        <f>pAIDS_LTFU_AIDS_ART1ear_2013plus_u</f>
        <v>0.21210000000000001</v>
      </c>
      <c r="Q217" s="169">
        <v>0</v>
      </c>
      <c r="R217" s="171">
        <f>pAIDS_LTFU_AIDS_ART2_2013plus_u</f>
        <v>0.23230000000000001</v>
      </c>
      <c r="S217" s="172">
        <f>pAIDS_LTFU_2013plus_u</f>
        <v>0.14508526169714897</v>
      </c>
      <c r="T217" s="170">
        <f>pAIDS_LTFU_AIDS_Dead_2013plus_u</f>
        <v>0.41051473830285101</v>
      </c>
      <c r="U217" s="61">
        <f t="shared" si="1600"/>
        <v>1</v>
      </c>
      <c r="V217" s="190"/>
      <c r="W217" s="66">
        <v>15</v>
      </c>
      <c r="X217" s="66">
        <v>2019</v>
      </c>
      <c r="Y217" s="70">
        <f t="shared" si="1673"/>
        <v>6.4796165047057069E-2</v>
      </c>
      <c r="Z217" s="70">
        <f t="shared" si="1674"/>
        <v>2.1843525905788905E-2</v>
      </c>
      <c r="AA217" s="70">
        <f t="shared" si="1675"/>
        <v>3.8538500027702011E-2</v>
      </c>
      <c r="AB217" s="70">
        <f t="shared" si="1676"/>
        <v>3.2130927710022853E-3</v>
      </c>
      <c r="AC217" s="70">
        <f t="shared" si="1677"/>
        <v>6.708755215141908E-2</v>
      </c>
      <c r="AD217" s="70">
        <f t="shared" si="1678"/>
        <v>3.9104686877750108E-2</v>
      </c>
      <c r="AE217" s="70">
        <f t="shared" si="1679"/>
        <v>9.6908713206105154E-2</v>
      </c>
      <c r="AF217" s="70">
        <f t="shared" si="1680"/>
        <v>2.1358327752981344E-2</v>
      </c>
      <c r="AG217" s="70">
        <f t="shared" si="1681"/>
        <v>3.573414655183127E-2</v>
      </c>
      <c r="AH217" s="70">
        <f t="shared" si="1682"/>
        <v>5.7530283195878947E-3</v>
      </c>
      <c r="AI217" s="70">
        <f t="shared" si="1683"/>
        <v>3.2643231150590313E-2</v>
      </c>
      <c r="AJ217" s="70">
        <f t="shared" si="1684"/>
        <v>5.7361820503332731E-2</v>
      </c>
      <c r="AK217" s="70">
        <f t="shared" si="1685"/>
        <v>4.4162155736806041E-2</v>
      </c>
      <c r="AL217" s="70">
        <f t="shared" si="1686"/>
        <v>0.10737868337860562</v>
      </c>
      <c r="AM217" s="70">
        <f t="shared" si="1687"/>
        <v>1.1166275395504594E-2</v>
      </c>
      <c r="AN217" s="70">
        <f t="shared" si="1688"/>
        <v>1.8967749751596541E-2</v>
      </c>
      <c r="AO217" s="70">
        <f t="shared" si="1689"/>
        <v>6.5631033641354378E-2</v>
      </c>
      <c r="AP217" s="190"/>
      <c r="AQ217" s="66">
        <v>15</v>
      </c>
      <c r="AR217" s="66">
        <v>2019</v>
      </c>
      <c r="AS217" s="215">
        <f t="shared" si="1577"/>
        <v>556.4720572707281</v>
      </c>
      <c r="AT217" s="215">
        <f t="shared" si="1578"/>
        <v>187.59307421995138</v>
      </c>
      <c r="AU217" s="215">
        <f t="shared" si="1579"/>
        <v>330.97017977790603</v>
      </c>
      <c r="AV217" s="215">
        <f t="shared" si="1580"/>
        <v>27.594169241078468</v>
      </c>
      <c r="AW217" s="215">
        <f t="shared" si="1581"/>
        <v>576.15058137847313</v>
      </c>
      <c r="AX217" s="215">
        <f t="shared" si="1582"/>
        <v>335.83261509359306</v>
      </c>
      <c r="AY217" s="215">
        <f t="shared" si="1583"/>
        <v>832.25590536255936</v>
      </c>
      <c r="AZ217" s="215">
        <f t="shared" si="1584"/>
        <v>183.4261730757139</v>
      </c>
      <c r="BA217" s="215">
        <f t="shared" si="1585"/>
        <v>306.88627995298907</v>
      </c>
      <c r="BB217" s="215">
        <f t="shared" si="1586"/>
        <v>49.407237329753627</v>
      </c>
      <c r="BC217" s="215">
        <f t="shared" si="1587"/>
        <v>280.34137485051565</v>
      </c>
      <c r="BD217" s="215">
        <f t="shared" si="1588"/>
        <v>492.62560895544169</v>
      </c>
      <c r="BE217" s="215">
        <f t="shared" si="1589"/>
        <v>379.26635995391979</v>
      </c>
      <c r="BF217" s="215">
        <f t="shared" si="1590"/>
        <v>922.1724280028003</v>
      </c>
      <c r="BG217" s="215">
        <f t="shared" si="1591"/>
        <v>95.896419747609286</v>
      </c>
      <c r="BH217" s="215">
        <f t="shared" si="1592"/>
        <v>162.89579357670118</v>
      </c>
      <c r="BI217" s="215">
        <f t="shared" si="1593"/>
        <v>563.64194215329712</v>
      </c>
      <c r="BJ217" s="194"/>
      <c r="BK217" s="66">
        <v>15</v>
      </c>
      <c r="BL217" s="66">
        <v>2019</v>
      </c>
      <c r="BM217" s="215">
        <f t="shared" si="1637"/>
        <v>171.98003337414139</v>
      </c>
      <c r="BN217" s="219">
        <f t="shared" si="1638"/>
        <v>119.45406692780395</v>
      </c>
      <c r="BO217" s="219">
        <f t="shared" si="1639"/>
        <v>13.262649516553754</v>
      </c>
      <c r="BP217" s="219">
        <f t="shared" si="1640"/>
        <v>2.1895301344899436</v>
      </c>
      <c r="BQ217" s="219">
        <f t="shared" si="1641"/>
        <v>46.05228894851993</v>
      </c>
      <c r="BR217" s="220">
        <f t="shared" si="1642"/>
        <v>29.683380612978709</v>
      </c>
      <c r="BS217" s="219">
        <f t="shared" si="1643"/>
        <v>60.054943173270004</v>
      </c>
      <c r="BT217" s="219">
        <f t="shared" si="1644"/>
        <v>16.346436743626438</v>
      </c>
      <c r="BU217" s="219">
        <f t="shared" si="1645"/>
        <v>6.8416574114267474</v>
      </c>
      <c r="BV217" s="219">
        <f t="shared" si="1646"/>
        <v>2.3088739920085377</v>
      </c>
      <c r="BW217" s="219">
        <f t="shared" si="1647"/>
        <v>1.3436617308766126</v>
      </c>
      <c r="BX217" s="220">
        <f t="shared" si="1648"/>
        <v>0.2645509639942053</v>
      </c>
      <c r="BY217" s="195"/>
      <c r="BZ217" s="192">
        <v>15</v>
      </c>
      <c r="CA217" s="66">
        <v>2019</v>
      </c>
      <c r="CB217" s="218">
        <f t="shared" si="1649"/>
        <v>15.967349953852533</v>
      </c>
      <c r="CC217" s="218">
        <f t="shared" si="1650"/>
        <v>4.7743073162669383</v>
      </c>
      <c r="CD217" s="73">
        <f t="shared" si="1651"/>
        <v>6.8525119709590001</v>
      </c>
      <c r="CE217" s="73">
        <f t="shared" si="1652"/>
        <v>23.531457143788042</v>
      </c>
      <c r="CF217" s="73">
        <f t="shared" si="1653"/>
        <v>12.572727378202861</v>
      </c>
      <c r="CG217" s="73">
        <f t="shared" si="1654"/>
        <v>3.4173275043082487</v>
      </c>
      <c r="CH217" s="73">
        <f t="shared" si="1655"/>
        <v>0.6216635489955924</v>
      </c>
      <c r="CI217" s="73">
        <f t="shared" si="1656"/>
        <v>5.900543911856845</v>
      </c>
      <c r="CJ217" s="73">
        <f t="shared" si="1657"/>
        <v>3.0861261572470817</v>
      </c>
      <c r="CK217" s="73">
        <f t="shared" si="1658"/>
        <v>0.24791215020123641</v>
      </c>
      <c r="CL217" s="73">
        <f t="shared" si="1659"/>
        <v>2.9479535153719538E-2</v>
      </c>
      <c r="CM217" s="73">
        <f t="shared" si="1660"/>
        <v>161.75652297964956</v>
      </c>
      <c r="CN217" s="73">
        <f t="shared" si="1661"/>
        <v>251.78032433299552</v>
      </c>
      <c r="CO217" s="73">
        <f t="shared" si="1662"/>
        <v>66.071278940168028</v>
      </c>
      <c r="CP217" s="73">
        <f t="shared" si="1663"/>
        <v>15.334061451913797</v>
      </c>
      <c r="CQ217" s="73">
        <f t="shared" si="1664"/>
        <v>4.4313582111605632</v>
      </c>
      <c r="CR217" s="73">
        <f t="shared" si="1665"/>
        <v>21.542761619756984</v>
      </c>
      <c r="CS217" s="73">
        <f t="shared" si="1666"/>
        <v>8.7225738204242784</v>
      </c>
      <c r="CT217" s="73">
        <f t="shared" si="1667"/>
        <v>26.018877235742501</v>
      </c>
      <c r="CU217" s="73">
        <f t="shared" si="1668"/>
        <v>6.1502394199819177</v>
      </c>
      <c r="CV217" s="73">
        <f t="shared" si="1669"/>
        <v>1.168510674054247</v>
      </c>
      <c r="CW217" s="73">
        <f t="shared" si="1670"/>
        <v>0.48671028151088164</v>
      </c>
      <c r="CX217" s="73">
        <f t="shared" si="1671"/>
        <v>0.14914273744966841</v>
      </c>
      <c r="CY217" s="73">
        <f t="shared" si="1672"/>
        <v>2.9580448489055656E-2</v>
      </c>
      <c r="CZ217" s="190"/>
      <c r="DA217" s="66">
        <v>2019</v>
      </c>
      <c r="DB217" s="218">
        <f t="shared" si="1594"/>
        <v>1016.0512982689861</v>
      </c>
      <c r="DC217" s="218">
        <f t="shared" si="1595"/>
        <v>5642.7848512189021</v>
      </c>
      <c r="DD217" s="73">
        <f t="shared" si="1596"/>
        <v>2413.0172861426026</v>
      </c>
      <c r="DE217" s="73">
        <f t="shared" si="1597"/>
        <v>1397.3352077043294</v>
      </c>
      <c r="DF217" s="73">
        <f t="shared" si="1598"/>
        <v>935.86277738265858</v>
      </c>
      <c r="DG217" s="73">
        <f t="shared" si="1599"/>
        <v>2154.7322538077142</v>
      </c>
      <c r="DH217" s="72">
        <f t="shared" si="1627"/>
        <v>0.52827267892819907</v>
      </c>
      <c r="DI217" s="72">
        <f t="shared" si="1628"/>
        <v>0.5988926857624699</v>
      </c>
      <c r="DJ217" s="73">
        <f>SUM(AV202:AV217,BB202:BB217,BI202:BI217)</f>
        <v>2945.2551487810988</v>
      </c>
      <c r="DK217" s="73">
        <f>SUM(AV208:AV217,BB208:BB217,BI208:BI217)</f>
        <v>2945.2551487810988</v>
      </c>
      <c r="DL217" s="190"/>
    </row>
    <row r="218" spans="1:116" x14ac:dyDescent="0.25">
      <c r="A218" s="190"/>
      <c r="B218" s="191">
        <v>2013</v>
      </c>
      <c r="C218" s="179" t="s">
        <v>333</v>
      </c>
      <c r="D218" s="180">
        <v>0</v>
      </c>
      <c r="E218" s="180">
        <v>0</v>
      </c>
      <c r="F218" s="180">
        <v>0</v>
      </c>
      <c r="G218" s="180">
        <v>0</v>
      </c>
      <c r="H218" s="180">
        <v>0</v>
      </c>
      <c r="I218" s="180">
        <v>0</v>
      </c>
      <c r="J218" s="180">
        <v>0</v>
      </c>
      <c r="K218" s="180">
        <v>0</v>
      </c>
      <c r="L218" s="180">
        <v>0</v>
      </c>
      <c r="M218" s="180">
        <v>0</v>
      </c>
      <c r="N218" s="180">
        <v>0</v>
      </c>
      <c r="O218" s="180">
        <v>0</v>
      </c>
      <c r="P218" s="180">
        <v>0</v>
      </c>
      <c r="Q218" s="180">
        <v>0</v>
      </c>
      <c r="R218" s="180">
        <v>0</v>
      </c>
      <c r="S218" s="180">
        <v>0</v>
      </c>
      <c r="T218" s="180">
        <v>0</v>
      </c>
      <c r="U218" s="179">
        <f t="shared" si="1600"/>
        <v>0</v>
      </c>
      <c r="V218" s="190"/>
      <c r="W218" s="66">
        <v>16</v>
      </c>
      <c r="X218" s="66">
        <v>2020</v>
      </c>
      <c r="Y218" s="70">
        <f t="shared" si="1673"/>
        <v>4.1065223117054975E-2</v>
      </c>
      <c r="Z218" s="70">
        <f t="shared" si="1674"/>
        <v>1.4367251330038267E-2</v>
      </c>
      <c r="AA218" s="70">
        <f t="shared" si="1675"/>
        <v>3.1771361808522275E-2</v>
      </c>
      <c r="AB218" s="70">
        <f t="shared" si="1676"/>
        <v>2.2518636000584537E-3</v>
      </c>
      <c r="AC218" s="70">
        <f t="shared" si="1677"/>
        <v>4.4806027409578501E-2</v>
      </c>
      <c r="AD218" s="70">
        <f t="shared" si="1678"/>
        <v>2.6497177148528745E-2</v>
      </c>
      <c r="AE218" s="70">
        <f t="shared" si="1679"/>
        <v>0.11087314249807359</v>
      </c>
      <c r="AF218" s="70">
        <f t="shared" si="1680"/>
        <v>2.7918066183536934E-2</v>
      </c>
      <c r="AG218" s="70">
        <f t="shared" si="1681"/>
        <v>3.0782940845336247E-2</v>
      </c>
      <c r="AH218" s="70">
        <f t="shared" si="1682"/>
        <v>4.4889314057581838E-3</v>
      </c>
      <c r="AI218" s="70">
        <f t="shared" si="1683"/>
        <v>2.2380525055847634E-2</v>
      </c>
      <c r="AJ218" s="70">
        <f t="shared" si="1684"/>
        <v>4.0718872740305043E-2</v>
      </c>
      <c r="AK218" s="70">
        <f t="shared" si="1685"/>
        <v>3.4019689964297564E-2</v>
      </c>
      <c r="AL218" s="70">
        <f t="shared" si="1686"/>
        <v>0.1364031490715473</v>
      </c>
      <c r="AM218" s="70">
        <f t="shared" si="1687"/>
        <v>1.7499148905059603E-2</v>
      </c>
      <c r="AN218" s="70">
        <f t="shared" si="1688"/>
        <v>1.7581096979051532E-2</v>
      </c>
      <c r="AO218" s="70">
        <f t="shared" si="1689"/>
        <v>5.3627065374475952E-2</v>
      </c>
      <c r="AP218" s="190"/>
      <c r="AQ218" s="66">
        <v>16</v>
      </c>
      <c r="AR218" s="66">
        <v>2020</v>
      </c>
      <c r="AS218" s="215">
        <f t="shared" si="1577"/>
        <v>352.66977873819286</v>
      </c>
      <c r="AT218" s="215">
        <f t="shared" si="1578"/>
        <v>123.38652911242185</v>
      </c>
      <c r="AU218" s="215">
        <f t="shared" si="1579"/>
        <v>272.85372606606165</v>
      </c>
      <c r="AV218" s="215">
        <f t="shared" si="1580"/>
        <v>19.339094671846006</v>
      </c>
      <c r="AW218" s="215">
        <f t="shared" si="1581"/>
        <v>384.79595563455661</v>
      </c>
      <c r="AX218" s="215">
        <f t="shared" si="1582"/>
        <v>227.55881723865082</v>
      </c>
      <c r="AY218" s="215">
        <f t="shared" si="1583"/>
        <v>952.18298269915601</v>
      </c>
      <c r="AZ218" s="215">
        <f t="shared" si="1584"/>
        <v>239.76146910686256</v>
      </c>
      <c r="BA218" s="215">
        <f t="shared" si="1585"/>
        <v>264.36512729738155</v>
      </c>
      <c r="BB218" s="215">
        <f t="shared" si="1586"/>
        <v>38.551122469907519</v>
      </c>
      <c r="BC218" s="215">
        <f t="shared" si="1587"/>
        <v>192.20484440062174</v>
      </c>
      <c r="BD218" s="215">
        <f t="shared" si="1588"/>
        <v>349.69530784864935</v>
      </c>
      <c r="BE218" s="215">
        <f t="shared" si="1589"/>
        <v>292.16245820098607</v>
      </c>
      <c r="BF218" s="215">
        <f t="shared" si="1590"/>
        <v>1171.4357003524112</v>
      </c>
      <c r="BG218" s="215">
        <f t="shared" si="1591"/>
        <v>150.28339076260809</v>
      </c>
      <c r="BH218" s="215">
        <f t="shared" si="1592"/>
        <v>150.98716409997374</v>
      </c>
      <c r="BI218" s="215">
        <f t="shared" si="1593"/>
        <v>460.5513825186145</v>
      </c>
      <c r="BJ218" s="194"/>
      <c r="BK218" s="66">
        <v>16</v>
      </c>
      <c r="BL218" s="66">
        <v>2020</v>
      </c>
      <c r="BM218" s="215">
        <f t="shared" si="1637"/>
        <v>129.80949331405327</v>
      </c>
      <c r="BN218" s="219">
        <f t="shared" si="1638"/>
        <v>113.78792689731958</v>
      </c>
      <c r="BO218" s="219">
        <f t="shared" si="1639"/>
        <v>17.256654301079585</v>
      </c>
      <c r="BP218" s="219">
        <f t="shared" si="1640"/>
        <v>3.5110527849291051</v>
      </c>
      <c r="BQ218" s="219">
        <f t="shared" si="1641"/>
        <v>35.650592264519354</v>
      </c>
      <c r="BR218" s="220">
        <f t="shared" si="1642"/>
        <v>33.021357314836031</v>
      </c>
      <c r="BS218" s="219">
        <f t="shared" si="1643"/>
        <v>50.054176898789258</v>
      </c>
      <c r="BT218" s="219">
        <f t="shared" si="1644"/>
        <v>14.396381083131843</v>
      </c>
      <c r="BU218" s="219">
        <f t="shared" si="1645"/>
        <v>10.949922690370189</v>
      </c>
      <c r="BV218" s="219">
        <f t="shared" si="1646"/>
        <v>3.5231000986735244</v>
      </c>
      <c r="BW218" s="219">
        <f t="shared" si="1647"/>
        <v>2.826925311022594</v>
      </c>
      <c r="BX218" s="220">
        <f t="shared" si="1648"/>
        <v>0.56470843863092279</v>
      </c>
      <c r="BY218" s="195"/>
      <c r="BZ218" s="192">
        <v>16</v>
      </c>
      <c r="CA218" s="66">
        <v>2020</v>
      </c>
      <c r="CB218" s="218">
        <f t="shared" si="1649"/>
        <v>10.11946907609207</v>
      </c>
      <c r="CC218" s="218">
        <f t="shared" si="1650"/>
        <v>3.2009181770960398</v>
      </c>
      <c r="CD218" s="73">
        <f t="shared" si="1651"/>
        <v>6.0187074186578959</v>
      </c>
      <c r="CE218" s="73">
        <f t="shared" si="1652"/>
        <v>16.067997014543501</v>
      </c>
      <c r="CF218" s="73">
        <f t="shared" si="1653"/>
        <v>8.7880398033219489</v>
      </c>
      <c r="CG218" s="73">
        <f t="shared" si="1654"/>
        <v>4.2088589670190748</v>
      </c>
      <c r="CH218" s="73">
        <f t="shared" si="1655"/>
        <v>0.92761720086491295</v>
      </c>
      <c r="CI218" s="73">
        <f t="shared" si="1656"/>
        <v>4.7962715861628817</v>
      </c>
      <c r="CJ218" s="73">
        <f t="shared" si="1657"/>
        <v>3.3313992084825972</v>
      </c>
      <c r="CK218" s="73">
        <f t="shared" si="1658"/>
        <v>0.36987589655304792</v>
      </c>
      <c r="CL218" s="73">
        <f t="shared" si="1659"/>
        <v>6.1062792959548917E-2</v>
      </c>
      <c r="CM218" s="73">
        <f t="shared" si="1660"/>
        <v>115.08426613222089</v>
      </c>
      <c r="CN218" s="73">
        <f t="shared" si="1661"/>
        <v>189.75321574036502</v>
      </c>
      <c r="CO218" s="73">
        <f t="shared" si="1662"/>
        <v>56.057431510522171</v>
      </c>
      <c r="CP218" s="73">
        <f t="shared" si="1663"/>
        <v>23.750732076893865</v>
      </c>
      <c r="CQ218" s="73">
        <f t="shared" si="1664"/>
        <v>9.0346129878378534</v>
      </c>
      <c r="CR218" s="73">
        <f t="shared" si="1665"/>
        <v>18.905143345948936</v>
      </c>
      <c r="CS218" s="73">
        <f t="shared" si="1666"/>
        <v>12.185465224280875</v>
      </c>
      <c r="CT218" s="73">
        <f t="shared" si="1667"/>
        <v>24.653439280567525</v>
      </c>
      <c r="CU218" s="73">
        <f t="shared" si="1668"/>
        <v>6.7104532019939152</v>
      </c>
      <c r="CV218" s="73">
        <f t="shared" si="1669"/>
        <v>2.8086012018096125</v>
      </c>
      <c r="CW218" s="73">
        <f t="shared" si="1670"/>
        <v>0.94782680260364383</v>
      </c>
      <c r="CX218" s="73">
        <f t="shared" si="1671"/>
        <v>0.55159294381836843</v>
      </c>
      <c r="CY218" s="73">
        <f t="shared" si="1672"/>
        <v>0.10860206975184815</v>
      </c>
      <c r="CZ218" s="190"/>
      <c r="DA218" s="66">
        <v>2020</v>
      </c>
      <c r="DB218" s="218">
        <f t="shared" si="1594"/>
        <v>700.64065419972201</v>
      </c>
      <c r="DC218" s="218">
        <f t="shared" si="1595"/>
        <v>5124.3432515585337</v>
      </c>
      <c r="DD218" s="73">
        <f t="shared" si="1596"/>
        <v>2805.8260011220241</v>
      </c>
      <c r="DE218" s="73">
        <f t="shared" si="1597"/>
        <v>1613.8815493160055</v>
      </c>
      <c r="DF218" s="73">
        <f t="shared" si="1598"/>
        <v>692.88731634924477</v>
      </c>
      <c r="DG218" s="73">
        <f t="shared" si="1599"/>
        <v>1569.6072165198339</v>
      </c>
      <c r="DH218" s="72">
        <f t="shared" si="1627"/>
        <v>0.64126815827261685</v>
      </c>
      <c r="DI218" s="72">
        <f t="shared" si="1628"/>
        <v>0.6996286335131271</v>
      </c>
      <c r="DJ218" s="73">
        <f>SUM(AV202:AV218,BB202:BB218,BI202:BI218)</f>
        <v>3463.6967484414672</v>
      </c>
      <c r="DK218" s="73">
        <f>SUM(AV208:AV218,BB208:BB218,BI208:BI218)</f>
        <v>3463.6967484414672</v>
      </c>
      <c r="DL218" s="190"/>
    </row>
    <row r="219" spans="1:116" x14ac:dyDescent="0.25">
      <c r="A219" s="178"/>
      <c r="B219" s="178"/>
      <c r="C219" s="182"/>
      <c r="D219" s="183"/>
      <c r="E219" s="183"/>
      <c r="F219" s="183"/>
      <c r="G219" s="183"/>
      <c r="H219" s="183"/>
      <c r="I219" s="183"/>
      <c r="J219" s="183"/>
      <c r="K219" s="183"/>
      <c r="L219" s="183"/>
      <c r="M219" s="183"/>
      <c r="N219" s="183"/>
      <c r="O219" s="183"/>
      <c r="P219" s="183"/>
      <c r="Q219" s="183"/>
      <c r="R219" s="183"/>
      <c r="S219" s="183"/>
      <c r="T219" s="183"/>
      <c r="U219" s="178"/>
      <c r="V219" s="178"/>
      <c r="W219" s="66">
        <v>17</v>
      </c>
      <c r="X219" s="66">
        <v>2021</v>
      </c>
      <c r="Y219" s="70">
        <f t="shared" si="1673"/>
        <v>2.6025499324363141E-2</v>
      </c>
      <c r="Z219" s="70">
        <f t="shared" si="1674"/>
        <v>9.3348436493219857E-3</v>
      </c>
      <c r="AA219" s="70">
        <f t="shared" si="1675"/>
        <v>2.5075551257826709E-2</v>
      </c>
      <c r="AB219" s="70">
        <f t="shared" si="1676"/>
        <v>1.5696862854475498E-3</v>
      </c>
      <c r="AC219" s="70">
        <f t="shared" si="1677"/>
        <v>2.9482688499825917E-2</v>
      </c>
      <c r="AD219" s="70">
        <f t="shared" si="1678"/>
        <v>1.7592969099059799E-2</v>
      </c>
      <c r="AE219" s="70">
        <f t="shared" si="1679"/>
        <v>0.12085284815233331</v>
      </c>
      <c r="AF219" s="70">
        <f t="shared" si="1680"/>
        <v>3.3621107184826873E-2</v>
      </c>
      <c r="AG219" s="70">
        <f t="shared" si="1681"/>
        <v>2.5451256003643848E-2</v>
      </c>
      <c r="AH219" s="70">
        <f t="shared" si="1682"/>
        <v>3.5033323140700183E-3</v>
      </c>
      <c r="AI219" s="70">
        <f t="shared" si="1683"/>
        <v>1.4987350972137069E-2</v>
      </c>
      <c r="AJ219" s="70">
        <f t="shared" si="1684"/>
        <v>2.7877042345714864E-2</v>
      </c>
      <c r="AK219" s="70">
        <f t="shared" si="1685"/>
        <v>2.486923765102184E-2</v>
      </c>
      <c r="AL219" s="70">
        <f t="shared" si="1686"/>
        <v>0.15515692600642345</v>
      </c>
      <c r="AM219" s="70">
        <f t="shared" si="1687"/>
        <v>2.3627428750644566E-2</v>
      </c>
      <c r="AN219" s="70">
        <f t="shared" si="1688"/>
        <v>1.5376670254706268E-2</v>
      </c>
      <c r="AO219" s="70">
        <f t="shared" si="1689"/>
        <v>4.2279235305411E-2</v>
      </c>
      <c r="AP219" s="190"/>
      <c r="AQ219" s="66">
        <v>17</v>
      </c>
      <c r="AR219" s="66">
        <v>2021</v>
      </c>
      <c r="AS219" s="215">
        <f t="shared" si="1577"/>
        <v>223.50802921760365</v>
      </c>
      <c r="AT219" s="215">
        <f t="shared" si="1578"/>
        <v>80.168010654123194</v>
      </c>
      <c r="AU219" s="215">
        <f t="shared" si="1579"/>
        <v>215.34983722426611</v>
      </c>
      <c r="AV219" s="215">
        <f t="shared" si="1580"/>
        <v>13.480528606874977</v>
      </c>
      <c r="AW219" s="215">
        <f t="shared" si="1581"/>
        <v>253.19850814404498</v>
      </c>
      <c r="AX219" s="215">
        <f t="shared" si="1582"/>
        <v>151.08912234148951</v>
      </c>
      <c r="AY219" s="215">
        <f t="shared" si="1583"/>
        <v>1037.8890940461647</v>
      </c>
      <c r="AZ219" s="215">
        <f t="shared" si="1584"/>
        <v>288.73941334758064</v>
      </c>
      <c r="BA219" s="215">
        <f t="shared" si="1585"/>
        <v>218.57640460953354</v>
      </c>
      <c r="BB219" s="215">
        <f t="shared" si="1586"/>
        <v>30.086758046525883</v>
      </c>
      <c r="BC219" s="215">
        <f t="shared" si="1587"/>
        <v>128.71196964275205</v>
      </c>
      <c r="BD219" s="215">
        <f t="shared" si="1588"/>
        <v>239.4091547466931</v>
      </c>
      <c r="BE219" s="215">
        <f t="shared" si="1589"/>
        <v>213.57800771648161</v>
      </c>
      <c r="BF219" s="215">
        <f t="shared" si="1590"/>
        <v>1332.493886820205</v>
      </c>
      <c r="BG219" s="215">
        <f t="shared" si="1591"/>
        <v>202.91330320768557</v>
      </c>
      <c r="BH219" s="215">
        <f t="shared" si="1592"/>
        <v>132.05545921422762</v>
      </c>
      <c r="BI219" s="215">
        <f t="shared" si="1593"/>
        <v>363.09576397228193</v>
      </c>
      <c r="BJ219" s="194"/>
      <c r="BK219" s="66">
        <v>17</v>
      </c>
      <c r="BL219" s="66">
        <v>2021</v>
      </c>
      <c r="BM219" s="215">
        <f t="shared" si="1637"/>
        <v>93.248128569706736</v>
      </c>
      <c r="BN219" s="219">
        <f t="shared" si="1638"/>
        <v>99.907085134653684</v>
      </c>
      <c r="BO219" s="219">
        <f t="shared" si="1639"/>
        <v>20.573193166039523</v>
      </c>
      <c r="BP219" s="219">
        <f t="shared" si="1640"/>
        <v>4.847997739133592</v>
      </c>
      <c r="BQ219" s="219">
        <f t="shared" si="1641"/>
        <v>25.736374858141879</v>
      </c>
      <c r="BR219" s="220">
        <f t="shared" si="1642"/>
        <v>32.143604358071933</v>
      </c>
      <c r="BS219" s="219">
        <f t="shared" si="1643"/>
        <v>38.46612889218207</v>
      </c>
      <c r="BT219" s="219">
        <f t="shared" si="1644"/>
        <v>11.35180134029358</v>
      </c>
      <c r="BU219" s="219">
        <f t="shared" si="1645"/>
        <v>14.237430064983212</v>
      </c>
      <c r="BV219" s="219">
        <f t="shared" si="1646"/>
        <v>4.6593575741952291</v>
      </c>
      <c r="BW219" s="219">
        <f t="shared" si="1647"/>
        <v>4.5348335798015356</v>
      </c>
      <c r="BX219" s="220">
        <f t="shared" si="1648"/>
        <v>0.92592854655819412</v>
      </c>
      <c r="BY219" s="195"/>
      <c r="BZ219" s="192">
        <v>17</v>
      </c>
      <c r="CA219" s="66">
        <v>2021</v>
      </c>
      <c r="CB219" s="218">
        <f t="shared" si="1649"/>
        <v>6.4133155894961869</v>
      </c>
      <c r="CC219" s="218">
        <f t="shared" si="1650"/>
        <v>2.1053558906000167</v>
      </c>
      <c r="CD219" s="73">
        <f t="shared" si="1651"/>
        <v>4.9618571267787726</v>
      </c>
      <c r="CE219" s="73">
        <f t="shared" si="1652"/>
        <v>10.731396385215003</v>
      </c>
      <c r="CF219" s="73">
        <f t="shared" si="1653"/>
        <v>5.9547401104350923</v>
      </c>
      <c r="CG219" s="73">
        <f t="shared" si="1654"/>
        <v>4.8153504939450817</v>
      </c>
      <c r="CH219" s="73">
        <f t="shared" si="1655"/>
        <v>1.2125143272566832</v>
      </c>
      <c r="CI219" s="73">
        <f t="shared" si="1656"/>
        <v>3.6201969041483366</v>
      </c>
      <c r="CJ219" s="73">
        <f t="shared" si="1657"/>
        <v>3.1733788505477296</v>
      </c>
      <c r="CK219" s="73">
        <f t="shared" si="1658"/>
        <v>0.48126284820775178</v>
      </c>
      <c r="CL219" s="73">
        <f t="shared" si="1659"/>
        <v>9.7918126770206504E-2</v>
      </c>
      <c r="CM219" s="73">
        <f t="shared" si="1660"/>
        <v>78.902921399661437</v>
      </c>
      <c r="CN219" s="73">
        <f t="shared" si="1661"/>
        <v>134.69825357698781</v>
      </c>
      <c r="CO219" s="73">
        <f t="shared" si="1662"/>
        <v>43.183046850075122</v>
      </c>
      <c r="CP219" s="73">
        <f t="shared" si="1663"/>
        <v>30.170556632923052</v>
      </c>
      <c r="CQ219" s="73">
        <f t="shared" si="1664"/>
        <v>14.158529355044243</v>
      </c>
      <c r="CR219" s="73">
        <f t="shared" si="1665"/>
        <v>14.635093553810806</v>
      </c>
      <c r="CS219" s="73">
        <f t="shared" si="1666"/>
        <v>13.555753856504849</v>
      </c>
      <c r="CT219" s="73">
        <f t="shared" si="1667"/>
        <v>20.547977330571083</v>
      </c>
      <c r="CU219" s="73">
        <f t="shared" si="1668"/>
        <v>5.9099266128499828</v>
      </c>
      <c r="CV219" s="73">
        <f t="shared" si="1669"/>
        <v>4.4951046476737684</v>
      </c>
      <c r="CW219" s="73">
        <f t="shared" si="1670"/>
        <v>1.4462845150217105</v>
      </c>
      <c r="CX219" s="73">
        <f t="shared" si="1671"/>
        <v>1.1604945042561459</v>
      </c>
      <c r="CY219" s="73">
        <f t="shared" si="1672"/>
        <v>0.23182113690198486</v>
      </c>
      <c r="CZ219" s="190"/>
      <c r="DA219" s="66">
        <v>2021</v>
      </c>
      <c r="DB219" s="218">
        <f t="shared" si="1594"/>
        <v>470.66628774230583</v>
      </c>
      <c r="DC219" s="218">
        <f t="shared" si="1595"/>
        <v>4717.6802009328521</v>
      </c>
      <c r="DD219" s="73">
        <f t="shared" si="1596"/>
        <v>3075.6137051381179</v>
      </c>
      <c r="DE219" s="73">
        <f t="shared" si="1597"/>
        <v>1748.9851977443723</v>
      </c>
      <c r="DF219" s="73">
        <f t="shared" si="1598"/>
        <v>500.17658360367284</v>
      </c>
      <c r="DG219" s="73">
        <f t="shared" si="1599"/>
        <v>1123.0406186987409</v>
      </c>
      <c r="DH219" s="72">
        <f t="shared" si="1627"/>
        <v>0.73252367733086632</v>
      </c>
      <c r="DI219" s="72">
        <f t="shared" si="1628"/>
        <v>0.77761644904712468</v>
      </c>
      <c r="DJ219" s="73">
        <f>SUM(AV202:AV219,BB202:BB219,BI202:BI219)</f>
        <v>3870.3597990671497</v>
      </c>
      <c r="DK219" s="73">
        <f>SUM(AV208:AV219,BB208:BB219,BI208:BI219)</f>
        <v>3870.3597990671497</v>
      </c>
      <c r="DL219" s="190"/>
    </row>
    <row r="220" spans="1:116" x14ac:dyDescent="0.25">
      <c r="A220" s="178"/>
      <c r="B220" s="178"/>
      <c r="C220" s="178"/>
      <c r="D220" s="178"/>
      <c r="E220" s="178"/>
      <c r="F220" s="178"/>
      <c r="G220" s="178"/>
      <c r="H220" s="178"/>
      <c r="I220" s="178"/>
      <c r="J220" s="178"/>
      <c r="K220" s="178"/>
      <c r="L220" s="178"/>
      <c r="M220" s="178"/>
      <c r="N220" s="178"/>
      <c r="O220" s="178"/>
      <c r="P220" s="178"/>
      <c r="Q220" s="178"/>
      <c r="R220" s="178"/>
      <c r="S220" s="178"/>
      <c r="T220" s="178"/>
      <c r="U220" s="178"/>
      <c r="V220" s="178"/>
      <c r="W220" s="66">
        <v>18</v>
      </c>
      <c r="X220" s="66">
        <v>2022</v>
      </c>
      <c r="Y220" s="70">
        <f t="shared" si="1673"/>
        <v>1.6493922683720252E-2</v>
      </c>
      <c r="Z220" s="70">
        <f t="shared" si="1674"/>
        <v>6.0165843106862226E-3</v>
      </c>
      <c r="AA220" s="70">
        <f t="shared" si="1675"/>
        <v>1.9175907309662951E-2</v>
      </c>
      <c r="AB220" s="70">
        <f t="shared" si="1676"/>
        <v>1.0885561849707627E-3</v>
      </c>
      <c r="AC220" s="70">
        <f t="shared" si="1677"/>
        <v>1.9200678610970398E-2</v>
      </c>
      <c r="AD220" s="70">
        <f t="shared" si="1678"/>
        <v>1.1521981388494302E-2</v>
      </c>
      <c r="AE220" s="70">
        <f t="shared" si="1679"/>
        <v>0.12747628032773398</v>
      </c>
      <c r="AF220" s="70">
        <f t="shared" si="1680"/>
        <v>3.8384262265503462E-2</v>
      </c>
      <c r="AG220" s="70">
        <f t="shared" si="1681"/>
        <v>2.058843059001958E-2</v>
      </c>
      <c r="AH220" s="70">
        <f t="shared" si="1682"/>
        <v>2.7735996444758718E-3</v>
      </c>
      <c r="AI220" s="70">
        <f t="shared" si="1683"/>
        <v>9.8797952987752635E-3</v>
      </c>
      <c r="AJ220" s="70">
        <f t="shared" si="1684"/>
        <v>1.8646268206401223E-2</v>
      </c>
      <c r="AK220" s="70">
        <f t="shared" si="1685"/>
        <v>1.7668491317609638E-2</v>
      </c>
      <c r="AL220" s="70">
        <f t="shared" si="1686"/>
        <v>0.16514359469345416</v>
      </c>
      <c r="AM220" s="70">
        <f t="shared" si="1687"/>
        <v>2.9071815908510976E-2</v>
      </c>
      <c r="AN220" s="70">
        <f t="shared" si="1688"/>
        <v>1.3100599803729313E-2</v>
      </c>
      <c r="AO220" s="70">
        <f t="shared" si="1689"/>
        <v>3.3100650607131299E-2</v>
      </c>
      <c r="AP220" s="190"/>
      <c r="AQ220" s="66">
        <v>18</v>
      </c>
      <c r="AR220" s="66">
        <v>2022</v>
      </c>
      <c r="AS220" s="215">
        <f t="shared" si="1577"/>
        <v>141.65046776469688</v>
      </c>
      <c r="AT220" s="215">
        <f t="shared" si="1578"/>
        <v>51.670666723545715</v>
      </c>
      <c r="AU220" s="215">
        <f t="shared" si="1579"/>
        <v>164.68345901167783</v>
      </c>
      <c r="AV220" s="215">
        <f t="shared" si="1580"/>
        <v>9.3485640587763097</v>
      </c>
      <c r="AW220" s="215">
        <f t="shared" si="1581"/>
        <v>164.89619593815823</v>
      </c>
      <c r="AX220" s="215">
        <f t="shared" si="1582"/>
        <v>98.95123704364461</v>
      </c>
      <c r="AY220" s="215">
        <f t="shared" si="1583"/>
        <v>1094.7713945057926</v>
      </c>
      <c r="AZ220" s="215">
        <f t="shared" si="1584"/>
        <v>329.64557970663441</v>
      </c>
      <c r="BA220" s="215">
        <f t="shared" si="1585"/>
        <v>176.81426544431176</v>
      </c>
      <c r="BB220" s="215">
        <f t="shared" si="1586"/>
        <v>23.819784690744569</v>
      </c>
      <c r="BC220" s="215">
        <f t="shared" si="1587"/>
        <v>84.848077217693927</v>
      </c>
      <c r="BD220" s="215">
        <f t="shared" si="1588"/>
        <v>160.13489720730198</v>
      </c>
      <c r="BE220" s="215">
        <f t="shared" si="1589"/>
        <v>151.73771017528429</v>
      </c>
      <c r="BF220" s="215">
        <f t="shared" si="1590"/>
        <v>1418.2597969711721</v>
      </c>
      <c r="BG220" s="215">
        <f t="shared" si="1591"/>
        <v>249.66991789492863</v>
      </c>
      <c r="BH220" s="215">
        <f t="shared" si="1592"/>
        <v>112.5084751384195</v>
      </c>
      <c r="BI220" s="215">
        <f t="shared" si="1593"/>
        <v>284.26971144006791</v>
      </c>
      <c r="BJ220" s="194"/>
      <c r="BK220" s="66">
        <v>18</v>
      </c>
      <c r="BL220" s="66">
        <v>2022</v>
      </c>
      <c r="BM220" s="215">
        <f t="shared" si="1637"/>
        <v>64.725707622138316</v>
      </c>
      <c r="BN220" s="219">
        <f t="shared" si="1638"/>
        <v>82.875786003374969</v>
      </c>
      <c r="BO220" s="219">
        <f t="shared" si="1639"/>
        <v>23.127523811263167</v>
      </c>
      <c r="BP220" s="219">
        <f t="shared" si="1640"/>
        <v>6.0852480075353199</v>
      </c>
      <c r="BQ220" s="219">
        <f t="shared" si="1641"/>
        <v>17.812538201940562</v>
      </c>
      <c r="BR220" s="220">
        <f t="shared" si="1642"/>
        <v>28.679535874489869</v>
      </c>
      <c r="BS220" s="219">
        <f t="shared" si="1643"/>
        <v>27.996140526715191</v>
      </c>
      <c r="BT220" s="219">
        <f t="shared" si="1644"/>
        <v>8.418534049756877</v>
      </c>
      <c r="BU220" s="219">
        <f t="shared" si="1645"/>
        <v>16.45344954401066</v>
      </c>
      <c r="BV220" s="219">
        <f t="shared" si="1646"/>
        <v>5.6214516075754135</v>
      </c>
      <c r="BW220" s="219">
        <f t="shared" si="1647"/>
        <v>6.227110130467838</v>
      </c>
      <c r="BX220" s="220">
        <f t="shared" si="1648"/>
        <v>1.2997152034630846</v>
      </c>
      <c r="BY220" s="195"/>
      <c r="BZ220" s="192">
        <v>18</v>
      </c>
      <c r="CA220" s="66">
        <v>2022</v>
      </c>
      <c r="CB220" s="218">
        <f t="shared" si="1649"/>
        <v>4.064503437996434</v>
      </c>
      <c r="CC220" s="218">
        <f t="shared" si="1650"/>
        <v>1.3679142665125115</v>
      </c>
      <c r="CD220" s="73">
        <f t="shared" si="1651"/>
        <v>3.9161463542673642</v>
      </c>
      <c r="CE220" s="73">
        <f t="shared" si="1652"/>
        <v>7.061336054216107</v>
      </c>
      <c r="CF220" s="73">
        <f t="shared" si="1653"/>
        <v>3.953687525602454</v>
      </c>
      <c r="CG220" s="73">
        <f t="shared" si="1654"/>
        <v>5.2487808041980903</v>
      </c>
      <c r="CH220" s="73">
        <f t="shared" si="1655"/>
        <v>1.460204080462945</v>
      </c>
      <c r="CI220" s="73">
        <f t="shared" si="1656"/>
        <v>2.6005539174932752</v>
      </c>
      <c r="CJ220" s="73">
        <f t="shared" si="1657"/>
        <v>2.7862624764424795</v>
      </c>
      <c r="CK220" s="73">
        <f t="shared" si="1658"/>
        <v>0.57375626625359333</v>
      </c>
      <c r="CL220" s="73">
        <f t="shared" si="1659"/>
        <v>0.13520356607562162</v>
      </c>
      <c r="CM220" s="73">
        <f t="shared" si="1660"/>
        <v>52.838160534338861</v>
      </c>
      <c r="CN220" s="73">
        <f t="shared" si="1661"/>
        <v>92.217408443694495</v>
      </c>
      <c r="CO220" s="73">
        <f t="shared" si="1662"/>
        <v>31.56787894706796</v>
      </c>
      <c r="CP220" s="73">
        <f t="shared" si="1663"/>
        <v>34.318641871029264</v>
      </c>
      <c r="CQ220" s="73">
        <f t="shared" si="1664"/>
        <v>19.116909363145851</v>
      </c>
      <c r="CR220" s="73">
        <f t="shared" si="1665"/>
        <v>10.565161189754187</v>
      </c>
      <c r="CS220" s="73">
        <f t="shared" si="1666"/>
        <v>13.195423331164282</v>
      </c>
      <c r="CT220" s="73">
        <f t="shared" si="1667"/>
        <v>15.790912835697858</v>
      </c>
      <c r="CU220" s="73">
        <f t="shared" si="1668"/>
        <v>4.660081756476572</v>
      </c>
      <c r="CV220" s="73">
        <f t="shared" si="1669"/>
        <v>5.8446748772317259</v>
      </c>
      <c r="CW220" s="73">
        <f t="shared" si="1670"/>
        <v>1.9127349552301611</v>
      </c>
      <c r="CX220" s="73">
        <f t="shared" si="1671"/>
        <v>1.8616160202592085</v>
      </c>
      <c r="CY220" s="73">
        <f t="shared" si="1672"/>
        <v>0.38010731497747624</v>
      </c>
      <c r="CZ220" s="190"/>
      <c r="DA220" s="66">
        <v>2022</v>
      </c>
      <c r="DB220" s="218">
        <f t="shared" si="1594"/>
        <v>310.75680097449231</v>
      </c>
      <c r="DC220" s="218">
        <f t="shared" si="1595"/>
        <v>4400.2421407432621</v>
      </c>
      <c r="DD220" s="73">
        <f t="shared" si="1596"/>
        <v>3244.0843992538121</v>
      </c>
      <c r="DE220" s="73">
        <f t="shared" si="1597"/>
        <v>1819.6674250413851</v>
      </c>
      <c r="DF220" s="73">
        <f t="shared" si="1598"/>
        <v>357.49144956341542</v>
      </c>
      <c r="DG220" s="73">
        <f t="shared" si="1599"/>
        <v>798.15314798953</v>
      </c>
      <c r="DH220" s="72">
        <f t="shared" si="1627"/>
        <v>0.80254669878719986</v>
      </c>
      <c r="DI220" s="72">
        <f t="shared" si="1628"/>
        <v>0.83579909866324864</v>
      </c>
      <c r="DJ220" s="73">
        <f>SUM(AV202:AV220,BB202:BB220,BI202:BI220)</f>
        <v>4187.7978592567388</v>
      </c>
      <c r="DK220" s="73">
        <f>SUM(AV208:AV220,BB208:BB220,BI208:BI220)</f>
        <v>4187.7978592567388</v>
      </c>
      <c r="DL220" s="190"/>
    </row>
    <row r="221" spans="1:116" x14ac:dyDescent="0.25">
      <c r="A221" s="178"/>
      <c r="B221" s="178"/>
      <c r="C221" s="178"/>
      <c r="D221" s="178"/>
      <c r="E221" s="178"/>
      <c r="F221" s="178"/>
      <c r="G221" s="178"/>
      <c r="H221" s="178"/>
      <c r="I221" s="178"/>
      <c r="J221" s="178"/>
      <c r="K221" s="178"/>
      <c r="L221" s="178"/>
      <c r="M221" s="178"/>
      <c r="N221" s="178"/>
      <c r="O221" s="178"/>
      <c r="P221" s="178"/>
      <c r="Q221" s="178"/>
      <c r="R221" s="178"/>
      <c r="S221" s="178"/>
      <c r="T221" s="178"/>
      <c r="U221" s="178"/>
      <c r="V221" s="178"/>
      <c r="W221" s="66">
        <v>19</v>
      </c>
      <c r="X221" s="66">
        <v>2023</v>
      </c>
      <c r="Y221" s="70">
        <f t="shared" si="1673"/>
        <v>1.0453189854531204E-2</v>
      </c>
      <c r="Z221" s="70">
        <f t="shared" si="1674"/>
        <v>3.8571186779537067E-3</v>
      </c>
      <c r="AA221" s="70">
        <f t="shared" si="1675"/>
        <v>1.4320074305601961E-2</v>
      </c>
      <c r="AB221" s="70">
        <f t="shared" si="1676"/>
        <v>7.5131898365581864E-4</v>
      </c>
      <c r="AC221" s="70">
        <f t="shared" si="1677"/>
        <v>1.2413442091801759E-2</v>
      </c>
      <c r="AD221" s="70">
        <f t="shared" si="1678"/>
        <v>7.4751372520230532E-3</v>
      </c>
      <c r="AE221" s="70">
        <f t="shared" si="1679"/>
        <v>0.13144715425317957</v>
      </c>
      <c r="AF221" s="70">
        <f t="shared" si="1680"/>
        <v>4.2277235575456526E-2</v>
      </c>
      <c r="AG221" s="70">
        <f t="shared" si="1681"/>
        <v>1.6526891381644697E-2</v>
      </c>
      <c r="AH221" s="70">
        <f t="shared" si="1682"/>
        <v>2.2499511391618084E-3</v>
      </c>
      <c r="AI221" s="70">
        <f t="shared" si="1683"/>
        <v>6.4424773883125178E-3</v>
      </c>
      <c r="AJ221" s="70">
        <f t="shared" si="1684"/>
        <v>1.2279167104441326E-2</v>
      </c>
      <c r="AK221" s="70">
        <f t="shared" si="1685"/>
        <v>1.2385866595114547E-2</v>
      </c>
      <c r="AL221" s="70">
        <f t="shared" si="1686"/>
        <v>0.1685515519957213</v>
      </c>
      <c r="AM221" s="70">
        <f t="shared" si="1687"/>
        <v>3.3630648521784601E-2</v>
      </c>
      <c r="AN221" s="70">
        <f t="shared" si="1688"/>
        <v>1.1087572306316899E-2</v>
      </c>
      <c r="AO221" s="70">
        <f t="shared" si="1689"/>
        <v>2.6219815288570432E-2</v>
      </c>
      <c r="AP221" s="190"/>
      <c r="AQ221" s="66">
        <v>19</v>
      </c>
      <c r="AR221" s="66">
        <v>2023</v>
      </c>
      <c r="AS221" s="215">
        <f t="shared" si="1577"/>
        <v>89.772412598308179</v>
      </c>
      <c r="AT221" s="215">
        <f t="shared" si="1578"/>
        <v>33.125089491013554</v>
      </c>
      <c r="AU221" s="215">
        <f t="shared" si="1579"/>
        <v>122.98137093948188</v>
      </c>
      <c r="AV221" s="215">
        <f t="shared" si="1580"/>
        <v>6.4523574843955176</v>
      </c>
      <c r="AW221" s="215">
        <f t="shared" si="1581"/>
        <v>106.60713722207718</v>
      </c>
      <c r="AX221" s="215">
        <f t="shared" si="1582"/>
        <v>64.196777725864067</v>
      </c>
      <c r="AY221" s="215">
        <f t="shared" si="1583"/>
        <v>1128.8734186124764</v>
      </c>
      <c r="AZ221" s="215">
        <f t="shared" si="1584"/>
        <v>363.07859021144372</v>
      </c>
      <c r="BA221" s="215">
        <f t="shared" si="1585"/>
        <v>141.93360426121993</v>
      </c>
      <c r="BB221" s="215">
        <f t="shared" si="1586"/>
        <v>19.322670381167178</v>
      </c>
      <c r="BC221" s="215">
        <f t="shared" si="1587"/>
        <v>55.328253509923442</v>
      </c>
      <c r="BD221" s="215">
        <f t="shared" si="1588"/>
        <v>105.4539782596263</v>
      </c>
      <c r="BE221" s="215">
        <f t="shared" si="1589"/>
        <v>106.37031775350755</v>
      </c>
      <c r="BF221" s="215">
        <f t="shared" si="1590"/>
        <v>1447.5274706013345</v>
      </c>
      <c r="BG221" s="215">
        <f t="shared" si="1591"/>
        <v>288.82135473102704</v>
      </c>
      <c r="BH221" s="215">
        <f t="shared" si="1592"/>
        <v>95.220514469541797</v>
      </c>
      <c r="BI221" s="215">
        <f t="shared" si="1593"/>
        <v>225.17682249085445</v>
      </c>
      <c r="BJ221" s="194"/>
      <c r="BK221" s="66">
        <v>19</v>
      </c>
      <c r="BL221" s="66">
        <v>2023</v>
      </c>
      <c r="BM221" s="215">
        <f t="shared" si="1637"/>
        <v>43.846663175032326</v>
      </c>
      <c r="BN221" s="219">
        <f t="shared" si="1638"/>
        <v>65.956757357235375</v>
      </c>
      <c r="BO221" s="219">
        <f t="shared" si="1639"/>
        <v>24.96352340955168</v>
      </c>
      <c r="BP221" s="219">
        <f t="shared" si="1640"/>
        <v>7.1666603194005791</v>
      </c>
      <c r="BQ221" s="219">
        <f t="shared" si="1641"/>
        <v>12.001145766067278</v>
      </c>
      <c r="BR221" s="220">
        <f t="shared" si="1642"/>
        <v>24.08291448694613</v>
      </c>
      <c r="BS221" s="219">
        <f t="shared" si="1643"/>
        <v>19.620792189458697</v>
      </c>
      <c r="BT221" s="219">
        <f t="shared" si="1644"/>
        <v>6.0322949614090557</v>
      </c>
      <c r="BU221" s="219">
        <f t="shared" si="1645"/>
        <v>17.701031954105883</v>
      </c>
      <c r="BV221" s="219">
        <f t="shared" si="1646"/>
        <v>6.3750551345469137</v>
      </c>
      <c r="BW221" s="219">
        <f t="shared" si="1647"/>
        <v>7.7559198110119842</v>
      </c>
      <c r="BX221" s="220">
        <f t="shared" si="1648"/>
        <v>1.651360165995849</v>
      </c>
      <c r="BY221" s="195"/>
      <c r="BZ221" s="192">
        <v>19</v>
      </c>
      <c r="CA221" s="66">
        <v>2023</v>
      </c>
      <c r="CB221" s="218">
        <f t="shared" si="1649"/>
        <v>2.575920047430976</v>
      </c>
      <c r="CC221" s="218">
        <f t="shared" si="1650"/>
        <v>0.88166142074171827</v>
      </c>
      <c r="CD221" s="73">
        <f t="shared" si="1651"/>
        <v>2.994776016222823</v>
      </c>
      <c r="CE221" s="73">
        <f t="shared" si="1652"/>
        <v>4.5987137211676563</v>
      </c>
      <c r="CF221" s="73">
        <f t="shared" si="1653"/>
        <v>2.589347700744161</v>
      </c>
      <c r="CG221" s="73">
        <f t="shared" si="1654"/>
        <v>5.5364442245614258</v>
      </c>
      <c r="CH221" s="73">
        <f t="shared" si="1655"/>
        <v>1.667073486828617</v>
      </c>
      <c r="CI221" s="73">
        <f t="shared" si="1656"/>
        <v>1.8051053152605434</v>
      </c>
      <c r="CJ221" s="73">
        <f t="shared" si="1657"/>
        <v>2.311284454307295</v>
      </c>
      <c r="CK221" s="73">
        <f t="shared" si="1658"/>
        <v>0.64499281188618274</v>
      </c>
      <c r="CL221" s="73">
        <f t="shared" si="1659"/>
        <v>0.16970866641129734</v>
      </c>
      <c r="CM221" s="73">
        <f t="shared" si="1660"/>
        <v>34.831386214521714</v>
      </c>
      <c r="CN221" s="73">
        <f t="shared" si="1661"/>
        <v>61.681957139355276</v>
      </c>
      <c r="CO221" s="73">
        <f t="shared" si="1662"/>
        <v>22.427579120773935</v>
      </c>
      <c r="CP221" s="73">
        <f t="shared" si="1663"/>
        <v>36.527559738741083</v>
      </c>
      <c r="CQ221" s="73">
        <f t="shared" si="1664"/>
        <v>23.521953049161329</v>
      </c>
      <c r="CR221" s="73">
        <f t="shared" si="1665"/>
        <v>7.3123094584791666</v>
      </c>
      <c r="CS221" s="73">
        <f t="shared" si="1666"/>
        <v>11.773372164163435</v>
      </c>
      <c r="CT221" s="73">
        <f t="shared" si="1667"/>
        <v>11.492828301814328</v>
      </c>
      <c r="CU221" s="73">
        <f t="shared" si="1668"/>
        <v>3.4559323023295847</v>
      </c>
      <c r="CV221" s="73">
        <f t="shared" si="1669"/>
        <v>6.7543835337386993</v>
      </c>
      <c r="CW221" s="73">
        <f t="shared" si="1670"/>
        <v>2.3076887355659621</v>
      </c>
      <c r="CX221" s="73">
        <f t="shared" si="1671"/>
        <v>2.5563204855920367</v>
      </c>
      <c r="CY221" s="73">
        <f t="shared" si="1672"/>
        <v>0.53355224661788492</v>
      </c>
      <c r="CZ221" s="190"/>
      <c r="DA221" s="66">
        <v>2023</v>
      </c>
      <c r="DB221" s="218">
        <f t="shared" si="1594"/>
        <v>202.77584547650392</v>
      </c>
      <c r="DC221" s="218">
        <f t="shared" si="1595"/>
        <v>4149.2902903868453</v>
      </c>
      <c r="DD221" s="73">
        <f t="shared" si="1596"/>
        <v>3334.6711519097889</v>
      </c>
      <c r="DE221" s="73">
        <f t="shared" si="1597"/>
        <v>1842.7191430858691</v>
      </c>
      <c r="DF221" s="73">
        <f t="shared" si="1598"/>
        <v>256.00274623909155</v>
      </c>
      <c r="DG221" s="73">
        <f t="shared" si="1599"/>
        <v>568.74026544825279</v>
      </c>
      <c r="DH221" s="72">
        <f t="shared" si="1627"/>
        <v>0.85429661272211088</v>
      </c>
      <c r="DI221" s="72">
        <f t="shared" si="1628"/>
        <v>0.8780196902022912</v>
      </c>
      <c r="DJ221" s="73">
        <f>SUM(AV202:AV221,BB202:BB221,BI202:BI221)</f>
        <v>4438.7497096131565</v>
      </c>
      <c r="DK221" s="73">
        <f>SUM(AV208:AV221,BB208:BB221,BI208:BI221)</f>
        <v>4438.7497096131565</v>
      </c>
      <c r="DL221" s="190"/>
    </row>
    <row r="222" spans="1:116" x14ac:dyDescent="0.25">
      <c r="A222" s="178"/>
      <c r="B222" s="178"/>
      <c r="C222" s="178"/>
      <c r="D222" s="178"/>
      <c r="E222" s="178"/>
      <c r="F222" s="178"/>
      <c r="G222" s="178"/>
      <c r="H222" s="178"/>
      <c r="I222" s="178"/>
      <c r="J222" s="178"/>
      <c r="K222" s="178"/>
      <c r="L222" s="178"/>
      <c r="M222" s="178"/>
      <c r="N222" s="178"/>
      <c r="O222" s="178"/>
      <c r="P222" s="178"/>
      <c r="Q222" s="178"/>
      <c r="R222" s="178"/>
      <c r="S222" s="178"/>
      <c r="T222" s="178"/>
      <c r="U222" s="178"/>
      <c r="V222" s="190"/>
      <c r="W222" s="197" t="s">
        <v>585</v>
      </c>
      <c r="X222" s="190"/>
      <c r="Y222" s="190"/>
      <c r="Z222" s="190"/>
      <c r="AA222" s="190"/>
      <c r="AB222" s="190"/>
      <c r="AC222" s="190"/>
      <c r="AD222" s="190"/>
      <c r="AE222" s="190"/>
      <c r="AF222" s="190"/>
      <c r="AG222" s="190"/>
      <c r="AH222" s="190"/>
      <c r="AI222" s="190"/>
      <c r="AJ222" s="190"/>
      <c r="AK222" s="190"/>
      <c r="AL222" s="190"/>
      <c r="AM222" s="190"/>
      <c r="AN222" s="190"/>
      <c r="AO222" s="190"/>
      <c r="AP222" s="190"/>
      <c r="AQ222" s="193" t="s">
        <v>90</v>
      </c>
      <c r="AR222" s="25"/>
      <c r="AS222" s="213"/>
      <c r="AT222" s="213"/>
      <c r="AU222" s="213"/>
      <c r="AV222" s="213"/>
      <c r="AW222" s="213"/>
      <c r="AX222" s="213"/>
      <c r="AY222" s="213"/>
      <c r="AZ222" s="213"/>
      <c r="BA222" s="213"/>
      <c r="BB222" s="213"/>
      <c r="BC222" s="213"/>
      <c r="BD222" s="213"/>
      <c r="BE222" s="213"/>
      <c r="BF222" s="213"/>
      <c r="BG222" s="213"/>
      <c r="BH222" s="213"/>
      <c r="BI222" s="213"/>
      <c r="BJ222" s="25"/>
      <c r="BK222" s="25"/>
      <c r="BL222" s="25"/>
      <c r="BM222" s="348" t="s">
        <v>570</v>
      </c>
      <c r="BN222" s="349"/>
      <c r="BO222" s="349"/>
      <c r="BP222" s="349"/>
      <c r="BQ222" s="350" t="s">
        <v>570</v>
      </c>
      <c r="BR222" s="350"/>
      <c r="BS222" s="350"/>
      <c r="BT222" s="350"/>
      <c r="BU222" s="350"/>
      <c r="BV222" s="350"/>
      <c r="BW222" s="350"/>
      <c r="BX222" s="351"/>
      <c r="BY222" s="199"/>
      <c r="BZ222" s="25"/>
      <c r="CA222" s="25"/>
      <c r="CB222" s="350" t="s">
        <v>302</v>
      </c>
      <c r="CC222" s="350"/>
      <c r="CD222" s="350"/>
      <c r="CE222" s="350" t="s">
        <v>302</v>
      </c>
      <c r="CF222" s="350"/>
      <c r="CG222" s="350"/>
      <c r="CH222" s="350"/>
      <c r="CI222" s="350"/>
      <c r="CJ222" s="350"/>
      <c r="CK222" s="350"/>
      <c r="CL222" s="350"/>
      <c r="CM222" s="350" t="s">
        <v>302</v>
      </c>
      <c r="CN222" s="350"/>
      <c r="CO222" s="350"/>
      <c r="CP222" s="350"/>
      <c r="CQ222" s="350"/>
      <c r="CR222" s="350"/>
      <c r="CS222" s="350"/>
      <c r="CT222" s="350"/>
      <c r="CU222" s="350"/>
      <c r="CV222" s="350"/>
      <c r="CW222" s="350"/>
      <c r="CX222" s="350"/>
      <c r="CY222" s="350"/>
      <c r="CZ222" s="190"/>
      <c r="DA222" s="190" t="s">
        <v>100</v>
      </c>
      <c r="DB222" s="217"/>
      <c r="DC222" s="217"/>
      <c r="DD222" s="217"/>
      <c r="DE222" s="217"/>
      <c r="DF222" s="217"/>
      <c r="DG222" s="217"/>
      <c r="DH222" s="222"/>
      <c r="DI222" s="222"/>
      <c r="DJ222" s="217"/>
      <c r="DK222" s="217"/>
      <c r="DL222" s="190"/>
    </row>
    <row r="223" spans="1:116" x14ac:dyDescent="0.25">
      <c r="V223" s="13"/>
      <c r="W223" s="66" t="s">
        <v>88</v>
      </c>
      <c r="X223" s="66" t="s">
        <v>89</v>
      </c>
      <c r="Y223" s="61" t="s">
        <v>320</v>
      </c>
      <c r="Z223" s="61" t="s">
        <v>319</v>
      </c>
      <c r="AA223" s="61" t="s">
        <v>318</v>
      </c>
      <c r="AB223" s="61" t="s">
        <v>317</v>
      </c>
      <c r="AC223" s="61" t="s">
        <v>321</v>
      </c>
      <c r="AD223" s="61" t="s">
        <v>322</v>
      </c>
      <c r="AE223" s="61" t="s">
        <v>323</v>
      </c>
      <c r="AF223" s="61" t="s">
        <v>324</v>
      </c>
      <c r="AG223" s="61" t="s">
        <v>325</v>
      </c>
      <c r="AH223" s="61" t="s">
        <v>326</v>
      </c>
      <c r="AI223" s="61" t="s">
        <v>327</v>
      </c>
      <c r="AJ223" s="61" t="s">
        <v>328</v>
      </c>
      <c r="AK223" s="61" t="s">
        <v>329</v>
      </c>
      <c r="AL223" s="61" t="s">
        <v>330</v>
      </c>
      <c r="AM223" s="61" t="s">
        <v>331</v>
      </c>
      <c r="AN223" s="61" t="s">
        <v>332</v>
      </c>
      <c r="AO223" s="61" t="s">
        <v>333</v>
      </c>
      <c r="AP223" s="190"/>
      <c r="AQ223" s="66" t="s">
        <v>88</v>
      </c>
      <c r="AR223" s="66" t="s">
        <v>89</v>
      </c>
      <c r="AS223" s="214" t="s">
        <v>320</v>
      </c>
      <c r="AT223" s="214" t="s">
        <v>319</v>
      </c>
      <c r="AU223" s="214" t="s">
        <v>318</v>
      </c>
      <c r="AV223" s="214" t="s">
        <v>317</v>
      </c>
      <c r="AW223" s="214" t="s">
        <v>321</v>
      </c>
      <c r="AX223" s="214" t="s">
        <v>322</v>
      </c>
      <c r="AY223" s="214" t="s">
        <v>323</v>
      </c>
      <c r="AZ223" s="214" t="s">
        <v>324</v>
      </c>
      <c r="BA223" s="214" t="s">
        <v>325</v>
      </c>
      <c r="BB223" s="214" t="s">
        <v>326</v>
      </c>
      <c r="BC223" s="214" t="s">
        <v>327</v>
      </c>
      <c r="BD223" s="214" t="s">
        <v>328</v>
      </c>
      <c r="BE223" s="214" t="s">
        <v>329</v>
      </c>
      <c r="BF223" s="214" t="s">
        <v>330</v>
      </c>
      <c r="BG223" s="214" t="s">
        <v>331</v>
      </c>
      <c r="BH223" s="214" t="s">
        <v>332</v>
      </c>
      <c r="BI223" s="214" t="s">
        <v>333</v>
      </c>
      <c r="BJ223" s="182"/>
      <c r="BK223" s="66" t="s">
        <v>88</v>
      </c>
      <c r="BL223" s="66" t="s">
        <v>89</v>
      </c>
      <c r="BM223" s="122" t="s">
        <v>627</v>
      </c>
      <c r="BN223" s="122" t="s">
        <v>715</v>
      </c>
      <c r="BO223" s="122" t="s">
        <v>628</v>
      </c>
      <c r="BP223" s="122" t="s">
        <v>629</v>
      </c>
      <c r="BQ223" s="122" t="s">
        <v>627</v>
      </c>
      <c r="BR223" s="122" t="s">
        <v>716</v>
      </c>
      <c r="BS223" s="122" t="s">
        <v>717</v>
      </c>
      <c r="BT223" s="122" t="s">
        <v>721</v>
      </c>
      <c r="BU223" s="122" t="s">
        <v>720</v>
      </c>
      <c r="BV223" s="122" t="s">
        <v>719</v>
      </c>
      <c r="BW223" s="122" t="s">
        <v>629</v>
      </c>
      <c r="BX223" s="122" t="s">
        <v>722</v>
      </c>
      <c r="BY223" s="182"/>
      <c r="BZ223" s="192" t="s">
        <v>88</v>
      </c>
      <c r="CA223" s="66" t="s">
        <v>89</v>
      </c>
      <c r="CB223" s="218" t="s">
        <v>124</v>
      </c>
      <c r="CC223" s="218" t="s">
        <v>630</v>
      </c>
      <c r="CD223" s="218" t="s">
        <v>570</v>
      </c>
      <c r="CE223" s="218" t="s">
        <v>124</v>
      </c>
      <c r="CF223" s="218" t="s">
        <v>630</v>
      </c>
      <c r="CG223" s="218" t="s">
        <v>631</v>
      </c>
      <c r="CH223" s="218" t="s">
        <v>632</v>
      </c>
      <c r="CI223" s="227" t="s">
        <v>624</v>
      </c>
      <c r="CJ223" s="227" t="s">
        <v>725</v>
      </c>
      <c r="CK223" s="227" t="s">
        <v>625</v>
      </c>
      <c r="CL223" s="227" t="s">
        <v>626</v>
      </c>
      <c r="CM223" s="218" t="s">
        <v>124</v>
      </c>
      <c r="CN223" s="218" t="s">
        <v>633</v>
      </c>
      <c r="CO223" s="218" t="s">
        <v>634</v>
      </c>
      <c r="CP223" s="218" t="s">
        <v>635</v>
      </c>
      <c r="CQ223" s="218" t="s">
        <v>632</v>
      </c>
      <c r="CR223" s="122" t="s">
        <v>624</v>
      </c>
      <c r="CS223" s="122" t="s">
        <v>726</v>
      </c>
      <c r="CT223" s="122" t="s">
        <v>727</v>
      </c>
      <c r="CU223" s="122" t="s">
        <v>637</v>
      </c>
      <c r="CV223" s="122" t="s">
        <v>638</v>
      </c>
      <c r="CW223" s="122" t="s">
        <v>728</v>
      </c>
      <c r="CX223" s="122" t="s">
        <v>626</v>
      </c>
      <c r="CY223" s="122" t="s">
        <v>729</v>
      </c>
      <c r="CZ223" s="190"/>
      <c r="DA223" s="67" t="s">
        <v>89</v>
      </c>
      <c r="DB223" s="219" t="s">
        <v>91</v>
      </c>
      <c r="DC223" s="219" t="s">
        <v>99</v>
      </c>
      <c r="DD223" s="215" t="s">
        <v>92</v>
      </c>
      <c r="DE223" s="215" t="s">
        <v>97</v>
      </c>
      <c r="DF223" s="215" t="s">
        <v>93</v>
      </c>
      <c r="DG223" s="215" t="s">
        <v>94</v>
      </c>
      <c r="DH223" s="223" t="s">
        <v>96</v>
      </c>
      <c r="DI223" s="223" t="s">
        <v>98</v>
      </c>
      <c r="DJ223" s="219" t="s">
        <v>95</v>
      </c>
      <c r="DK223" s="219" t="s">
        <v>102</v>
      </c>
      <c r="DL223" s="190"/>
    </row>
    <row r="224" spans="1:116" x14ac:dyDescent="0.25">
      <c r="H224" s="221"/>
      <c r="V224" s="13"/>
      <c r="W224" s="66">
        <v>0</v>
      </c>
      <c r="X224" s="66">
        <v>2004</v>
      </c>
      <c r="Y224" s="69">
        <v>0</v>
      </c>
      <c r="Z224" s="69">
        <v>0</v>
      </c>
      <c r="AA224" s="69">
        <v>0</v>
      </c>
      <c r="AB224" s="69">
        <v>0</v>
      </c>
      <c r="AC224" s="69">
        <v>0</v>
      </c>
      <c r="AD224" s="69">
        <v>0</v>
      </c>
      <c r="AE224" s="69">
        <v>0</v>
      </c>
      <c r="AF224" s="69">
        <v>0</v>
      </c>
      <c r="AG224" s="69">
        <v>0</v>
      </c>
      <c r="AH224" s="69">
        <v>0</v>
      </c>
      <c r="AI224" s="69">
        <v>0</v>
      </c>
      <c r="AJ224" s="69">
        <v>0</v>
      </c>
      <c r="AK224" s="69">
        <v>0</v>
      </c>
      <c r="AL224" s="69">
        <v>0</v>
      </c>
      <c r="AM224" s="69">
        <v>0</v>
      </c>
      <c r="AN224" s="69">
        <v>0</v>
      </c>
      <c r="AO224" s="69">
        <v>0</v>
      </c>
      <c r="AP224" s="190"/>
      <c r="AQ224" s="66">
        <v>0</v>
      </c>
      <c r="AR224" s="66">
        <v>2004</v>
      </c>
      <c r="AS224" s="215">
        <f t="shared" ref="AS224:AS243" si="1690">Inc_2014*Y224</f>
        <v>0</v>
      </c>
      <c r="AT224" s="215">
        <f t="shared" ref="AT224:AT243" si="1691">Inc_2014*Z224</f>
        <v>0</v>
      </c>
      <c r="AU224" s="215">
        <f t="shared" ref="AU224:AU243" si="1692">Inc_2014*AA224</f>
        <v>0</v>
      </c>
      <c r="AV224" s="215">
        <f t="shared" ref="AV224:AV243" si="1693">Inc_2014*AB224</f>
        <v>0</v>
      </c>
      <c r="AW224" s="215">
        <f t="shared" ref="AW224:AW243" si="1694">Inc_2014*AC224</f>
        <v>0</v>
      </c>
      <c r="AX224" s="215">
        <f t="shared" ref="AX224:AX243" si="1695">Inc_2014*AD224</f>
        <v>0</v>
      </c>
      <c r="AY224" s="215">
        <f t="shared" ref="AY224:AY243" si="1696">Inc_2014*AE224</f>
        <v>0</v>
      </c>
      <c r="AZ224" s="215">
        <f t="shared" ref="AZ224:AZ243" si="1697">Inc_2014*AF224</f>
        <v>0</v>
      </c>
      <c r="BA224" s="215">
        <f t="shared" ref="BA224:BA243" si="1698">Inc_2014*AG224</f>
        <v>0</v>
      </c>
      <c r="BB224" s="215">
        <f t="shared" ref="BB224:BB243" si="1699">Inc_2014*AH224</f>
        <v>0</v>
      </c>
      <c r="BC224" s="215">
        <f t="shared" ref="BC224:BC243" si="1700">Inc_2014*AI224</f>
        <v>0</v>
      </c>
      <c r="BD224" s="215">
        <f t="shared" ref="BD224:BD243" si="1701">Inc_2014*AJ224</f>
        <v>0</v>
      </c>
      <c r="BE224" s="215">
        <f t="shared" ref="BE224:BE243" si="1702">Inc_2014*AK224</f>
        <v>0</v>
      </c>
      <c r="BF224" s="215">
        <f t="shared" ref="BF224:BF243" si="1703">Inc_2014*AL224</f>
        <v>0</v>
      </c>
      <c r="BG224" s="215">
        <f t="shared" ref="BG224:BG243" si="1704">Inc_2014*AM224</f>
        <v>0</v>
      </c>
      <c r="BH224" s="215">
        <f t="shared" ref="BH224:BH243" si="1705">Inc_2014*AN224</f>
        <v>0</v>
      </c>
      <c r="BI224" s="215">
        <f t="shared" ref="BI224:BI243" si="1706">Inc_2014*AO224</f>
        <v>0</v>
      </c>
      <c r="BJ224" s="195"/>
      <c r="BK224" s="66">
        <v>0</v>
      </c>
      <c r="BL224" s="66">
        <v>2004</v>
      </c>
      <c r="BM224" s="215">
        <f>BA224</f>
        <v>0</v>
      </c>
      <c r="BN224" s="219">
        <v>0</v>
      </c>
      <c r="BO224" s="219">
        <v>0</v>
      </c>
      <c r="BP224" s="219">
        <v>0</v>
      </c>
      <c r="BQ224" s="219">
        <f>BH224</f>
        <v>0</v>
      </c>
      <c r="BR224" s="219">
        <v>0</v>
      </c>
      <c r="BS224" s="219">
        <v>0</v>
      </c>
      <c r="BT224" s="219">
        <v>0</v>
      </c>
      <c r="BU224" s="219">
        <v>0</v>
      </c>
      <c r="BV224" s="219">
        <v>0</v>
      </c>
      <c r="BW224" s="219">
        <v>0</v>
      </c>
      <c r="BX224" s="219">
        <v>0</v>
      </c>
      <c r="BY224" s="195"/>
      <c r="BZ224" s="192">
        <v>0</v>
      </c>
      <c r="CA224" s="66">
        <v>2004</v>
      </c>
      <c r="CB224" s="218">
        <v>0</v>
      </c>
      <c r="CC224" s="218">
        <v>0</v>
      </c>
      <c r="CD224" s="218">
        <v>0</v>
      </c>
      <c r="CE224" s="218">
        <v>0</v>
      </c>
      <c r="CF224" s="218">
        <v>0</v>
      </c>
      <c r="CG224" s="218">
        <v>0</v>
      </c>
      <c r="CH224" s="218">
        <v>0</v>
      </c>
      <c r="CI224" s="218">
        <v>0</v>
      </c>
      <c r="CJ224" s="218">
        <v>0</v>
      </c>
      <c r="CK224" s="218">
        <v>0</v>
      </c>
      <c r="CL224" s="218">
        <v>0</v>
      </c>
      <c r="CM224" s="218">
        <v>0</v>
      </c>
      <c r="CN224" s="218">
        <v>0</v>
      </c>
      <c r="CO224" s="218">
        <v>0</v>
      </c>
      <c r="CP224" s="218">
        <v>0</v>
      </c>
      <c r="CQ224" s="218">
        <v>0</v>
      </c>
      <c r="CR224" s="218">
        <v>0</v>
      </c>
      <c r="CS224" s="218">
        <v>0</v>
      </c>
      <c r="CT224" s="218">
        <v>0</v>
      </c>
      <c r="CU224" s="218">
        <v>0</v>
      </c>
      <c r="CV224" s="218">
        <v>0</v>
      </c>
      <c r="CW224" s="218">
        <v>0</v>
      </c>
      <c r="CX224" s="218">
        <v>0</v>
      </c>
      <c r="CY224" s="218">
        <v>0</v>
      </c>
      <c r="CZ224" s="190"/>
      <c r="DA224" s="67">
        <v>2004</v>
      </c>
      <c r="DB224" s="218">
        <f t="shared" ref="DB224:DB243" si="1707">SUM(AT224,AX224,BD224)</f>
        <v>0</v>
      </c>
      <c r="DC224" s="218">
        <f t="shared" ref="DC224:DC243" si="1708">SUM(AS224:AU224,AW224:BA224,BC224:BH224)</f>
        <v>0</v>
      </c>
      <c r="DD224" s="73">
        <f t="shared" ref="DD224:DD243" si="1709">SUM(AY224:AZ224,BE224:BG224)</f>
        <v>0</v>
      </c>
      <c r="DE224" s="73">
        <f t="shared" ref="DE224:DE243" si="1710">SUM(BE224:BG224)</f>
        <v>0</v>
      </c>
      <c r="DF224" s="73">
        <f t="shared" ref="DF224:DF243" si="1711">SUM(BC224,BD224,BH224)</f>
        <v>0</v>
      </c>
      <c r="DG224" s="73">
        <f t="shared" ref="DG224:DG243" si="1712">SUM(BC224,BD224,BH224,AW224,AX224,BA224)</f>
        <v>0</v>
      </c>
      <c r="DH224" s="72" t="e">
        <f>DD224/(DD224+DG224)</f>
        <v>#DIV/0!</v>
      </c>
      <c r="DI224" s="72" t="e">
        <f>DE224/(DE224+DF224)</f>
        <v>#DIV/0!</v>
      </c>
      <c r="DJ224" s="73">
        <f>SUM(AV224,BB224,BI224)</f>
        <v>0</v>
      </c>
      <c r="DK224" s="73">
        <v>0</v>
      </c>
      <c r="DL224" s="190"/>
    </row>
    <row r="225" spans="8:116" x14ac:dyDescent="0.25">
      <c r="H225" s="221"/>
      <c r="I225" s="221"/>
      <c r="V225" s="13"/>
      <c r="W225" s="66">
        <v>1</v>
      </c>
      <c r="X225" s="66">
        <v>2005</v>
      </c>
      <c r="Y225" s="69">
        <v>0</v>
      </c>
      <c r="Z225" s="69">
        <v>0</v>
      </c>
      <c r="AA225" s="69">
        <v>0</v>
      </c>
      <c r="AB225" s="69">
        <v>0</v>
      </c>
      <c r="AC225" s="69">
        <v>0</v>
      </c>
      <c r="AD225" s="69">
        <v>0</v>
      </c>
      <c r="AE225" s="69">
        <v>0</v>
      </c>
      <c r="AF225" s="69">
        <v>0</v>
      </c>
      <c r="AG225" s="69">
        <v>0</v>
      </c>
      <c r="AH225" s="69">
        <v>0</v>
      </c>
      <c r="AI225" s="69">
        <v>0</v>
      </c>
      <c r="AJ225" s="69">
        <v>0</v>
      </c>
      <c r="AK225" s="69">
        <v>0</v>
      </c>
      <c r="AL225" s="69">
        <v>0</v>
      </c>
      <c r="AM225" s="69">
        <v>0</v>
      </c>
      <c r="AN225" s="69">
        <v>0</v>
      </c>
      <c r="AO225" s="69">
        <v>0</v>
      </c>
      <c r="AP225" s="190"/>
      <c r="AQ225" s="66">
        <v>1</v>
      </c>
      <c r="AR225" s="66">
        <v>2005</v>
      </c>
      <c r="AS225" s="215">
        <f t="shared" si="1690"/>
        <v>0</v>
      </c>
      <c r="AT225" s="215">
        <f t="shared" si="1691"/>
        <v>0</v>
      </c>
      <c r="AU225" s="215">
        <f t="shared" si="1692"/>
        <v>0</v>
      </c>
      <c r="AV225" s="215">
        <f t="shared" si="1693"/>
        <v>0</v>
      </c>
      <c r="AW225" s="215">
        <f t="shared" si="1694"/>
        <v>0</v>
      </c>
      <c r="AX225" s="215">
        <f t="shared" si="1695"/>
        <v>0</v>
      </c>
      <c r="AY225" s="215">
        <f t="shared" si="1696"/>
        <v>0</v>
      </c>
      <c r="AZ225" s="215">
        <f t="shared" si="1697"/>
        <v>0</v>
      </c>
      <c r="BA225" s="215">
        <f t="shared" si="1698"/>
        <v>0</v>
      </c>
      <c r="BB225" s="215">
        <f t="shared" si="1699"/>
        <v>0</v>
      </c>
      <c r="BC225" s="215">
        <f t="shared" si="1700"/>
        <v>0</v>
      </c>
      <c r="BD225" s="215">
        <f t="shared" si="1701"/>
        <v>0</v>
      </c>
      <c r="BE225" s="215">
        <f t="shared" si="1702"/>
        <v>0</v>
      </c>
      <c r="BF225" s="215">
        <f t="shared" si="1703"/>
        <v>0</v>
      </c>
      <c r="BG225" s="215">
        <f t="shared" si="1704"/>
        <v>0</v>
      </c>
      <c r="BH225" s="215">
        <f t="shared" si="1705"/>
        <v>0</v>
      </c>
      <c r="BI225" s="215">
        <f t="shared" si="1706"/>
        <v>0</v>
      </c>
      <c r="BJ225" s="195"/>
      <c r="BK225" s="66">
        <v>1</v>
      </c>
      <c r="BL225" s="66">
        <v>2005</v>
      </c>
      <c r="BM225" s="215">
        <f t="shared" ref="BM225:BM232" si="1713">(AX224*pInt_InCare_Int_LTFU_2004_2012)+(BM224*pInt_LTFU_2004_2012)</f>
        <v>0</v>
      </c>
      <c r="BN225" s="219">
        <f t="shared" ref="BN225:BN232" si="1714">(AU224*pAsympt_LTFU_Int_LTFU_2004_2012)+(BN224*pInt_LTFU_2004_2012)</f>
        <v>0</v>
      </c>
      <c r="BO225" s="219">
        <f t="shared" ref="BO225:BO232" si="1715">(AY224*pInt_ART1_Int_LTFU_2004_2012)+(BO224*pInt_LTFU_2004_2012)</f>
        <v>0</v>
      </c>
      <c r="BP225" s="219">
        <v>0</v>
      </c>
      <c r="BQ225" s="219">
        <f t="shared" ref="BQ225:BQ232" si="1716">(BD224*pAIDS_InCare_AIDS_LTFU_2004_2012)+(BQ224*pAIDS_LTFU_2004_2012)</f>
        <v>0</v>
      </c>
      <c r="BR225" s="220">
        <f>(BN224*pInt_LTFU_AIDS_LTFU_2004_2012)</f>
        <v>0</v>
      </c>
      <c r="BS225" s="219">
        <f>(BM224*pInt_LTFU_AIDS_LTFU_2004_2012)</f>
        <v>0</v>
      </c>
      <c r="BT225" s="219">
        <f>(BE224*pAIDS_ART1ear_AIDS_LTFU_2004_2012)</f>
        <v>0</v>
      </c>
      <c r="BU225" s="219">
        <f>(BF224*pAIDS_ART1late_AIDS_LTFU_2004_2012)</f>
        <v>0</v>
      </c>
      <c r="BV225" s="219">
        <f>(BO224*pInt_LTFU_AIDS_LTFU_2004_2012)</f>
        <v>0</v>
      </c>
      <c r="BW225" s="219">
        <f>(BG224*pAIDS_ART2_AIDS_LTFU_2004_2012)</f>
        <v>0</v>
      </c>
      <c r="BX225" s="220">
        <f>(BP224*pInt_LTFU_AIDS_LTFU_2004_2012)</f>
        <v>0</v>
      </c>
      <c r="BY225" s="195"/>
      <c r="BZ225" s="192">
        <v>1</v>
      </c>
      <c r="CA225" s="66">
        <v>2005</v>
      </c>
      <c r="CB225" s="218">
        <f>pAsympt_NoCare_Asympt_Dead_2004_2006*AS224</f>
        <v>0</v>
      </c>
      <c r="CC225" s="218">
        <f t="shared" ref="CC225:CC232" si="1717">pAsympt_InCare_Asympt_Dead_2004_2012*AT224</f>
        <v>0</v>
      </c>
      <c r="CD225" s="73">
        <f t="shared" ref="CD225:CD232" si="1718">pAsympt_LTFU_Asympt_Dead_2004_2012*AU224</f>
        <v>0</v>
      </c>
      <c r="CE225" s="73">
        <f>pInt_NoCare_Int_Dead_2004_2006*AW224</f>
        <v>0</v>
      </c>
      <c r="CF225" s="73">
        <f t="shared" ref="CF225:CF232" si="1719">pInt_InCare_Int_Dead_2004_2012*AX224</f>
        <v>0</v>
      </c>
      <c r="CG225" s="73">
        <f t="shared" ref="CG225:CG232" si="1720">pInt_ART1_Int_Dead_2004_2012*AY224</f>
        <v>0</v>
      </c>
      <c r="CH225" s="73">
        <f t="shared" ref="CH225:CH232" si="1721">pInt_ART2_Int_Dead_2004_2012*AZ224</f>
        <v>0</v>
      </c>
      <c r="CI225" s="73">
        <f t="shared" ref="CI225:CI232" si="1722">(BM224*pInt_LTFU_Int_Dead_2004_2012)</f>
        <v>0</v>
      </c>
      <c r="CJ225" s="73">
        <f t="shared" ref="CJ225:CJ232" si="1723">(BN224*pInt_LTFU_Int_Dead_2004_2012)</f>
        <v>0</v>
      </c>
      <c r="CK225" s="73">
        <f t="shared" ref="CK225:CK232" si="1724">(BO224*pInt_LTFU_Int_Dead_2004_2012)</f>
        <v>0</v>
      </c>
      <c r="CL225" s="73">
        <f t="shared" ref="CL225:CL232" si="1725">(BP224*pInt_LTFU_Int_Dead_2004_2012)</f>
        <v>0</v>
      </c>
      <c r="CM225" s="73">
        <f t="shared" ref="CM225:CM226" si="1726">pAIDS_NoCare_AIDS_Dead_2004_2006*BC224</f>
        <v>0</v>
      </c>
      <c r="CN225" s="73">
        <f t="shared" ref="CN225:CN232" si="1727">pAIDS_InCare_AIDS_Dead_2004_2012*BD224</f>
        <v>0</v>
      </c>
      <c r="CO225" s="73">
        <f t="shared" ref="CO225:CO232" si="1728">pAIDS_ART1ear_AIDS_Dead_2004_2012*BE224</f>
        <v>0</v>
      </c>
      <c r="CP225" s="73">
        <f t="shared" ref="CP225:CP232" si="1729">pAIDS_ART1late_AIDS_Dead_2004_2012*BF224</f>
        <v>0</v>
      </c>
      <c r="CQ225" s="73">
        <f t="shared" ref="CQ225:CQ232" si="1730">pAIDS_ART2_AIDS_Dead_2004_2012*BG224</f>
        <v>0</v>
      </c>
      <c r="CR225" s="73">
        <f t="shared" ref="CR225:CR232" si="1731">(BQ224*pAIDS_LTFU_AIDS_Dead_2004_2012)</f>
        <v>0</v>
      </c>
      <c r="CS225" s="73">
        <f t="shared" ref="CS225:CS232" si="1732">(BR224*pAIDS_LTFU_AIDS_Dead_2004_2012)</f>
        <v>0</v>
      </c>
      <c r="CT225" s="73">
        <f t="shared" ref="CT225:CT232" si="1733">(BS224*pAIDS_LTFU_AIDS_Dead_2004_2012)</f>
        <v>0</v>
      </c>
      <c r="CU225" s="73">
        <f t="shared" ref="CU225:CU232" si="1734">(BT224*pAIDS_LTFU_AIDS_Dead_2004_2012)</f>
        <v>0</v>
      </c>
      <c r="CV225" s="73">
        <f t="shared" ref="CV225:CV232" si="1735">(BU224*pAIDS_LTFU_AIDS_Dead_2004_2012)</f>
        <v>0</v>
      </c>
      <c r="CW225" s="73">
        <f t="shared" ref="CW225:CW232" si="1736">(BV224*pAIDS_LTFU_AIDS_Dead_2004_2012)</f>
        <v>0</v>
      </c>
      <c r="CX225" s="73">
        <f t="shared" ref="CX225:CX232" si="1737">(BW224*pAIDS_LTFU_AIDS_Dead_2004_2012)</f>
        <v>0</v>
      </c>
      <c r="CY225" s="73">
        <f t="shared" ref="CY225:CY232" si="1738">(BX224*pAIDS_LTFU_AIDS_Dead_2004_2012)</f>
        <v>0</v>
      </c>
      <c r="CZ225" s="190"/>
      <c r="DA225" s="67">
        <v>2005</v>
      </c>
      <c r="DB225" s="218">
        <f t="shared" si="1707"/>
        <v>0</v>
      </c>
      <c r="DC225" s="218">
        <f t="shared" si="1708"/>
        <v>0</v>
      </c>
      <c r="DD225" s="73">
        <f t="shared" si="1709"/>
        <v>0</v>
      </c>
      <c r="DE225" s="73">
        <f t="shared" si="1710"/>
        <v>0</v>
      </c>
      <c r="DF225" s="73">
        <f t="shared" si="1711"/>
        <v>0</v>
      </c>
      <c r="DG225" s="73">
        <f t="shared" si="1712"/>
        <v>0</v>
      </c>
      <c r="DH225" s="72" t="e">
        <f t="shared" ref="DH225:DH243" si="1739">DD225/(DD225+DG225)</f>
        <v>#DIV/0!</v>
      </c>
      <c r="DI225" s="72" t="e">
        <f t="shared" ref="DI225:DI243" si="1740">DE225/(DE225+DF225)</f>
        <v>#DIV/0!</v>
      </c>
      <c r="DJ225" s="73">
        <f>SUM(AV224:AV225,BB224:BB225,BI224:BI225)</f>
        <v>0</v>
      </c>
      <c r="DK225" s="73">
        <v>0</v>
      </c>
      <c r="DL225" s="190"/>
    </row>
    <row r="226" spans="8:116" x14ac:dyDescent="0.25">
      <c r="H226" s="221"/>
      <c r="V226" s="13"/>
      <c r="W226" s="66">
        <v>2</v>
      </c>
      <c r="X226" s="66">
        <v>2006</v>
      </c>
      <c r="Y226" s="69">
        <v>0</v>
      </c>
      <c r="Z226" s="69">
        <v>0</v>
      </c>
      <c r="AA226" s="69">
        <v>0</v>
      </c>
      <c r="AB226" s="69">
        <v>0</v>
      </c>
      <c r="AC226" s="69">
        <v>0</v>
      </c>
      <c r="AD226" s="69">
        <v>0</v>
      </c>
      <c r="AE226" s="69">
        <v>0</v>
      </c>
      <c r="AF226" s="69">
        <v>0</v>
      </c>
      <c r="AG226" s="69">
        <v>0</v>
      </c>
      <c r="AH226" s="69">
        <v>0</v>
      </c>
      <c r="AI226" s="69">
        <v>0</v>
      </c>
      <c r="AJ226" s="69">
        <v>0</v>
      </c>
      <c r="AK226" s="69">
        <v>0</v>
      </c>
      <c r="AL226" s="69">
        <v>0</v>
      </c>
      <c r="AM226" s="69">
        <v>0</v>
      </c>
      <c r="AN226" s="69">
        <v>0</v>
      </c>
      <c r="AO226" s="69">
        <v>0</v>
      </c>
      <c r="AP226" s="190"/>
      <c r="AQ226" s="66">
        <v>2</v>
      </c>
      <c r="AR226" s="66">
        <v>2006</v>
      </c>
      <c r="AS226" s="215">
        <f t="shared" si="1690"/>
        <v>0</v>
      </c>
      <c r="AT226" s="215">
        <f t="shared" si="1691"/>
        <v>0</v>
      </c>
      <c r="AU226" s="215">
        <f t="shared" si="1692"/>
        <v>0</v>
      </c>
      <c r="AV226" s="215">
        <f t="shared" si="1693"/>
        <v>0</v>
      </c>
      <c r="AW226" s="215">
        <f t="shared" si="1694"/>
        <v>0</v>
      </c>
      <c r="AX226" s="215">
        <f t="shared" si="1695"/>
        <v>0</v>
      </c>
      <c r="AY226" s="215">
        <f t="shared" si="1696"/>
        <v>0</v>
      </c>
      <c r="AZ226" s="215">
        <f t="shared" si="1697"/>
        <v>0</v>
      </c>
      <c r="BA226" s="215">
        <f t="shared" si="1698"/>
        <v>0</v>
      </c>
      <c r="BB226" s="215">
        <f t="shared" si="1699"/>
        <v>0</v>
      </c>
      <c r="BC226" s="215">
        <f t="shared" si="1700"/>
        <v>0</v>
      </c>
      <c r="BD226" s="215">
        <f t="shared" si="1701"/>
        <v>0</v>
      </c>
      <c r="BE226" s="215">
        <f t="shared" si="1702"/>
        <v>0</v>
      </c>
      <c r="BF226" s="215">
        <f t="shared" si="1703"/>
        <v>0</v>
      </c>
      <c r="BG226" s="215">
        <f t="shared" si="1704"/>
        <v>0</v>
      </c>
      <c r="BH226" s="215">
        <f t="shared" si="1705"/>
        <v>0</v>
      </c>
      <c r="BI226" s="215">
        <f t="shared" si="1706"/>
        <v>0</v>
      </c>
      <c r="BJ226" s="195"/>
      <c r="BK226" s="66">
        <v>2</v>
      </c>
      <c r="BL226" s="66">
        <v>2006</v>
      </c>
      <c r="BM226" s="215">
        <f t="shared" si="1713"/>
        <v>0</v>
      </c>
      <c r="BN226" s="219">
        <f t="shared" si="1714"/>
        <v>0</v>
      </c>
      <c r="BO226" s="219">
        <f t="shared" si="1715"/>
        <v>0</v>
      </c>
      <c r="BP226" s="219">
        <f t="shared" ref="BP226:BP232" si="1741">(AZ225*pInt_ART2_Int_LTFU_2004_2012)+(BP225*pInt_LTFU_2004_2012)</f>
        <v>0</v>
      </c>
      <c r="BQ226" s="219">
        <f t="shared" si="1716"/>
        <v>0</v>
      </c>
      <c r="BR226" s="220">
        <f t="shared" ref="BR226:BR232" si="1742">(BN225*pInt_LTFU_AIDS_LTFU_2004_2012)+(BR225*pAIDS_LTFU_2004_2012)</f>
        <v>0</v>
      </c>
      <c r="BS226" s="219">
        <f t="shared" ref="BS226:BS232" si="1743">(BM225*pInt_LTFU_AIDS_LTFU_2004_2012)+(BS225*pAIDS_LTFU_2004_2012)</f>
        <v>0</v>
      </c>
      <c r="BT226" s="219">
        <f t="shared" ref="BT226:BT232" si="1744">(BE225*pAIDS_ART1ear_AIDS_LTFU_2004_2012)+(BT225*pAIDS_LTFU_2004_2012)</f>
        <v>0</v>
      </c>
      <c r="BU226" s="219">
        <f t="shared" ref="BU226:BU232" si="1745">(BF225*pAIDS_ART1late_AIDS_LTFU_2004_2012)+(BU225*pAIDS_LTFU_2004_2012)</f>
        <v>0</v>
      </c>
      <c r="BV226" s="219">
        <f t="shared" ref="BV226:BV232" si="1746">(BO225*pInt_LTFU_AIDS_LTFU_2004_2012)+(BV225*pAIDS_LTFU_2004_2012)</f>
        <v>0</v>
      </c>
      <c r="BW226" s="219">
        <f t="shared" ref="BW226:BW232" si="1747">(BG225*pAIDS_ART2_AIDS_LTFU_2004_2012)+(BW225*pAIDS_LTFU_2004_2012)</f>
        <v>0</v>
      </c>
      <c r="BX226" s="220">
        <f t="shared" ref="BX226:BX232" si="1748">(BP225*pInt_LTFU_AIDS_LTFU_2004_2012)+(BX225*pAIDS_LTFU_2004_2012)</f>
        <v>0</v>
      </c>
      <c r="BY226" s="195"/>
      <c r="BZ226" s="192">
        <v>2</v>
      </c>
      <c r="CA226" s="66">
        <v>2006</v>
      </c>
      <c r="CB226" s="218">
        <f>pAsympt_NoCare_Asympt_Dead_2004_2006*AS225</f>
        <v>0</v>
      </c>
      <c r="CC226" s="218">
        <f t="shared" si="1717"/>
        <v>0</v>
      </c>
      <c r="CD226" s="73">
        <f t="shared" si="1718"/>
        <v>0</v>
      </c>
      <c r="CE226" s="73">
        <f>pInt_NoCare_Int_Dead_2004_2006*AW225</f>
        <v>0</v>
      </c>
      <c r="CF226" s="73">
        <f t="shared" si="1719"/>
        <v>0</v>
      </c>
      <c r="CG226" s="73">
        <f t="shared" si="1720"/>
        <v>0</v>
      </c>
      <c r="CH226" s="73">
        <f t="shared" si="1721"/>
        <v>0</v>
      </c>
      <c r="CI226" s="73">
        <f t="shared" si="1722"/>
        <v>0</v>
      </c>
      <c r="CJ226" s="73">
        <f t="shared" si="1723"/>
        <v>0</v>
      </c>
      <c r="CK226" s="73">
        <f t="shared" si="1724"/>
        <v>0</v>
      </c>
      <c r="CL226" s="73">
        <f t="shared" si="1725"/>
        <v>0</v>
      </c>
      <c r="CM226" s="73">
        <f t="shared" si="1726"/>
        <v>0</v>
      </c>
      <c r="CN226" s="73">
        <f t="shared" si="1727"/>
        <v>0</v>
      </c>
      <c r="CO226" s="73">
        <f t="shared" si="1728"/>
        <v>0</v>
      </c>
      <c r="CP226" s="73">
        <f t="shared" si="1729"/>
        <v>0</v>
      </c>
      <c r="CQ226" s="73">
        <f t="shared" si="1730"/>
        <v>0</v>
      </c>
      <c r="CR226" s="73">
        <f t="shared" si="1731"/>
        <v>0</v>
      </c>
      <c r="CS226" s="73">
        <f t="shared" si="1732"/>
        <v>0</v>
      </c>
      <c r="CT226" s="73">
        <f t="shared" si="1733"/>
        <v>0</v>
      </c>
      <c r="CU226" s="73">
        <f t="shared" si="1734"/>
        <v>0</v>
      </c>
      <c r="CV226" s="73">
        <f t="shared" si="1735"/>
        <v>0</v>
      </c>
      <c r="CW226" s="73">
        <f t="shared" si="1736"/>
        <v>0</v>
      </c>
      <c r="CX226" s="73">
        <f t="shared" si="1737"/>
        <v>0</v>
      </c>
      <c r="CY226" s="73">
        <f t="shared" si="1738"/>
        <v>0</v>
      </c>
      <c r="CZ226" s="190"/>
      <c r="DA226" s="66">
        <v>2006</v>
      </c>
      <c r="DB226" s="218">
        <f t="shared" si="1707"/>
        <v>0</v>
      </c>
      <c r="DC226" s="218">
        <f t="shared" si="1708"/>
        <v>0</v>
      </c>
      <c r="DD226" s="73">
        <f t="shared" si="1709"/>
        <v>0</v>
      </c>
      <c r="DE226" s="73">
        <f t="shared" si="1710"/>
        <v>0</v>
      </c>
      <c r="DF226" s="73">
        <f t="shared" si="1711"/>
        <v>0</v>
      </c>
      <c r="DG226" s="73">
        <f t="shared" si="1712"/>
        <v>0</v>
      </c>
      <c r="DH226" s="72" t="e">
        <f t="shared" si="1739"/>
        <v>#DIV/0!</v>
      </c>
      <c r="DI226" s="72" t="e">
        <f t="shared" si="1740"/>
        <v>#DIV/0!</v>
      </c>
      <c r="DJ226" s="73">
        <f>SUM(AV224:AV226,BB224:BB226,BI224:BI226)</f>
        <v>0</v>
      </c>
      <c r="DK226" s="73">
        <v>0</v>
      </c>
      <c r="DL226" s="190"/>
    </row>
    <row r="227" spans="8:116" x14ac:dyDescent="0.25">
      <c r="V227" s="13"/>
      <c r="W227" s="66">
        <v>3</v>
      </c>
      <c r="X227" s="66">
        <v>2007</v>
      </c>
      <c r="Y227" s="69">
        <v>0</v>
      </c>
      <c r="Z227" s="69">
        <v>0</v>
      </c>
      <c r="AA227" s="69">
        <v>0</v>
      </c>
      <c r="AB227" s="69">
        <v>0</v>
      </c>
      <c r="AC227" s="69">
        <v>0</v>
      </c>
      <c r="AD227" s="69">
        <v>0</v>
      </c>
      <c r="AE227" s="69">
        <v>0</v>
      </c>
      <c r="AF227" s="69">
        <v>0</v>
      </c>
      <c r="AG227" s="69">
        <v>0</v>
      </c>
      <c r="AH227" s="69">
        <v>0</v>
      </c>
      <c r="AI227" s="69">
        <v>0</v>
      </c>
      <c r="AJ227" s="69">
        <v>0</v>
      </c>
      <c r="AK227" s="69">
        <v>0</v>
      </c>
      <c r="AL227" s="69">
        <v>0</v>
      </c>
      <c r="AM227" s="69">
        <v>0</v>
      </c>
      <c r="AN227" s="69">
        <v>0</v>
      </c>
      <c r="AO227" s="69">
        <v>0</v>
      </c>
      <c r="AP227" s="190"/>
      <c r="AQ227" s="66">
        <v>3</v>
      </c>
      <c r="AR227" s="66">
        <v>2007</v>
      </c>
      <c r="AS227" s="215">
        <f t="shared" si="1690"/>
        <v>0</v>
      </c>
      <c r="AT227" s="215">
        <f t="shared" si="1691"/>
        <v>0</v>
      </c>
      <c r="AU227" s="215">
        <f t="shared" si="1692"/>
        <v>0</v>
      </c>
      <c r="AV227" s="215">
        <f t="shared" si="1693"/>
        <v>0</v>
      </c>
      <c r="AW227" s="215">
        <f t="shared" si="1694"/>
        <v>0</v>
      </c>
      <c r="AX227" s="215">
        <f t="shared" si="1695"/>
        <v>0</v>
      </c>
      <c r="AY227" s="215">
        <f t="shared" si="1696"/>
        <v>0</v>
      </c>
      <c r="AZ227" s="215">
        <f t="shared" si="1697"/>
        <v>0</v>
      </c>
      <c r="BA227" s="215">
        <f t="shared" si="1698"/>
        <v>0</v>
      </c>
      <c r="BB227" s="215">
        <f t="shared" si="1699"/>
        <v>0</v>
      </c>
      <c r="BC227" s="215">
        <f t="shared" si="1700"/>
        <v>0</v>
      </c>
      <c r="BD227" s="215">
        <f t="shared" si="1701"/>
        <v>0</v>
      </c>
      <c r="BE227" s="215">
        <f t="shared" si="1702"/>
        <v>0</v>
      </c>
      <c r="BF227" s="215">
        <f t="shared" si="1703"/>
        <v>0</v>
      </c>
      <c r="BG227" s="215">
        <f t="shared" si="1704"/>
        <v>0</v>
      </c>
      <c r="BH227" s="215">
        <f t="shared" si="1705"/>
        <v>0</v>
      </c>
      <c r="BI227" s="215">
        <f t="shared" si="1706"/>
        <v>0</v>
      </c>
      <c r="BJ227" s="195"/>
      <c r="BK227" s="66">
        <v>3</v>
      </c>
      <c r="BL227" s="66">
        <v>2007</v>
      </c>
      <c r="BM227" s="215">
        <f t="shared" si="1713"/>
        <v>0</v>
      </c>
      <c r="BN227" s="219">
        <f t="shared" si="1714"/>
        <v>0</v>
      </c>
      <c r="BO227" s="219">
        <f t="shared" si="1715"/>
        <v>0</v>
      </c>
      <c r="BP227" s="219">
        <f t="shared" si="1741"/>
        <v>0</v>
      </c>
      <c r="BQ227" s="219">
        <f t="shared" si="1716"/>
        <v>0</v>
      </c>
      <c r="BR227" s="220">
        <f t="shared" si="1742"/>
        <v>0</v>
      </c>
      <c r="BS227" s="219">
        <f t="shared" si="1743"/>
        <v>0</v>
      </c>
      <c r="BT227" s="219">
        <f t="shared" si="1744"/>
        <v>0</v>
      </c>
      <c r="BU227" s="219">
        <f t="shared" si="1745"/>
        <v>0</v>
      </c>
      <c r="BV227" s="219">
        <f t="shared" si="1746"/>
        <v>0</v>
      </c>
      <c r="BW227" s="219">
        <f t="shared" si="1747"/>
        <v>0</v>
      </c>
      <c r="BX227" s="220">
        <f t="shared" si="1748"/>
        <v>0</v>
      </c>
      <c r="BY227" s="195"/>
      <c r="BZ227" s="192">
        <v>3</v>
      </c>
      <c r="CA227" s="66">
        <v>2007</v>
      </c>
      <c r="CB227" s="218">
        <f>pAsympt_NoCare_Asympt_Dead_2007_2009*AS226</f>
        <v>0</v>
      </c>
      <c r="CC227" s="218">
        <f t="shared" si="1717"/>
        <v>0</v>
      </c>
      <c r="CD227" s="73">
        <f t="shared" si="1718"/>
        <v>0</v>
      </c>
      <c r="CE227" s="73">
        <f>pInt_NoCare_Int_Dead_2007_2009*AW226</f>
        <v>0</v>
      </c>
      <c r="CF227" s="73">
        <f t="shared" si="1719"/>
        <v>0</v>
      </c>
      <c r="CG227" s="73">
        <f t="shared" si="1720"/>
        <v>0</v>
      </c>
      <c r="CH227" s="73">
        <f t="shared" si="1721"/>
        <v>0</v>
      </c>
      <c r="CI227" s="73">
        <f t="shared" si="1722"/>
        <v>0</v>
      </c>
      <c r="CJ227" s="73">
        <f t="shared" si="1723"/>
        <v>0</v>
      </c>
      <c r="CK227" s="73">
        <f t="shared" si="1724"/>
        <v>0</v>
      </c>
      <c r="CL227" s="73">
        <f t="shared" si="1725"/>
        <v>0</v>
      </c>
      <c r="CM227" s="73">
        <f>pAIDS_NoCare_AIDS_Dead_2007_2009*BC226</f>
        <v>0</v>
      </c>
      <c r="CN227" s="73">
        <f t="shared" si="1727"/>
        <v>0</v>
      </c>
      <c r="CO227" s="73">
        <f t="shared" si="1728"/>
        <v>0</v>
      </c>
      <c r="CP227" s="73">
        <f t="shared" si="1729"/>
        <v>0</v>
      </c>
      <c r="CQ227" s="73">
        <f t="shared" si="1730"/>
        <v>0</v>
      </c>
      <c r="CR227" s="73">
        <f t="shared" si="1731"/>
        <v>0</v>
      </c>
      <c r="CS227" s="73">
        <f t="shared" si="1732"/>
        <v>0</v>
      </c>
      <c r="CT227" s="73">
        <f t="shared" si="1733"/>
        <v>0</v>
      </c>
      <c r="CU227" s="73">
        <f t="shared" si="1734"/>
        <v>0</v>
      </c>
      <c r="CV227" s="73">
        <f t="shared" si="1735"/>
        <v>0</v>
      </c>
      <c r="CW227" s="73">
        <f t="shared" si="1736"/>
        <v>0</v>
      </c>
      <c r="CX227" s="73">
        <f t="shared" si="1737"/>
        <v>0</v>
      </c>
      <c r="CY227" s="73">
        <f t="shared" si="1738"/>
        <v>0</v>
      </c>
      <c r="CZ227" s="190"/>
      <c r="DA227" s="66">
        <v>2007</v>
      </c>
      <c r="DB227" s="218">
        <f t="shared" si="1707"/>
        <v>0</v>
      </c>
      <c r="DC227" s="218">
        <f t="shared" si="1708"/>
        <v>0</v>
      </c>
      <c r="DD227" s="73">
        <f t="shared" si="1709"/>
        <v>0</v>
      </c>
      <c r="DE227" s="73">
        <f t="shared" si="1710"/>
        <v>0</v>
      </c>
      <c r="DF227" s="73">
        <f t="shared" si="1711"/>
        <v>0</v>
      </c>
      <c r="DG227" s="73">
        <f t="shared" si="1712"/>
        <v>0</v>
      </c>
      <c r="DH227" s="72" t="e">
        <f t="shared" si="1739"/>
        <v>#DIV/0!</v>
      </c>
      <c r="DI227" s="72" t="e">
        <f t="shared" si="1740"/>
        <v>#DIV/0!</v>
      </c>
      <c r="DJ227" s="73">
        <f>SUM(AV224:AV227,BB224:BB227,BI224:BI227)</f>
        <v>0</v>
      </c>
      <c r="DK227" s="218">
        <v>0</v>
      </c>
      <c r="DL227" s="190"/>
    </row>
    <row r="228" spans="8:116" x14ac:dyDescent="0.25">
      <c r="V228" s="13"/>
      <c r="W228" s="66">
        <v>4</v>
      </c>
      <c r="X228" s="66">
        <v>2008</v>
      </c>
      <c r="Y228" s="69">
        <v>0</v>
      </c>
      <c r="Z228" s="69">
        <v>0</v>
      </c>
      <c r="AA228" s="69">
        <v>0</v>
      </c>
      <c r="AB228" s="69">
        <v>0</v>
      </c>
      <c r="AC228" s="69">
        <v>0</v>
      </c>
      <c r="AD228" s="69">
        <v>0</v>
      </c>
      <c r="AE228" s="69">
        <v>0</v>
      </c>
      <c r="AF228" s="69">
        <v>0</v>
      </c>
      <c r="AG228" s="69">
        <v>0</v>
      </c>
      <c r="AH228" s="69">
        <v>0</v>
      </c>
      <c r="AI228" s="69">
        <v>0</v>
      </c>
      <c r="AJ228" s="69">
        <v>0</v>
      </c>
      <c r="AK228" s="69">
        <v>0</v>
      </c>
      <c r="AL228" s="69">
        <v>0</v>
      </c>
      <c r="AM228" s="69">
        <v>0</v>
      </c>
      <c r="AN228" s="69">
        <v>0</v>
      </c>
      <c r="AO228" s="69">
        <v>0</v>
      </c>
      <c r="AP228" s="190"/>
      <c r="AQ228" s="66">
        <v>4</v>
      </c>
      <c r="AR228" s="66">
        <v>2008</v>
      </c>
      <c r="AS228" s="215">
        <f t="shared" si="1690"/>
        <v>0</v>
      </c>
      <c r="AT228" s="215">
        <f t="shared" si="1691"/>
        <v>0</v>
      </c>
      <c r="AU228" s="215">
        <f t="shared" si="1692"/>
        <v>0</v>
      </c>
      <c r="AV228" s="215">
        <f t="shared" si="1693"/>
        <v>0</v>
      </c>
      <c r="AW228" s="215">
        <f t="shared" si="1694"/>
        <v>0</v>
      </c>
      <c r="AX228" s="215">
        <f t="shared" si="1695"/>
        <v>0</v>
      </c>
      <c r="AY228" s="215">
        <f t="shared" si="1696"/>
        <v>0</v>
      </c>
      <c r="AZ228" s="215">
        <f t="shared" si="1697"/>
        <v>0</v>
      </c>
      <c r="BA228" s="215">
        <f t="shared" si="1698"/>
        <v>0</v>
      </c>
      <c r="BB228" s="215">
        <f t="shared" si="1699"/>
        <v>0</v>
      </c>
      <c r="BC228" s="215">
        <f t="shared" si="1700"/>
        <v>0</v>
      </c>
      <c r="BD228" s="215">
        <f t="shared" si="1701"/>
        <v>0</v>
      </c>
      <c r="BE228" s="215">
        <f t="shared" si="1702"/>
        <v>0</v>
      </c>
      <c r="BF228" s="215">
        <f t="shared" si="1703"/>
        <v>0</v>
      </c>
      <c r="BG228" s="215">
        <f t="shared" si="1704"/>
        <v>0</v>
      </c>
      <c r="BH228" s="215">
        <f t="shared" si="1705"/>
        <v>0</v>
      </c>
      <c r="BI228" s="215">
        <f t="shared" si="1706"/>
        <v>0</v>
      </c>
      <c r="BJ228" s="195"/>
      <c r="BK228" s="66">
        <v>4</v>
      </c>
      <c r="BL228" s="66">
        <v>2008</v>
      </c>
      <c r="BM228" s="215">
        <f t="shared" si="1713"/>
        <v>0</v>
      </c>
      <c r="BN228" s="219">
        <f t="shared" si="1714"/>
        <v>0</v>
      </c>
      <c r="BO228" s="219">
        <f t="shared" si="1715"/>
        <v>0</v>
      </c>
      <c r="BP228" s="219">
        <f t="shared" si="1741"/>
        <v>0</v>
      </c>
      <c r="BQ228" s="219">
        <f t="shared" si="1716"/>
        <v>0</v>
      </c>
      <c r="BR228" s="220">
        <f t="shared" si="1742"/>
        <v>0</v>
      </c>
      <c r="BS228" s="219">
        <f t="shared" si="1743"/>
        <v>0</v>
      </c>
      <c r="BT228" s="219">
        <f t="shared" si="1744"/>
        <v>0</v>
      </c>
      <c r="BU228" s="219">
        <f t="shared" si="1745"/>
        <v>0</v>
      </c>
      <c r="BV228" s="219">
        <f t="shared" si="1746"/>
        <v>0</v>
      </c>
      <c r="BW228" s="219">
        <f t="shared" si="1747"/>
        <v>0</v>
      </c>
      <c r="BX228" s="220">
        <f t="shared" si="1748"/>
        <v>0</v>
      </c>
      <c r="BY228" s="195"/>
      <c r="BZ228" s="192">
        <v>4</v>
      </c>
      <c r="CA228" s="66">
        <v>2008</v>
      </c>
      <c r="CB228" s="218">
        <f>pAsympt_NoCare_Asympt_Dead_2007_2009*AS227</f>
        <v>0</v>
      </c>
      <c r="CC228" s="218">
        <f t="shared" si="1717"/>
        <v>0</v>
      </c>
      <c r="CD228" s="73">
        <f t="shared" si="1718"/>
        <v>0</v>
      </c>
      <c r="CE228" s="73">
        <f>pInt_NoCare_Int_Dead_2007_2009*AW227</f>
        <v>0</v>
      </c>
      <c r="CF228" s="73">
        <f t="shared" si="1719"/>
        <v>0</v>
      </c>
      <c r="CG228" s="73">
        <f t="shared" si="1720"/>
        <v>0</v>
      </c>
      <c r="CH228" s="73">
        <f t="shared" si="1721"/>
        <v>0</v>
      </c>
      <c r="CI228" s="73">
        <f t="shared" si="1722"/>
        <v>0</v>
      </c>
      <c r="CJ228" s="73">
        <f t="shared" si="1723"/>
        <v>0</v>
      </c>
      <c r="CK228" s="73">
        <f t="shared" si="1724"/>
        <v>0</v>
      </c>
      <c r="CL228" s="73">
        <f t="shared" si="1725"/>
        <v>0</v>
      </c>
      <c r="CM228" s="73">
        <f>pAIDS_NoCare_AIDS_Dead_2007_2009*BC227</f>
        <v>0</v>
      </c>
      <c r="CN228" s="73">
        <f t="shared" si="1727"/>
        <v>0</v>
      </c>
      <c r="CO228" s="73">
        <f t="shared" si="1728"/>
        <v>0</v>
      </c>
      <c r="CP228" s="73">
        <f t="shared" si="1729"/>
        <v>0</v>
      </c>
      <c r="CQ228" s="73">
        <f t="shared" si="1730"/>
        <v>0</v>
      </c>
      <c r="CR228" s="73">
        <f t="shared" si="1731"/>
        <v>0</v>
      </c>
      <c r="CS228" s="73">
        <f t="shared" si="1732"/>
        <v>0</v>
      </c>
      <c r="CT228" s="73">
        <f t="shared" si="1733"/>
        <v>0</v>
      </c>
      <c r="CU228" s="73">
        <f t="shared" si="1734"/>
        <v>0</v>
      </c>
      <c r="CV228" s="73">
        <f t="shared" si="1735"/>
        <v>0</v>
      </c>
      <c r="CW228" s="73">
        <f t="shared" si="1736"/>
        <v>0</v>
      </c>
      <c r="CX228" s="73">
        <f t="shared" si="1737"/>
        <v>0</v>
      </c>
      <c r="CY228" s="73">
        <f t="shared" si="1738"/>
        <v>0</v>
      </c>
      <c r="CZ228" s="190"/>
      <c r="DA228" s="66">
        <v>2008</v>
      </c>
      <c r="DB228" s="218">
        <f t="shared" si="1707"/>
        <v>0</v>
      </c>
      <c r="DC228" s="218">
        <f t="shared" si="1708"/>
        <v>0</v>
      </c>
      <c r="DD228" s="73">
        <f t="shared" si="1709"/>
        <v>0</v>
      </c>
      <c r="DE228" s="73">
        <f t="shared" si="1710"/>
        <v>0</v>
      </c>
      <c r="DF228" s="73">
        <f t="shared" si="1711"/>
        <v>0</v>
      </c>
      <c r="DG228" s="73">
        <f t="shared" si="1712"/>
        <v>0</v>
      </c>
      <c r="DH228" s="72" t="e">
        <f t="shared" si="1739"/>
        <v>#DIV/0!</v>
      </c>
      <c r="DI228" s="72" t="e">
        <f t="shared" si="1740"/>
        <v>#DIV/0!</v>
      </c>
      <c r="DJ228" s="73">
        <f>SUM(AV224:AV228,BB224:BB228,BI224:BI228)</f>
        <v>0</v>
      </c>
      <c r="DK228" s="218">
        <v>0</v>
      </c>
      <c r="DL228" s="190"/>
    </row>
    <row r="229" spans="8:116" x14ac:dyDescent="0.25">
      <c r="V229" s="13"/>
      <c r="W229" s="66">
        <v>5</v>
      </c>
      <c r="X229" s="66">
        <v>2009</v>
      </c>
      <c r="Y229" s="69">
        <v>0</v>
      </c>
      <c r="Z229" s="69">
        <v>0</v>
      </c>
      <c r="AA229" s="69">
        <v>0</v>
      </c>
      <c r="AB229" s="69">
        <v>0</v>
      </c>
      <c r="AC229" s="69">
        <v>0</v>
      </c>
      <c r="AD229" s="69">
        <v>0</v>
      </c>
      <c r="AE229" s="69">
        <v>0</v>
      </c>
      <c r="AF229" s="69">
        <v>0</v>
      </c>
      <c r="AG229" s="69">
        <v>0</v>
      </c>
      <c r="AH229" s="69">
        <v>0</v>
      </c>
      <c r="AI229" s="69">
        <v>0</v>
      </c>
      <c r="AJ229" s="69">
        <v>0</v>
      </c>
      <c r="AK229" s="69">
        <v>0</v>
      </c>
      <c r="AL229" s="69">
        <v>0</v>
      </c>
      <c r="AM229" s="69">
        <v>0</v>
      </c>
      <c r="AN229" s="69">
        <v>0</v>
      </c>
      <c r="AO229" s="69">
        <v>0</v>
      </c>
      <c r="AP229" s="190"/>
      <c r="AQ229" s="66">
        <v>5</v>
      </c>
      <c r="AR229" s="66">
        <v>2009</v>
      </c>
      <c r="AS229" s="215">
        <f t="shared" si="1690"/>
        <v>0</v>
      </c>
      <c r="AT229" s="215">
        <f t="shared" si="1691"/>
        <v>0</v>
      </c>
      <c r="AU229" s="215">
        <f t="shared" si="1692"/>
        <v>0</v>
      </c>
      <c r="AV229" s="215">
        <f t="shared" si="1693"/>
        <v>0</v>
      </c>
      <c r="AW229" s="215">
        <f t="shared" si="1694"/>
        <v>0</v>
      </c>
      <c r="AX229" s="215">
        <f t="shared" si="1695"/>
        <v>0</v>
      </c>
      <c r="AY229" s="215">
        <f t="shared" si="1696"/>
        <v>0</v>
      </c>
      <c r="AZ229" s="215">
        <f t="shared" si="1697"/>
        <v>0</v>
      </c>
      <c r="BA229" s="215">
        <f t="shared" si="1698"/>
        <v>0</v>
      </c>
      <c r="BB229" s="215">
        <f t="shared" si="1699"/>
        <v>0</v>
      </c>
      <c r="BC229" s="215">
        <f t="shared" si="1700"/>
        <v>0</v>
      </c>
      <c r="BD229" s="215">
        <f t="shared" si="1701"/>
        <v>0</v>
      </c>
      <c r="BE229" s="215">
        <f t="shared" si="1702"/>
        <v>0</v>
      </c>
      <c r="BF229" s="215">
        <f t="shared" si="1703"/>
        <v>0</v>
      </c>
      <c r="BG229" s="215">
        <f t="shared" si="1704"/>
        <v>0</v>
      </c>
      <c r="BH229" s="215">
        <f t="shared" si="1705"/>
        <v>0</v>
      </c>
      <c r="BI229" s="215">
        <f t="shared" si="1706"/>
        <v>0</v>
      </c>
      <c r="BJ229" s="195"/>
      <c r="BK229" s="66">
        <v>5</v>
      </c>
      <c r="BL229" s="66">
        <v>2009</v>
      </c>
      <c r="BM229" s="215">
        <f t="shared" si="1713"/>
        <v>0</v>
      </c>
      <c r="BN229" s="219">
        <f t="shared" si="1714"/>
        <v>0</v>
      </c>
      <c r="BO229" s="219">
        <f t="shared" si="1715"/>
        <v>0</v>
      </c>
      <c r="BP229" s="219">
        <f t="shared" si="1741"/>
        <v>0</v>
      </c>
      <c r="BQ229" s="219">
        <f t="shared" si="1716"/>
        <v>0</v>
      </c>
      <c r="BR229" s="220">
        <f t="shared" si="1742"/>
        <v>0</v>
      </c>
      <c r="BS229" s="219">
        <f t="shared" si="1743"/>
        <v>0</v>
      </c>
      <c r="BT229" s="219">
        <f t="shared" si="1744"/>
        <v>0</v>
      </c>
      <c r="BU229" s="219">
        <f t="shared" si="1745"/>
        <v>0</v>
      </c>
      <c r="BV229" s="219">
        <f t="shared" si="1746"/>
        <v>0</v>
      </c>
      <c r="BW229" s="219">
        <f t="shared" si="1747"/>
        <v>0</v>
      </c>
      <c r="BX229" s="220">
        <f t="shared" si="1748"/>
        <v>0</v>
      </c>
      <c r="BY229" s="195"/>
      <c r="BZ229" s="192">
        <v>5</v>
      </c>
      <c r="CA229" s="66">
        <v>2009</v>
      </c>
      <c r="CB229" s="218">
        <f>pAsympt_NoCare_Asympt_Dead_2007_2009*AS228</f>
        <v>0</v>
      </c>
      <c r="CC229" s="218">
        <f t="shared" si="1717"/>
        <v>0</v>
      </c>
      <c r="CD229" s="73">
        <f t="shared" si="1718"/>
        <v>0</v>
      </c>
      <c r="CE229" s="73">
        <f>pInt_NoCare_Int_Dead_2007_2009*AW228</f>
        <v>0</v>
      </c>
      <c r="CF229" s="73">
        <f t="shared" si="1719"/>
        <v>0</v>
      </c>
      <c r="CG229" s="73">
        <f t="shared" si="1720"/>
        <v>0</v>
      </c>
      <c r="CH229" s="73">
        <f t="shared" si="1721"/>
        <v>0</v>
      </c>
      <c r="CI229" s="73">
        <f t="shared" si="1722"/>
        <v>0</v>
      </c>
      <c r="CJ229" s="73">
        <f t="shared" si="1723"/>
        <v>0</v>
      </c>
      <c r="CK229" s="73">
        <f t="shared" si="1724"/>
        <v>0</v>
      </c>
      <c r="CL229" s="73">
        <f t="shared" si="1725"/>
        <v>0</v>
      </c>
      <c r="CM229" s="73">
        <f>pAIDS_NoCare_AIDS_Dead_2007_2009*BC228</f>
        <v>0</v>
      </c>
      <c r="CN229" s="73">
        <f t="shared" si="1727"/>
        <v>0</v>
      </c>
      <c r="CO229" s="73">
        <f t="shared" si="1728"/>
        <v>0</v>
      </c>
      <c r="CP229" s="73">
        <f t="shared" si="1729"/>
        <v>0</v>
      </c>
      <c r="CQ229" s="73">
        <f t="shared" si="1730"/>
        <v>0</v>
      </c>
      <c r="CR229" s="73">
        <f t="shared" si="1731"/>
        <v>0</v>
      </c>
      <c r="CS229" s="73">
        <f t="shared" si="1732"/>
        <v>0</v>
      </c>
      <c r="CT229" s="73">
        <f t="shared" si="1733"/>
        <v>0</v>
      </c>
      <c r="CU229" s="73">
        <f t="shared" si="1734"/>
        <v>0</v>
      </c>
      <c r="CV229" s="73">
        <f t="shared" si="1735"/>
        <v>0</v>
      </c>
      <c r="CW229" s="73">
        <f t="shared" si="1736"/>
        <v>0</v>
      </c>
      <c r="CX229" s="73">
        <f t="shared" si="1737"/>
        <v>0</v>
      </c>
      <c r="CY229" s="73">
        <f t="shared" si="1738"/>
        <v>0</v>
      </c>
      <c r="CZ229" s="190"/>
      <c r="DA229" s="66">
        <v>2009</v>
      </c>
      <c r="DB229" s="218">
        <f t="shared" si="1707"/>
        <v>0</v>
      </c>
      <c r="DC229" s="218">
        <f t="shared" si="1708"/>
        <v>0</v>
      </c>
      <c r="DD229" s="73">
        <f t="shared" si="1709"/>
        <v>0</v>
      </c>
      <c r="DE229" s="73">
        <f t="shared" si="1710"/>
        <v>0</v>
      </c>
      <c r="DF229" s="73">
        <f t="shared" si="1711"/>
        <v>0</v>
      </c>
      <c r="DG229" s="73">
        <f t="shared" si="1712"/>
        <v>0</v>
      </c>
      <c r="DH229" s="72" t="e">
        <f t="shared" si="1739"/>
        <v>#DIV/0!</v>
      </c>
      <c r="DI229" s="72" t="e">
        <f t="shared" si="1740"/>
        <v>#DIV/0!</v>
      </c>
      <c r="DJ229" s="73">
        <f>SUM(AV224:AV229,BB224:BB229,BI224:BI229)</f>
        <v>0</v>
      </c>
      <c r="DK229" s="218">
        <v>0</v>
      </c>
      <c r="DL229" s="190"/>
    </row>
    <row r="230" spans="8:116" x14ac:dyDescent="0.25">
      <c r="V230" s="13"/>
      <c r="W230" s="66">
        <v>6</v>
      </c>
      <c r="X230" s="66">
        <v>2010</v>
      </c>
      <c r="Y230" s="69">
        <v>0</v>
      </c>
      <c r="Z230" s="69">
        <v>0</v>
      </c>
      <c r="AA230" s="69">
        <v>0</v>
      </c>
      <c r="AB230" s="69">
        <v>0</v>
      </c>
      <c r="AC230" s="69">
        <v>0</v>
      </c>
      <c r="AD230" s="69">
        <v>0</v>
      </c>
      <c r="AE230" s="69">
        <v>0</v>
      </c>
      <c r="AF230" s="69">
        <v>0</v>
      </c>
      <c r="AG230" s="69">
        <v>0</v>
      </c>
      <c r="AH230" s="69">
        <v>0</v>
      </c>
      <c r="AI230" s="69">
        <v>0</v>
      </c>
      <c r="AJ230" s="69">
        <v>0</v>
      </c>
      <c r="AK230" s="69">
        <v>0</v>
      </c>
      <c r="AL230" s="69">
        <v>0</v>
      </c>
      <c r="AM230" s="69">
        <v>0</v>
      </c>
      <c r="AN230" s="69">
        <v>0</v>
      </c>
      <c r="AO230" s="69">
        <v>0</v>
      </c>
      <c r="AP230" s="190"/>
      <c r="AQ230" s="66">
        <v>6</v>
      </c>
      <c r="AR230" s="66">
        <v>2010</v>
      </c>
      <c r="AS230" s="215">
        <f t="shared" si="1690"/>
        <v>0</v>
      </c>
      <c r="AT230" s="215">
        <f t="shared" si="1691"/>
        <v>0</v>
      </c>
      <c r="AU230" s="215">
        <f t="shared" si="1692"/>
        <v>0</v>
      </c>
      <c r="AV230" s="215">
        <f t="shared" si="1693"/>
        <v>0</v>
      </c>
      <c r="AW230" s="215">
        <f t="shared" si="1694"/>
        <v>0</v>
      </c>
      <c r="AX230" s="215">
        <f t="shared" si="1695"/>
        <v>0</v>
      </c>
      <c r="AY230" s="215">
        <f t="shared" si="1696"/>
        <v>0</v>
      </c>
      <c r="AZ230" s="215">
        <f t="shared" si="1697"/>
        <v>0</v>
      </c>
      <c r="BA230" s="215">
        <f t="shared" si="1698"/>
        <v>0</v>
      </c>
      <c r="BB230" s="215">
        <f t="shared" si="1699"/>
        <v>0</v>
      </c>
      <c r="BC230" s="215">
        <f t="shared" si="1700"/>
        <v>0</v>
      </c>
      <c r="BD230" s="215">
        <f t="shared" si="1701"/>
        <v>0</v>
      </c>
      <c r="BE230" s="215">
        <f t="shared" si="1702"/>
        <v>0</v>
      </c>
      <c r="BF230" s="215">
        <f t="shared" si="1703"/>
        <v>0</v>
      </c>
      <c r="BG230" s="215">
        <f t="shared" si="1704"/>
        <v>0</v>
      </c>
      <c r="BH230" s="215">
        <f t="shared" si="1705"/>
        <v>0</v>
      </c>
      <c r="BI230" s="215">
        <f t="shared" si="1706"/>
        <v>0</v>
      </c>
      <c r="BJ230" s="195"/>
      <c r="BK230" s="66">
        <v>6</v>
      </c>
      <c r="BL230" s="66">
        <v>2010</v>
      </c>
      <c r="BM230" s="215">
        <f t="shared" si="1713"/>
        <v>0</v>
      </c>
      <c r="BN230" s="219">
        <f t="shared" si="1714"/>
        <v>0</v>
      </c>
      <c r="BO230" s="219">
        <f t="shared" si="1715"/>
        <v>0</v>
      </c>
      <c r="BP230" s="219">
        <f t="shared" si="1741"/>
        <v>0</v>
      </c>
      <c r="BQ230" s="219">
        <f t="shared" si="1716"/>
        <v>0</v>
      </c>
      <c r="BR230" s="220">
        <f t="shared" si="1742"/>
        <v>0</v>
      </c>
      <c r="BS230" s="219">
        <f t="shared" si="1743"/>
        <v>0</v>
      </c>
      <c r="BT230" s="219">
        <f t="shared" si="1744"/>
        <v>0</v>
      </c>
      <c r="BU230" s="219">
        <f t="shared" si="1745"/>
        <v>0</v>
      </c>
      <c r="BV230" s="219">
        <f t="shared" si="1746"/>
        <v>0</v>
      </c>
      <c r="BW230" s="219">
        <f t="shared" si="1747"/>
        <v>0</v>
      </c>
      <c r="BX230" s="220">
        <f t="shared" si="1748"/>
        <v>0</v>
      </c>
      <c r="BY230" s="195"/>
      <c r="BZ230" s="192">
        <v>6</v>
      </c>
      <c r="CA230" s="66">
        <v>2010</v>
      </c>
      <c r="CB230" s="218">
        <f>pAsympt_NoCare_Asympt_Dead_2010_2012*AS229</f>
        <v>0</v>
      </c>
      <c r="CC230" s="218">
        <f t="shared" si="1717"/>
        <v>0</v>
      </c>
      <c r="CD230" s="73">
        <f t="shared" si="1718"/>
        <v>0</v>
      </c>
      <c r="CE230" s="73">
        <f>pInt_NoCare_Int_Dead_2010_2012*AW229</f>
        <v>0</v>
      </c>
      <c r="CF230" s="73">
        <f t="shared" si="1719"/>
        <v>0</v>
      </c>
      <c r="CG230" s="73">
        <f t="shared" si="1720"/>
        <v>0</v>
      </c>
      <c r="CH230" s="73">
        <f t="shared" si="1721"/>
        <v>0</v>
      </c>
      <c r="CI230" s="73">
        <f t="shared" si="1722"/>
        <v>0</v>
      </c>
      <c r="CJ230" s="73">
        <f t="shared" si="1723"/>
        <v>0</v>
      </c>
      <c r="CK230" s="73">
        <f t="shared" si="1724"/>
        <v>0</v>
      </c>
      <c r="CL230" s="73">
        <f t="shared" si="1725"/>
        <v>0</v>
      </c>
      <c r="CM230" s="73">
        <f>pAIDS_NoCare_AIDS_Dead_2010_2012*BC229</f>
        <v>0</v>
      </c>
      <c r="CN230" s="73">
        <f t="shared" si="1727"/>
        <v>0</v>
      </c>
      <c r="CO230" s="73">
        <f t="shared" si="1728"/>
        <v>0</v>
      </c>
      <c r="CP230" s="73">
        <f t="shared" si="1729"/>
        <v>0</v>
      </c>
      <c r="CQ230" s="73">
        <f t="shared" si="1730"/>
        <v>0</v>
      </c>
      <c r="CR230" s="73">
        <f t="shared" si="1731"/>
        <v>0</v>
      </c>
      <c r="CS230" s="73">
        <f t="shared" si="1732"/>
        <v>0</v>
      </c>
      <c r="CT230" s="73">
        <f t="shared" si="1733"/>
        <v>0</v>
      </c>
      <c r="CU230" s="73">
        <f t="shared" si="1734"/>
        <v>0</v>
      </c>
      <c r="CV230" s="73">
        <f t="shared" si="1735"/>
        <v>0</v>
      </c>
      <c r="CW230" s="73">
        <f t="shared" si="1736"/>
        <v>0</v>
      </c>
      <c r="CX230" s="73">
        <f t="shared" si="1737"/>
        <v>0</v>
      </c>
      <c r="CY230" s="73">
        <f t="shared" si="1738"/>
        <v>0</v>
      </c>
      <c r="CZ230" s="190"/>
      <c r="DA230" s="66">
        <v>2010</v>
      </c>
      <c r="DB230" s="218">
        <f t="shared" si="1707"/>
        <v>0</v>
      </c>
      <c r="DC230" s="218">
        <f t="shared" si="1708"/>
        <v>0</v>
      </c>
      <c r="DD230" s="73">
        <f t="shared" si="1709"/>
        <v>0</v>
      </c>
      <c r="DE230" s="73">
        <f t="shared" si="1710"/>
        <v>0</v>
      </c>
      <c r="DF230" s="73">
        <f t="shared" si="1711"/>
        <v>0</v>
      </c>
      <c r="DG230" s="73">
        <f t="shared" si="1712"/>
        <v>0</v>
      </c>
      <c r="DH230" s="72" t="e">
        <f t="shared" si="1739"/>
        <v>#DIV/0!</v>
      </c>
      <c r="DI230" s="72" t="e">
        <f t="shared" si="1740"/>
        <v>#DIV/0!</v>
      </c>
      <c r="DJ230" s="73">
        <f>SUM(AV224:AV230,BB224:BB230,BI224:BI230)</f>
        <v>0</v>
      </c>
      <c r="DK230" s="218">
        <f>SUM(AV230,BB230,BI230)</f>
        <v>0</v>
      </c>
      <c r="DL230" s="190"/>
    </row>
    <row r="231" spans="8:116" x14ac:dyDescent="0.25">
      <c r="V231" s="13"/>
      <c r="W231" s="66">
        <v>7</v>
      </c>
      <c r="X231" s="66">
        <v>2011</v>
      </c>
      <c r="Y231" s="69">
        <v>0</v>
      </c>
      <c r="Z231" s="69">
        <v>0</v>
      </c>
      <c r="AA231" s="69">
        <v>0</v>
      </c>
      <c r="AB231" s="69">
        <v>0</v>
      </c>
      <c r="AC231" s="69">
        <v>0</v>
      </c>
      <c r="AD231" s="69">
        <v>0</v>
      </c>
      <c r="AE231" s="69">
        <v>0</v>
      </c>
      <c r="AF231" s="69">
        <v>0</v>
      </c>
      <c r="AG231" s="69">
        <v>0</v>
      </c>
      <c r="AH231" s="69">
        <v>0</v>
      </c>
      <c r="AI231" s="69">
        <v>0</v>
      </c>
      <c r="AJ231" s="69">
        <v>0</v>
      </c>
      <c r="AK231" s="69">
        <v>0</v>
      </c>
      <c r="AL231" s="69">
        <v>0</v>
      </c>
      <c r="AM231" s="69">
        <v>0</v>
      </c>
      <c r="AN231" s="69">
        <v>0</v>
      </c>
      <c r="AO231" s="69">
        <v>0</v>
      </c>
      <c r="AP231" s="190"/>
      <c r="AQ231" s="66">
        <v>7</v>
      </c>
      <c r="AR231" s="66">
        <v>2011</v>
      </c>
      <c r="AS231" s="215">
        <f t="shared" si="1690"/>
        <v>0</v>
      </c>
      <c r="AT231" s="215">
        <f t="shared" si="1691"/>
        <v>0</v>
      </c>
      <c r="AU231" s="215">
        <f t="shared" si="1692"/>
        <v>0</v>
      </c>
      <c r="AV231" s="215">
        <f t="shared" si="1693"/>
        <v>0</v>
      </c>
      <c r="AW231" s="215">
        <f t="shared" si="1694"/>
        <v>0</v>
      </c>
      <c r="AX231" s="215">
        <f t="shared" si="1695"/>
        <v>0</v>
      </c>
      <c r="AY231" s="215">
        <f t="shared" si="1696"/>
        <v>0</v>
      </c>
      <c r="AZ231" s="215">
        <f t="shared" si="1697"/>
        <v>0</v>
      </c>
      <c r="BA231" s="215">
        <f t="shared" si="1698"/>
        <v>0</v>
      </c>
      <c r="BB231" s="215">
        <f t="shared" si="1699"/>
        <v>0</v>
      </c>
      <c r="BC231" s="215">
        <f t="shared" si="1700"/>
        <v>0</v>
      </c>
      <c r="BD231" s="215">
        <f t="shared" si="1701"/>
        <v>0</v>
      </c>
      <c r="BE231" s="215">
        <f t="shared" si="1702"/>
        <v>0</v>
      </c>
      <c r="BF231" s="215">
        <f t="shared" si="1703"/>
        <v>0</v>
      </c>
      <c r="BG231" s="215">
        <f t="shared" si="1704"/>
        <v>0</v>
      </c>
      <c r="BH231" s="215">
        <f t="shared" si="1705"/>
        <v>0</v>
      </c>
      <c r="BI231" s="215">
        <f t="shared" si="1706"/>
        <v>0</v>
      </c>
      <c r="BJ231" s="195"/>
      <c r="BK231" s="66">
        <v>7</v>
      </c>
      <c r="BL231" s="66">
        <v>2011</v>
      </c>
      <c r="BM231" s="215">
        <f t="shared" si="1713"/>
        <v>0</v>
      </c>
      <c r="BN231" s="219">
        <f t="shared" si="1714"/>
        <v>0</v>
      </c>
      <c r="BO231" s="219">
        <f t="shared" si="1715"/>
        <v>0</v>
      </c>
      <c r="BP231" s="219">
        <f t="shared" si="1741"/>
        <v>0</v>
      </c>
      <c r="BQ231" s="219">
        <f t="shared" si="1716"/>
        <v>0</v>
      </c>
      <c r="BR231" s="220">
        <f t="shared" si="1742"/>
        <v>0</v>
      </c>
      <c r="BS231" s="219">
        <f t="shared" si="1743"/>
        <v>0</v>
      </c>
      <c r="BT231" s="219">
        <f t="shared" si="1744"/>
        <v>0</v>
      </c>
      <c r="BU231" s="219">
        <f t="shared" si="1745"/>
        <v>0</v>
      </c>
      <c r="BV231" s="219">
        <f t="shared" si="1746"/>
        <v>0</v>
      </c>
      <c r="BW231" s="219">
        <f t="shared" si="1747"/>
        <v>0</v>
      </c>
      <c r="BX231" s="220">
        <f t="shared" si="1748"/>
        <v>0</v>
      </c>
      <c r="BY231" s="195"/>
      <c r="BZ231" s="192">
        <v>7</v>
      </c>
      <c r="CA231" s="66">
        <v>2011</v>
      </c>
      <c r="CB231" s="218">
        <f>pAsympt_NoCare_Asympt_Dead_2010_2012*AS230</f>
        <v>0</v>
      </c>
      <c r="CC231" s="218">
        <f t="shared" si="1717"/>
        <v>0</v>
      </c>
      <c r="CD231" s="73">
        <f t="shared" si="1718"/>
        <v>0</v>
      </c>
      <c r="CE231" s="73">
        <f>pInt_NoCare_Int_Dead_2010_2012*AW230</f>
        <v>0</v>
      </c>
      <c r="CF231" s="73">
        <f t="shared" si="1719"/>
        <v>0</v>
      </c>
      <c r="CG231" s="73">
        <f t="shared" si="1720"/>
        <v>0</v>
      </c>
      <c r="CH231" s="73">
        <f t="shared" si="1721"/>
        <v>0</v>
      </c>
      <c r="CI231" s="73">
        <f t="shared" si="1722"/>
        <v>0</v>
      </c>
      <c r="CJ231" s="73">
        <f t="shared" si="1723"/>
        <v>0</v>
      </c>
      <c r="CK231" s="73">
        <f t="shared" si="1724"/>
        <v>0</v>
      </c>
      <c r="CL231" s="73">
        <f t="shared" si="1725"/>
        <v>0</v>
      </c>
      <c r="CM231" s="73">
        <f>pAIDS_NoCare_AIDS_Dead_2010_2012*BC230</f>
        <v>0</v>
      </c>
      <c r="CN231" s="73">
        <f t="shared" si="1727"/>
        <v>0</v>
      </c>
      <c r="CO231" s="73">
        <f t="shared" si="1728"/>
        <v>0</v>
      </c>
      <c r="CP231" s="73">
        <f t="shared" si="1729"/>
        <v>0</v>
      </c>
      <c r="CQ231" s="73">
        <f t="shared" si="1730"/>
        <v>0</v>
      </c>
      <c r="CR231" s="73">
        <f t="shared" si="1731"/>
        <v>0</v>
      </c>
      <c r="CS231" s="73">
        <f t="shared" si="1732"/>
        <v>0</v>
      </c>
      <c r="CT231" s="73">
        <f t="shared" si="1733"/>
        <v>0</v>
      </c>
      <c r="CU231" s="73">
        <f t="shared" si="1734"/>
        <v>0</v>
      </c>
      <c r="CV231" s="73">
        <f t="shared" si="1735"/>
        <v>0</v>
      </c>
      <c r="CW231" s="73">
        <f t="shared" si="1736"/>
        <v>0</v>
      </c>
      <c r="CX231" s="73">
        <f t="shared" si="1737"/>
        <v>0</v>
      </c>
      <c r="CY231" s="73">
        <f t="shared" si="1738"/>
        <v>0</v>
      </c>
      <c r="CZ231" s="190"/>
      <c r="DA231" s="66">
        <v>2011</v>
      </c>
      <c r="DB231" s="218">
        <f t="shared" si="1707"/>
        <v>0</v>
      </c>
      <c r="DC231" s="218">
        <f t="shared" si="1708"/>
        <v>0</v>
      </c>
      <c r="DD231" s="73">
        <f t="shared" si="1709"/>
        <v>0</v>
      </c>
      <c r="DE231" s="73">
        <f t="shared" si="1710"/>
        <v>0</v>
      </c>
      <c r="DF231" s="73">
        <f t="shared" si="1711"/>
        <v>0</v>
      </c>
      <c r="DG231" s="73">
        <f t="shared" si="1712"/>
        <v>0</v>
      </c>
      <c r="DH231" s="72" t="e">
        <f t="shared" si="1739"/>
        <v>#DIV/0!</v>
      </c>
      <c r="DI231" s="72" t="e">
        <f t="shared" si="1740"/>
        <v>#DIV/0!</v>
      </c>
      <c r="DJ231" s="73">
        <f>SUM(AV224:AV231,BB224:BB231,BI224:BI231)</f>
        <v>0</v>
      </c>
      <c r="DK231" s="218">
        <f>SUM(AV230:AV231,BB230:BB231,BI230:BI231)</f>
        <v>0</v>
      </c>
      <c r="DL231" s="190"/>
    </row>
    <row r="232" spans="8:116" x14ac:dyDescent="0.25">
      <c r="V232" s="13"/>
      <c r="W232" s="66">
        <v>8</v>
      </c>
      <c r="X232" s="66">
        <v>2012</v>
      </c>
      <c r="Y232" s="69">
        <v>0</v>
      </c>
      <c r="Z232" s="69">
        <v>0</v>
      </c>
      <c r="AA232" s="69">
        <v>0</v>
      </c>
      <c r="AB232" s="69">
        <v>0</v>
      </c>
      <c r="AC232" s="69">
        <v>0</v>
      </c>
      <c r="AD232" s="69">
        <v>0</v>
      </c>
      <c r="AE232" s="69">
        <v>0</v>
      </c>
      <c r="AF232" s="69">
        <v>0</v>
      </c>
      <c r="AG232" s="69">
        <v>0</v>
      </c>
      <c r="AH232" s="69">
        <v>0</v>
      </c>
      <c r="AI232" s="69">
        <v>0</v>
      </c>
      <c r="AJ232" s="69">
        <v>0</v>
      </c>
      <c r="AK232" s="69">
        <v>0</v>
      </c>
      <c r="AL232" s="69">
        <v>0</v>
      </c>
      <c r="AM232" s="69">
        <v>0</v>
      </c>
      <c r="AN232" s="69">
        <v>0</v>
      </c>
      <c r="AO232" s="69">
        <v>0</v>
      </c>
      <c r="AP232" s="190"/>
      <c r="AQ232" s="66">
        <v>8</v>
      </c>
      <c r="AR232" s="66">
        <v>2012</v>
      </c>
      <c r="AS232" s="215">
        <f t="shared" si="1690"/>
        <v>0</v>
      </c>
      <c r="AT232" s="215">
        <f t="shared" si="1691"/>
        <v>0</v>
      </c>
      <c r="AU232" s="215">
        <f t="shared" si="1692"/>
        <v>0</v>
      </c>
      <c r="AV232" s="215">
        <f t="shared" si="1693"/>
        <v>0</v>
      </c>
      <c r="AW232" s="215">
        <f t="shared" si="1694"/>
        <v>0</v>
      </c>
      <c r="AX232" s="215">
        <f t="shared" si="1695"/>
        <v>0</v>
      </c>
      <c r="AY232" s="215">
        <f t="shared" si="1696"/>
        <v>0</v>
      </c>
      <c r="AZ232" s="215">
        <f t="shared" si="1697"/>
        <v>0</v>
      </c>
      <c r="BA232" s="215">
        <f t="shared" si="1698"/>
        <v>0</v>
      </c>
      <c r="BB232" s="215">
        <f t="shared" si="1699"/>
        <v>0</v>
      </c>
      <c r="BC232" s="215">
        <f t="shared" si="1700"/>
        <v>0</v>
      </c>
      <c r="BD232" s="215">
        <f t="shared" si="1701"/>
        <v>0</v>
      </c>
      <c r="BE232" s="215">
        <f t="shared" si="1702"/>
        <v>0</v>
      </c>
      <c r="BF232" s="215">
        <f t="shared" si="1703"/>
        <v>0</v>
      </c>
      <c r="BG232" s="215">
        <f t="shared" si="1704"/>
        <v>0</v>
      </c>
      <c r="BH232" s="215">
        <f t="shared" si="1705"/>
        <v>0</v>
      </c>
      <c r="BI232" s="215">
        <f t="shared" si="1706"/>
        <v>0</v>
      </c>
      <c r="BJ232" s="195"/>
      <c r="BK232" s="66">
        <v>8</v>
      </c>
      <c r="BL232" s="66">
        <v>2012</v>
      </c>
      <c r="BM232" s="215">
        <f t="shared" si="1713"/>
        <v>0</v>
      </c>
      <c r="BN232" s="219">
        <f t="shared" si="1714"/>
        <v>0</v>
      </c>
      <c r="BO232" s="219">
        <f t="shared" si="1715"/>
        <v>0</v>
      </c>
      <c r="BP232" s="219">
        <f t="shared" si="1741"/>
        <v>0</v>
      </c>
      <c r="BQ232" s="219">
        <f t="shared" si="1716"/>
        <v>0</v>
      </c>
      <c r="BR232" s="220">
        <f t="shared" si="1742"/>
        <v>0</v>
      </c>
      <c r="BS232" s="219">
        <f t="shared" si="1743"/>
        <v>0</v>
      </c>
      <c r="BT232" s="219">
        <f t="shared" si="1744"/>
        <v>0</v>
      </c>
      <c r="BU232" s="219">
        <f t="shared" si="1745"/>
        <v>0</v>
      </c>
      <c r="BV232" s="219">
        <f t="shared" si="1746"/>
        <v>0</v>
      </c>
      <c r="BW232" s="219">
        <f t="shared" si="1747"/>
        <v>0</v>
      </c>
      <c r="BX232" s="220">
        <f t="shared" si="1748"/>
        <v>0</v>
      </c>
      <c r="BY232" s="195"/>
      <c r="BZ232" s="192">
        <v>8</v>
      </c>
      <c r="CA232" s="66">
        <v>2012</v>
      </c>
      <c r="CB232" s="218">
        <f>pAsympt_NoCare_Asympt_Dead_2010_2012*AS231</f>
        <v>0</v>
      </c>
      <c r="CC232" s="218">
        <f t="shared" si="1717"/>
        <v>0</v>
      </c>
      <c r="CD232" s="73">
        <f t="shared" si="1718"/>
        <v>0</v>
      </c>
      <c r="CE232" s="73">
        <f>pInt_NoCare_Int_Dead_2010_2012*AW231</f>
        <v>0</v>
      </c>
      <c r="CF232" s="73">
        <f t="shared" si="1719"/>
        <v>0</v>
      </c>
      <c r="CG232" s="73">
        <f t="shared" si="1720"/>
        <v>0</v>
      </c>
      <c r="CH232" s="73">
        <f t="shared" si="1721"/>
        <v>0</v>
      </c>
      <c r="CI232" s="73">
        <f t="shared" si="1722"/>
        <v>0</v>
      </c>
      <c r="CJ232" s="73">
        <f t="shared" si="1723"/>
        <v>0</v>
      </c>
      <c r="CK232" s="73">
        <f t="shared" si="1724"/>
        <v>0</v>
      </c>
      <c r="CL232" s="73">
        <f t="shared" si="1725"/>
        <v>0</v>
      </c>
      <c r="CM232" s="73">
        <f>pAIDS_NoCare_AIDS_Dead_2010_2012*BC231</f>
        <v>0</v>
      </c>
      <c r="CN232" s="73">
        <f t="shared" si="1727"/>
        <v>0</v>
      </c>
      <c r="CO232" s="73">
        <f t="shared" si="1728"/>
        <v>0</v>
      </c>
      <c r="CP232" s="73">
        <f t="shared" si="1729"/>
        <v>0</v>
      </c>
      <c r="CQ232" s="73">
        <f t="shared" si="1730"/>
        <v>0</v>
      </c>
      <c r="CR232" s="73">
        <f t="shared" si="1731"/>
        <v>0</v>
      </c>
      <c r="CS232" s="73">
        <f t="shared" si="1732"/>
        <v>0</v>
      </c>
      <c r="CT232" s="73">
        <f t="shared" si="1733"/>
        <v>0</v>
      </c>
      <c r="CU232" s="73">
        <f t="shared" si="1734"/>
        <v>0</v>
      </c>
      <c r="CV232" s="73">
        <f t="shared" si="1735"/>
        <v>0</v>
      </c>
      <c r="CW232" s="73">
        <f t="shared" si="1736"/>
        <v>0</v>
      </c>
      <c r="CX232" s="73">
        <f t="shared" si="1737"/>
        <v>0</v>
      </c>
      <c r="CY232" s="73">
        <f t="shared" si="1738"/>
        <v>0</v>
      </c>
      <c r="CZ232" s="190"/>
      <c r="DA232" s="66">
        <v>2012</v>
      </c>
      <c r="DB232" s="218">
        <f t="shared" si="1707"/>
        <v>0</v>
      </c>
      <c r="DC232" s="218">
        <f t="shared" si="1708"/>
        <v>0</v>
      </c>
      <c r="DD232" s="73">
        <f t="shared" si="1709"/>
        <v>0</v>
      </c>
      <c r="DE232" s="73">
        <f t="shared" si="1710"/>
        <v>0</v>
      </c>
      <c r="DF232" s="73">
        <f t="shared" si="1711"/>
        <v>0</v>
      </c>
      <c r="DG232" s="73">
        <f t="shared" si="1712"/>
        <v>0</v>
      </c>
      <c r="DH232" s="72" t="e">
        <f t="shared" si="1739"/>
        <v>#DIV/0!</v>
      </c>
      <c r="DI232" s="72" t="e">
        <f t="shared" si="1740"/>
        <v>#DIV/0!</v>
      </c>
      <c r="DJ232" s="73">
        <f>SUM(AV224:AV232,BB224:BB232,BI224:BI232)</f>
        <v>0</v>
      </c>
      <c r="DK232" s="73">
        <f>SUM(AV230:AV232,BB230:BB232,BI230:BI232)</f>
        <v>0</v>
      </c>
      <c r="DL232" s="190"/>
    </row>
    <row r="233" spans="8:116" x14ac:dyDescent="0.25">
      <c r="V233" s="13"/>
      <c r="W233" s="66">
        <v>9</v>
      </c>
      <c r="X233" s="66">
        <v>2013</v>
      </c>
      <c r="Y233" s="69">
        <v>0</v>
      </c>
      <c r="Z233" s="69">
        <v>0</v>
      </c>
      <c r="AA233" s="69">
        <v>0</v>
      </c>
      <c r="AB233" s="69">
        <v>0</v>
      </c>
      <c r="AC233" s="69">
        <v>0</v>
      </c>
      <c r="AD233" s="69">
        <v>0</v>
      </c>
      <c r="AE233" s="69">
        <v>0</v>
      </c>
      <c r="AF233" s="69">
        <v>0</v>
      </c>
      <c r="AG233" s="69">
        <v>0</v>
      </c>
      <c r="AH233" s="69">
        <v>0</v>
      </c>
      <c r="AI233" s="69">
        <v>0</v>
      </c>
      <c r="AJ233" s="69">
        <v>0</v>
      </c>
      <c r="AK233" s="69">
        <v>0</v>
      </c>
      <c r="AL233" s="69">
        <v>0</v>
      </c>
      <c r="AM233" s="69">
        <v>0</v>
      </c>
      <c r="AN233" s="69">
        <v>0</v>
      </c>
      <c r="AO233" s="69">
        <v>0</v>
      </c>
      <c r="AP233" s="190"/>
      <c r="AQ233" s="66">
        <v>9</v>
      </c>
      <c r="AR233" s="66">
        <v>2013</v>
      </c>
      <c r="AS233" s="215">
        <f t="shared" si="1690"/>
        <v>0</v>
      </c>
      <c r="AT233" s="215">
        <f t="shared" si="1691"/>
        <v>0</v>
      </c>
      <c r="AU233" s="215">
        <f t="shared" si="1692"/>
        <v>0</v>
      </c>
      <c r="AV233" s="215">
        <f t="shared" si="1693"/>
        <v>0</v>
      </c>
      <c r="AW233" s="215">
        <f t="shared" si="1694"/>
        <v>0</v>
      </c>
      <c r="AX233" s="215">
        <f t="shared" si="1695"/>
        <v>0</v>
      </c>
      <c r="AY233" s="215">
        <f t="shared" si="1696"/>
        <v>0</v>
      </c>
      <c r="AZ233" s="215">
        <f t="shared" si="1697"/>
        <v>0</v>
      </c>
      <c r="BA233" s="215">
        <f t="shared" si="1698"/>
        <v>0</v>
      </c>
      <c r="BB233" s="215">
        <f t="shared" si="1699"/>
        <v>0</v>
      </c>
      <c r="BC233" s="215">
        <f t="shared" si="1700"/>
        <v>0</v>
      </c>
      <c r="BD233" s="215">
        <f t="shared" si="1701"/>
        <v>0</v>
      </c>
      <c r="BE233" s="215">
        <f t="shared" si="1702"/>
        <v>0</v>
      </c>
      <c r="BF233" s="215">
        <f t="shared" si="1703"/>
        <v>0</v>
      </c>
      <c r="BG233" s="215">
        <f t="shared" si="1704"/>
        <v>0</v>
      </c>
      <c r="BH233" s="215">
        <f t="shared" si="1705"/>
        <v>0</v>
      </c>
      <c r="BI233" s="215">
        <f t="shared" si="1706"/>
        <v>0</v>
      </c>
      <c r="BJ233" s="195"/>
      <c r="BK233" s="66">
        <v>9</v>
      </c>
      <c r="BL233" s="66">
        <v>2013</v>
      </c>
      <c r="BM233" s="215">
        <f t="shared" ref="BM233:BM243" si="1749">(AX232*pInt_InCare_Int_LTFU_2013plus_u)+(BM232*pInt_LTFU_2013plus_u)</f>
        <v>0</v>
      </c>
      <c r="BN233" s="219">
        <f t="shared" ref="BN233:BN243" si="1750">(AU232*pAsympt_LTFU_Int_LTFU_2013plus_u)+(BN232*pInt_LTFU_2013plus_u)</f>
        <v>0</v>
      </c>
      <c r="BO233" s="219">
        <f t="shared" ref="BO233:BO243" si="1751">(AY232*pInt_ART1_Int_LTFU_2013plus_u)+(BO232*pInt_LTFU_2013plus_u)</f>
        <v>0</v>
      </c>
      <c r="BP233" s="219">
        <f t="shared" ref="BP233:BP243" si="1752">(AZ232*pInt_ART2_Int_LTFU_2013plus_u)+(BP232*pInt_LTFU_2013plus_u)</f>
        <v>0</v>
      </c>
      <c r="BQ233" s="219">
        <f t="shared" ref="BQ233:BQ243" si="1753">(BD232*pAIDS_InCare_AIDS_LTFU_2013plus_u)+(BQ232*pAIDS_LTFU_2013plus_u)</f>
        <v>0</v>
      </c>
      <c r="BR233" s="220">
        <f t="shared" ref="BR233:BR243" si="1754">(BN232*pInt_LTFU_AIDS_LTFU_2013plus_u)+(BR232*pAIDS_LTFU_2013plus_u)</f>
        <v>0</v>
      </c>
      <c r="BS233" s="219">
        <f t="shared" ref="BS233:BS243" si="1755">(BM232*pInt_LTFU_AIDS_LTFU_2013plus_u)+(BS232*pAIDS_LTFU_2013plus_u)</f>
        <v>0</v>
      </c>
      <c r="BT233" s="219">
        <f t="shared" ref="BT233:BT243" si="1756">(BE232*pAIDS_ART1ear_AIDS_LTFU_2013plus_u)+(BT232*pAIDS_LTFU_2013plus_u)</f>
        <v>0</v>
      </c>
      <c r="BU233" s="219">
        <f t="shared" ref="BU233:BU243" si="1757">(BF232*pAIDS_ART1late_AIDS_LTFU_2013plus_u)+(BU232*pAIDS_LTFU_2013plus_u)</f>
        <v>0</v>
      </c>
      <c r="BV233" s="219">
        <f t="shared" ref="BV233:BV243" si="1758">(BO232*pInt_LTFU_AIDS_LTFU_2013plus_u)+(BV232*pAIDS_LTFU_2013plus_u)</f>
        <v>0</v>
      </c>
      <c r="BW233" s="219">
        <f t="shared" ref="BW233:BW243" si="1759">(BG232*pAIDS_ART2_AIDS_LTFU_2013plus_u)+(BW232*pAIDS_LTFU_2013plus_u)</f>
        <v>0</v>
      </c>
      <c r="BX233" s="220">
        <f t="shared" ref="BX233:BX243" si="1760">(BP232*pInt_LTFU_AIDS_LTFU_2013plus_u)+(BX232*pAIDS_LTFU_2013plus_u)</f>
        <v>0</v>
      </c>
      <c r="BY233" s="195"/>
      <c r="BZ233" s="192">
        <v>9</v>
      </c>
      <c r="CA233" s="66">
        <v>2013</v>
      </c>
      <c r="CB233" s="218">
        <f t="shared" ref="CB233:CB243" si="1761">pAsympt_NoCare_Asympt_Dead_2013plus_u*AS232</f>
        <v>0</v>
      </c>
      <c r="CC233" s="218">
        <f t="shared" ref="CC233:CC243" si="1762">pAsympt_InCare_Asympt_Dead_2013plus_u*AT232</f>
        <v>0</v>
      </c>
      <c r="CD233" s="73">
        <f t="shared" ref="CD233:CD243" si="1763">pAsympt_LTFU_Asympt_Dead_2013plus_u*AU232</f>
        <v>0</v>
      </c>
      <c r="CE233" s="73">
        <f t="shared" ref="CE233:CE243" si="1764">pInt_NoCare_Int_Dead_2013plus_u*AW232</f>
        <v>0</v>
      </c>
      <c r="CF233" s="73">
        <f t="shared" ref="CF233:CF243" si="1765">pInt_InCare_Int_Dead_2013plus_u*AX232</f>
        <v>0</v>
      </c>
      <c r="CG233" s="73">
        <f t="shared" ref="CG233:CG243" si="1766">pInt_ART1_Int_Dead_2013plus_u*AY232</f>
        <v>0</v>
      </c>
      <c r="CH233" s="73">
        <f t="shared" ref="CH233:CH243" si="1767">pInt_ART2_Int_Dead_2013plus_u*AZ232</f>
        <v>0</v>
      </c>
      <c r="CI233" s="73">
        <f t="shared" ref="CI233:CI243" si="1768">(BM232*pInt_LTFU_Int_Dead_2013plus_u)</f>
        <v>0</v>
      </c>
      <c r="CJ233" s="73">
        <f t="shared" ref="CJ233:CJ243" si="1769">(BN232*pInt_LTFU_Int_Dead_2013plus_u)</f>
        <v>0</v>
      </c>
      <c r="CK233" s="73">
        <f t="shared" ref="CK233:CK243" si="1770">(BO232*pInt_LTFU_Int_Dead_2013plus_u)</f>
        <v>0</v>
      </c>
      <c r="CL233" s="73">
        <f t="shared" ref="CL233:CL243" si="1771">(BP232*pInt_LTFU_Int_Dead_2013plus_u)</f>
        <v>0</v>
      </c>
      <c r="CM233" s="73">
        <f t="shared" ref="CM233:CM243" si="1772">pAIDS_NoCare_AIDS_Dead_2013plus_u*BC232</f>
        <v>0</v>
      </c>
      <c r="CN233" s="73">
        <f t="shared" ref="CN233:CN243" si="1773">pAIDS_InCare_AIDS_Dead_2013plus_u*BD232</f>
        <v>0</v>
      </c>
      <c r="CO233" s="73">
        <f t="shared" ref="CO233:CO243" si="1774">pAIDS_ART1ear_AIDS_Dead_2013plus_u*BE232</f>
        <v>0</v>
      </c>
      <c r="CP233" s="73">
        <f t="shared" ref="CP233:CP243" si="1775">pAIDS_ART1late_AIDS_Dead_2013plus_u*BF232</f>
        <v>0</v>
      </c>
      <c r="CQ233" s="73">
        <f t="shared" ref="CQ233:CQ243" si="1776">pAIDS_ART2_AIDS_Dead_2013plus_u*BG232</f>
        <v>0</v>
      </c>
      <c r="CR233" s="73">
        <f t="shared" ref="CR233:CR243" si="1777">(BQ232*pAIDS_LTFU_AIDS_Dead_2013plus_u)</f>
        <v>0</v>
      </c>
      <c r="CS233" s="73">
        <f t="shared" ref="CS233:CS243" si="1778">(BR232*pAIDS_LTFU_AIDS_Dead_2013plus_u)</f>
        <v>0</v>
      </c>
      <c r="CT233" s="73">
        <f t="shared" ref="CT233:CT243" si="1779">(BS232*pAIDS_LTFU_AIDS_Dead_2013plus_u)</f>
        <v>0</v>
      </c>
      <c r="CU233" s="73">
        <f t="shared" ref="CU233:CU243" si="1780">(BT232*pAIDS_LTFU_AIDS_Dead_2013plus_u)</f>
        <v>0</v>
      </c>
      <c r="CV233" s="73">
        <f t="shared" ref="CV233:CV243" si="1781">(BU232*pAIDS_LTFU_AIDS_Dead_2013plus_u)</f>
        <v>0</v>
      </c>
      <c r="CW233" s="73">
        <f t="shared" ref="CW233:CW243" si="1782">(BV232*pAIDS_LTFU_AIDS_Dead_2013plus_u)</f>
        <v>0</v>
      </c>
      <c r="CX233" s="73">
        <f t="shared" ref="CX233:CX243" si="1783">(BW232*pAIDS_LTFU_AIDS_Dead_2013plus_u)</f>
        <v>0</v>
      </c>
      <c r="CY233" s="73">
        <f t="shared" ref="CY233:CY243" si="1784">(BX232*pAIDS_LTFU_AIDS_Dead_2013plus_u)</f>
        <v>0</v>
      </c>
      <c r="CZ233" s="190"/>
      <c r="DA233" s="66">
        <v>2013</v>
      </c>
      <c r="DB233" s="218">
        <f t="shared" si="1707"/>
        <v>0</v>
      </c>
      <c r="DC233" s="218">
        <f t="shared" si="1708"/>
        <v>0</v>
      </c>
      <c r="DD233" s="73">
        <f t="shared" si="1709"/>
        <v>0</v>
      </c>
      <c r="DE233" s="73">
        <f t="shared" si="1710"/>
        <v>0</v>
      </c>
      <c r="DF233" s="73">
        <f t="shared" si="1711"/>
        <v>0</v>
      </c>
      <c r="DG233" s="73">
        <f t="shared" si="1712"/>
        <v>0</v>
      </c>
      <c r="DH233" s="72" t="e">
        <f t="shared" si="1739"/>
        <v>#DIV/0!</v>
      </c>
      <c r="DI233" s="72" t="e">
        <f t="shared" si="1740"/>
        <v>#DIV/0!</v>
      </c>
      <c r="DJ233" s="73">
        <f>SUM(AV224:AV233,BB224:BB233,BI224:BI233)</f>
        <v>0</v>
      </c>
      <c r="DK233" s="73">
        <f>SUM(AV230:AV233,BB230:BB233,BI230:BI233)</f>
        <v>0</v>
      </c>
      <c r="DL233" s="190"/>
    </row>
    <row r="234" spans="8:116" x14ac:dyDescent="0.25">
      <c r="V234" s="13"/>
      <c r="W234" s="66">
        <v>10</v>
      </c>
      <c r="X234" s="66">
        <v>2014</v>
      </c>
      <c r="Y234" s="69">
        <v>1</v>
      </c>
      <c r="Z234" s="69">
        <v>0</v>
      </c>
      <c r="AA234" s="69">
        <v>0</v>
      </c>
      <c r="AB234" s="69">
        <v>0</v>
      </c>
      <c r="AC234" s="69">
        <v>0</v>
      </c>
      <c r="AD234" s="69">
        <v>0</v>
      </c>
      <c r="AE234" s="69">
        <v>0</v>
      </c>
      <c r="AF234" s="69">
        <v>0</v>
      </c>
      <c r="AG234" s="69">
        <v>0</v>
      </c>
      <c r="AH234" s="69">
        <v>0</v>
      </c>
      <c r="AI234" s="69">
        <v>0</v>
      </c>
      <c r="AJ234" s="69">
        <v>0</v>
      </c>
      <c r="AK234" s="69">
        <v>0</v>
      </c>
      <c r="AL234" s="69">
        <v>0</v>
      </c>
      <c r="AM234" s="69">
        <v>0</v>
      </c>
      <c r="AN234" s="69">
        <v>0</v>
      </c>
      <c r="AO234" s="69">
        <v>0</v>
      </c>
      <c r="AP234" s="190"/>
      <c r="AQ234" s="66">
        <v>10</v>
      </c>
      <c r="AR234" s="66">
        <v>2014</v>
      </c>
      <c r="AS234" s="215">
        <f t="shared" si="1690"/>
        <v>8588.0400000000009</v>
      </c>
      <c r="AT234" s="215">
        <f t="shared" si="1691"/>
        <v>0</v>
      </c>
      <c r="AU234" s="215">
        <f t="shared" si="1692"/>
        <v>0</v>
      </c>
      <c r="AV234" s="215">
        <f t="shared" si="1693"/>
        <v>0</v>
      </c>
      <c r="AW234" s="215">
        <f t="shared" si="1694"/>
        <v>0</v>
      </c>
      <c r="AX234" s="215">
        <f t="shared" si="1695"/>
        <v>0</v>
      </c>
      <c r="AY234" s="215">
        <f t="shared" si="1696"/>
        <v>0</v>
      </c>
      <c r="AZ234" s="215">
        <f t="shared" si="1697"/>
        <v>0</v>
      </c>
      <c r="BA234" s="215">
        <f t="shared" si="1698"/>
        <v>0</v>
      </c>
      <c r="BB234" s="215">
        <f t="shared" si="1699"/>
        <v>0</v>
      </c>
      <c r="BC234" s="215">
        <f t="shared" si="1700"/>
        <v>0</v>
      </c>
      <c r="BD234" s="215">
        <f t="shared" si="1701"/>
        <v>0</v>
      </c>
      <c r="BE234" s="215">
        <f t="shared" si="1702"/>
        <v>0</v>
      </c>
      <c r="BF234" s="215">
        <f t="shared" si="1703"/>
        <v>0</v>
      </c>
      <c r="BG234" s="215">
        <f t="shared" si="1704"/>
        <v>0</v>
      </c>
      <c r="BH234" s="215">
        <f t="shared" si="1705"/>
        <v>0</v>
      </c>
      <c r="BI234" s="215">
        <f t="shared" si="1706"/>
        <v>0</v>
      </c>
      <c r="BJ234" s="195"/>
      <c r="BK234" s="66">
        <v>10</v>
      </c>
      <c r="BL234" s="66">
        <v>2014</v>
      </c>
      <c r="BM234" s="215">
        <f t="shared" si="1749"/>
        <v>0</v>
      </c>
      <c r="BN234" s="219">
        <f t="shared" si="1750"/>
        <v>0</v>
      </c>
      <c r="BO234" s="219">
        <f t="shared" si="1751"/>
        <v>0</v>
      </c>
      <c r="BP234" s="219">
        <f t="shared" si="1752"/>
        <v>0</v>
      </c>
      <c r="BQ234" s="219">
        <f t="shared" si="1753"/>
        <v>0</v>
      </c>
      <c r="BR234" s="220">
        <f t="shared" si="1754"/>
        <v>0</v>
      </c>
      <c r="BS234" s="219">
        <f t="shared" si="1755"/>
        <v>0</v>
      </c>
      <c r="BT234" s="219">
        <f t="shared" si="1756"/>
        <v>0</v>
      </c>
      <c r="BU234" s="219">
        <f t="shared" si="1757"/>
        <v>0</v>
      </c>
      <c r="BV234" s="219">
        <f t="shared" si="1758"/>
        <v>0</v>
      </c>
      <c r="BW234" s="219">
        <f t="shared" si="1759"/>
        <v>0</v>
      </c>
      <c r="BX234" s="220">
        <f t="shared" si="1760"/>
        <v>0</v>
      </c>
      <c r="BY234" s="195"/>
      <c r="BZ234" s="192">
        <v>10</v>
      </c>
      <c r="CA234" s="66">
        <v>2014</v>
      </c>
      <c r="CB234" s="218">
        <f t="shared" si="1761"/>
        <v>0</v>
      </c>
      <c r="CC234" s="218">
        <f t="shared" si="1762"/>
        <v>0</v>
      </c>
      <c r="CD234" s="73">
        <f t="shared" si="1763"/>
        <v>0</v>
      </c>
      <c r="CE234" s="73">
        <f t="shared" si="1764"/>
        <v>0</v>
      </c>
      <c r="CF234" s="73">
        <f t="shared" si="1765"/>
        <v>0</v>
      </c>
      <c r="CG234" s="73">
        <f t="shared" si="1766"/>
        <v>0</v>
      </c>
      <c r="CH234" s="73">
        <f t="shared" si="1767"/>
        <v>0</v>
      </c>
      <c r="CI234" s="73">
        <f t="shared" si="1768"/>
        <v>0</v>
      </c>
      <c r="CJ234" s="73">
        <f t="shared" si="1769"/>
        <v>0</v>
      </c>
      <c r="CK234" s="73">
        <f t="shared" si="1770"/>
        <v>0</v>
      </c>
      <c r="CL234" s="73">
        <f t="shared" si="1771"/>
        <v>0</v>
      </c>
      <c r="CM234" s="73">
        <f t="shared" si="1772"/>
        <v>0</v>
      </c>
      <c r="CN234" s="73">
        <f t="shared" si="1773"/>
        <v>0</v>
      </c>
      <c r="CO234" s="73">
        <f t="shared" si="1774"/>
        <v>0</v>
      </c>
      <c r="CP234" s="73">
        <f t="shared" si="1775"/>
        <v>0</v>
      </c>
      <c r="CQ234" s="73">
        <f t="shared" si="1776"/>
        <v>0</v>
      </c>
      <c r="CR234" s="73">
        <f t="shared" si="1777"/>
        <v>0</v>
      </c>
      <c r="CS234" s="73">
        <f t="shared" si="1778"/>
        <v>0</v>
      </c>
      <c r="CT234" s="73">
        <f t="shared" si="1779"/>
        <v>0</v>
      </c>
      <c r="CU234" s="73">
        <f t="shared" si="1780"/>
        <v>0</v>
      </c>
      <c r="CV234" s="73">
        <f t="shared" si="1781"/>
        <v>0</v>
      </c>
      <c r="CW234" s="73">
        <f t="shared" si="1782"/>
        <v>0</v>
      </c>
      <c r="CX234" s="73">
        <f t="shared" si="1783"/>
        <v>0</v>
      </c>
      <c r="CY234" s="73">
        <f t="shared" si="1784"/>
        <v>0</v>
      </c>
      <c r="CZ234" s="190"/>
      <c r="DA234" s="66">
        <v>2014</v>
      </c>
      <c r="DB234" s="218">
        <f t="shared" si="1707"/>
        <v>0</v>
      </c>
      <c r="DC234" s="218">
        <f t="shared" si="1708"/>
        <v>8588.0400000000009</v>
      </c>
      <c r="DD234" s="73">
        <f t="shared" si="1709"/>
        <v>0</v>
      </c>
      <c r="DE234" s="73">
        <f t="shared" si="1710"/>
        <v>0</v>
      </c>
      <c r="DF234" s="73">
        <f t="shared" si="1711"/>
        <v>0</v>
      </c>
      <c r="DG234" s="73">
        <f t="shared" si="1712"/>
        <v>0</v>
      </c>
      <c r="DH234" s="72" t="e">
        <f t="shared" si="1739"/>
        <v>#DIV/0!</v>
      </c>
      <c r="DI234" s="72" t="e">
        <f t="shared" si="1740"/>
        <v>#DIV/0!</v>
      </c>
      <c r="DJ234" s="73">
        <f>SUM(AV224:AV234,BB224:BB234,BI224:BI234)</f>
        <v>0</v>
      </c>
      <c r="DK234" s="73">
        <f>SUM(AV230:AV234,BB230:BB234,BI230:BI234)</f>
        <v>0</v>
      </c>
      <c r="DL234" s="190"/>
    </row>
    <row r="235" spans="8:116" x14ac:dyDescent="0.25">
      <c r="V235" s="13"/>
      <c r="W235" s="66">
        <v>11</v>
      </c>
      <c r="X235" s="66">
        <v>2015</v>
      </c>
      <c r="Y235" s="70">
        <f t="shared" ref="Y235:Y243" si="1785">MMULT($Y234:$AO234,D$202:D$218)</f>
        <v>0.63376008575865694</v>
      </c>
      <c r="Z235" s="70">
        <f t="shared" ref="Z235:Z243" si="1786">MMULT($Y234:$AO234,E$202:E$218)</f>
        <v>7.4027434914144222E-2</v>
      </c>
      <c r="AA235" s="70">
        <f t="shared" ref="AA235:AA243" si="1787">MMULT($Y234:$AO234,F$202:F$218)</f>
        <v>0</v>
      </c>
      <c r="AB235" s="70">
        <f t="shared" ref="AB235:AB243" si="1788">MMULT($Y234:$AO234,G$202:G$218)</f>
        <v>1.818504441305463E-2</v>
      </c>
      <c r="AC235" s="70">
        <f t="shared" ref="AC235:AC243" si="1789">MMULT($Y234:$AO234,H$202:H$218)</f>
        <v>0.2</v>
      </c>
      <c r="AD235" s="70">
        <f t="shared" ref="AD235:AD243" si="1790">MMULT($Y234:$AO234,I$202:I$218)</f>
        <v>7.4027434914144222E-2</v>
      </c>
      <c r="AE235" s="70">
        <f t="shared" ref="AE235:AE243" si="1791">MMULT($Y234:$AO234,J$202:J$218)</f>
        <v>0</v>
      </c>
      <c r="AF235" s="70">
        <f t="shared" ref="AF235:AF243" si="1792">MMULT($Y234:$AO234,K$202:K$218)</f>
        <v>0</v>
      </c>
      <c r="AG235" s="70">
        <f t="shared" ref="AG235:AG243" si="1793">MMULT($Y234:$AO234,L$202:L$218)</f>
        <v>0</v>
      </c>
      <c r="AH235" s="70">
        <f t="shared" ref="AH235:AH243" si="1794">MMULT($Y234:$AO234,M$202:M$218)</f>
        <v>0</v>
      </c>
      <c r="AI235" s="70">
        <f t="shared" ref="AI235:AI243" si="1795">MMULT($Y234:$AO234,N$202:N$218)</f>
        <v>0</v>
      </c>
      <c r="AJ235" s="70">
        <f t="shared" ref="AJ235:AJ243" si="1796">MMULT($Y234:$AO234,O$202:O$218)</f>
        <v>0</v>
      </c>
      <c r="AK235" s="70">
        <f t="shared" ref="AK235:AK243" si="1797">MMULT($Y234:$AO234,P$202:P$218)</f>
        <v>0</v>
      </c>
      <c r="AL235" s="70">
        <f t="shared" ref="AL235:AL243" si="1798">MMULT($Y234:$AO234,Q$202:Q$218)</f>
        <v>0</v>
      </c>
      <c r="AM235" s="70">
        <f t="shared" ref="AM235:AM243" si="1799">MMULT($Y234:$AO234,R$202:R$218)</f>
        <v>0</v>
      </c>
      <c r="AN235" s="70">
        <f t="shared" ref="AN235:AN243" si="1800">MMULT($Y234:$AO234,S$202:S$218)</f>
        <v>0</v>
      </c>
      <c r="AO235" s="70">
        <f t="shared" ref="AO235:AO243" si="1801">MMULT($Y234:$AO234,T$202:T$218)</f>
        <v>0</v>
      </c>
      <c r="AP235" s="190"/>
      <c r="AQ235" s="66">
        <v>11</v>
      </c>
      <c r="AR235" s="66">
        <v>2015</v>
      </c>
      <c r="AS235" s="215">
        <f t="shared" si="1690"/>
        <v>5442.7569668987771</v>
      </c>
      <c r="AT235" s="215">
        <f t="shared" si="1691"/>
        <v>635.75057214006722</v>
      </c>
      <c r="AU235" s="215">
        <f t="shared" si="1692"/>
        <v>0</v>
      </c>
      <c r="AV235" s="215">
        <f t="shared" si="1693"/>
        <v>156.17388882108969</v>
      </c>
      <c r="AW235" s="215">
        <f t="shared" si="1694"/>
        <v>1717.6080000000002</v>
      </c>
      <c r="AX235" s="215">
        <f t="shared" si="1695"/>
        <v>635.75057214006722</v>
      </c>
      <c r="AY235" s="215">
        <f t="shared" si="1696"/>
        <v>0</v>
      </c>
      <c r="AZ235" s="215">
        <f t="shared" si="1697"/>
        <v>0</v>
      </c>
      <c r="BA235" s="215">
        <f t="shared" si="1698"/>
        <v>0</v>
      </c>
      <c r="BB235" s="215">
        <f t="shared" si="1699"/>
        <v>0</v>
      </c>
      <c r="BC235" s="215">
        <f t="shared" si="1700"/>
        <v>0</v>
      </c>
      <c r="BD235" s="215">
        <f t="shared" si="1701"/>
        <v>0</v>
      </c>
      <c r="BE235" s="215">
        <f t="shared" si="1702"/>
        <v>0</v>
      </c>
      <c r="BF235" s="215">
        <f t="shared" si="1703"/>
        <v>0</v>
      </c>
      <c r="BG235" s="215">
        <f t="shared" si="1704"/>
        <v>0</v>
      </c>
      <c r="BH235" s="215">
        <f t="shared" si="1705"/>
        <v>0</v>
      </c>
      <c r="BI235" s="215">
        <f t="shared" si="1706"/>
        <v>0</v>
      </c>
      <c r="BJ235" s="195"/>
      <c r="BK235" s="66">
        <v>11</v>
      </c>
      <c r="BL235" s="66">
        <v>2015</v>
      </c>
      <c r="BM235" s="215">
        <f t="shared" si="1749"/>
        <v>0</v>
      </c>
      <c r="BN235" s="219">
        <f t="shared" si="1750"/>
        <v>0</v>
      </c>
      <c r="BO235" s="219">
        <f t="shared" si="1751"/>
        <v>0</v>
      </c>
      <c r="BP235" s="219">
        <f t="shared" si="1752"/>
        <v>0</v>
      </c>
      <c r="BQ235" s="219">
        <f t="shared" si="1753"/>
        <v>0</v>
      </c>
      <c r="BR235" s="220">
        <f t="shared" si="1754"/>
        <v>0</v>
      </c>
      <c r="BS235" s="219">
        <f t="shared" si="1755"/>
        <v>0</v>
      </c>
      <c r="BT235" s="219">
        <f t="shared" si="1756"/>
        <v>0</v>
      </c>
      <c r="BU235" s="219">
        <f t="shared" si="1757"/>
        <v>0</v>
      </c>
      <c r="BV235" s="219">
        <f t="shared" si="1758"/>
        <v>0</v>
      </c>
      <c r="BW235" s="219">
        <f t="shared" si="1759"/>
        <v>0</v>
      </c>
      <c r="BX235" s="220">
        <f t="shared" si="1760"/>
        <v>0</v>
      </c>
      <c r="BY235" s="195"/>
      <c r="BZ235" s="192">
        <v>11</v>
      </c>
      <c r="CA235" s="66">
        <v>2015</v>
      </c>
      <c r="CB235" s="218">
        <f t="shared" si="1761"/>
        <v>156.17388882108969</v>
      </c>
      <c r="CC235" s="218">
        <f t="shared" si="1762"/>
        <v>0</v>
      </c>
      <c r="CD235" s="73">
        <f t="shared" si="1763"/>
        <v>0</v>
      </c>
      <c r="CE235" s="73">
        <f t="shared" si="1764"/>
        <v>0</v>
      </c>
      <c r="CF235" s="73">
        <f t="shared" si="1765"/>
        <v>0</v>
      </c>
      <c r="CG235" s="73">
        <f t="shared" si="1766"/>
        <v>0</v>
      </c>
      <c r="CH235" s="73">
        <f t="shared" si="1767"/>
        <v>0</v>
      </c>
      <c r="CI235" s="73">
        <f t="shared" si="1768"/>
        <v>0</v>
      </c>
      <c r="CJ235" s="73">
        <f t="shared" si="1769"/>
        <v>0</v>
      </c>
      <c r="CK235" s="73">
        <f t="shared" si="1770"/>
        <v>0</v>
      </c>
      <c r="CL235" s="73">
        <f t="shared" si="1771"/>
        <v>0</v>
      </c>
      <c r="CM235" s="73">
        <f t="shared" si="1772"/>
        <v>0</v>
      </c>
      <c r="CN235" s="73">
        <f t="shared" si="1773"/>
        <v>0</v>
      </c>
      <c r="CO235" s="73">
        <f t="shared" si="1774"/>
        <v>0</v>
      </c>
      <c r="CP235" s="73">
        <f t="shared" si="1775"/>
        <v>0</v>
      </c>
      <c r="CQ235" s="73">
        <f t="shared" si="1776"/>
        <v>0</v>
      </c>
      <c r="CR235" s="73">
        <f t="shared" si="1777"/>
        <v>0</v>
      </c>
      <c r="CS235" s="73">
        <f t="shared" si="1778"/>
        <v>0</v>
      </c>
      <c r="CT235" s="73">
        <f t="shared" si="1779"/>
        <v>0</v>
      </c>
      <c r="CU235" s="73">
        <f t="shared" si="1780"/>
        <v>0</v>
      </c>
      <c r="CV235" s="73">
        <f t="shared" si="1781"/>
        <v>0</v>
      </c>
      <c r="CW235" s="73">
        <f t="shared" si="1782"/>
        <v>0</v>
      </c>
      <c r="CX235" s="73">
        <f t="shared" si="1783"/>
        <v>0</v>
      </c>
      <c r="CY235" s="73">
        <f t="shared" si="1784"/>
        <v>0</v>
      </c>
      <c r="CZ235" s="190"/>
      <c r="DA235" s="66">
        <v>2015</v>
      </c>
      <c r="DB235" s="218">
        <f t="shared" si="1707"/>
        <v>1271.5011442801344</v>
      </c>
      <c r="DC235" s="218">
        <f t="shared" si="1708"/>
        <v>8431.8661111789115</v>
      </c>
      <c r="DD235" s="73">
        <f t="shared" si="1709"/>
        <v>0</v>
      </c>
      <c r="DE235" s="73">
        <f t="shared" si="1710"/>
        <v>0</v>
      </c>
      <c r="DF235" s="73">
        <f t="shared" si="1711"/>
        <v>0</v>
      </c>
      <c r="DG235" s="73">
        <f t="shared" si="1712"/>
        <v>2353.3585721400673</v>
      </c>
      <c r="DH235" s="72">
        <f t="shared" si="1739"/>
        <v>0</v>
      </c>
      <c r="DI235" s="72" t="e">
        <f t="shared" si="1740"/>
        <v>#DIV/0!</v>
      </c>
      <c r="DJ235" s="73">
        <f>SUM(AV224:AV235,BB224:BB235,BI224:BI235)</f>
        <v>156.17388882108969</v>
      </c>
      <c r="DK235" s="73">
        <f>SUM(AV230:AV235,BB230:BB235,BI230:BI235)</f>
        <v>156.17388882108969</v>
      </c>
      <c r="DL235" s="190"/>
    </row>
    <row r="236" spans="8:116" x14ac:dyDescent="0.25">
      <c r="V236" s="13"/>
      <c r="W236" s="66">
        <v>12</v>
      </c>
      <c r="X236" s="66">
        <v>2016</v>
      </c>
      <c r="Y236" s="70">
        <f t="shared" si="1785"/>
        <v>0.40165184630082018</v>
      </c>
      <c r="Z236" s="70">
        <f t="shared" si="1786"/>
        <v>7.9350132444030066E-2</v>
      </c>
      <c r="AA236" s="70">
        <f t="shared" si="1787"/>
        <v>2.2711269412095766E-2</v>
      </c>
      <c r="AB236" s="70">
        <f t="shared" si="1788"/>
        <v>1.2788092354875989E-2</v>
      </c>
      <c r="AC236" s="70">
        <f t="shared" si="1789"/>
        <v>0.22169301105858225</v>
      </c>
      <c r="AD236" s="70">
        <f t="shared" si="1790"/>
        <v>0.1017364552227743</v>
      </c>
      <c r="AE236" s="70">
        <f t="shared" si="1791"/>
        <v>1.2322340839651991E-2</v>
      </c>
      <c r="AF236" s="70">
        <f t="shared" si="1792"/>
        <v>0</v>
      </c>
      <c r="AG236" s="70">
        <f t="shared" si="1793"/>
        <v>1.3509635260084139E-2</v>
      </c>
      <c r="AH236" s="70">
        <f t="shared" si="1794"/>
        <v>7.5148512019901498E-3</v>
      </c>
      <c r="AI236" s="70">
        <f t="shared" si="1795"/>
        <v>0.06</v>
      </c>
      <c r="AJ236" s="70">
        <f t="shared" si="1796"/>
        <v>4.1948879784681731E-2</v>
      </c>
      <c r="AK236" s="70">
        <f t="shared" si="1797"/>
        <v>6.5884417073588351E-3</v>
      </c>
      <c r="AL236" s="70">
        <f t="shared" si="1798"/>
        <v>0</v>
      </c>
      <c r="AM236" s="70">
        <f t="shared" si="1799"/>
        <v>0</v>
      </c>
      <c r="AN236" s="70">
        <f t="shared" si="1800"/>
        <v>0</v>
      </c>
      <c r="AO236" s="70">
        <f t="shared" si="1801"/>
        <v>0</v>
      </c>
      <c r="AP236" s="190"/>
      <c r="AQ236" s="66">
        <v>12</v>
      </c>
      <c r="AR236" s="66">
        <v>2016</v>
      </c>
      <c r="AS236" s="215">
        <f t="shared" si="1690"/>
        <v>3449.4021221052963</v>
      </c>
      <c r="AT236" s="215">
        <f t="shared" si="1691"/>
        <v>681.46211143462801</v>
      </c>
      <c r="AU236" s="215">
        <f t="shared" si="1692"/>
        <v>195.04529016185495</v>
      </c>
      <c r="AV236" s="215">
        <f t="shared" si="1693"/>
        <v>109.8246486673692</v>
      </c>
      <c r="AW236" s="215">
        <f t="shared" si="1694"/>
        <v>1903.9084466915469</v>
      </c>
      <c r="AX236" s="215">
        <f t="shared" si="1695"/>
        <v>873.71674691139469</v>
      </c>
      <c r="AY236" s="215">
        <f t="shared" si="1696"/>
        <v>105.82475602456491</v>
      </c>
      <c r="AZ236" s="215">
        <f t="shared" si="1697"/>
        <v>0</v>
      </c>
      <c r="BA236" s="215">
        <f t="shared" si="1698"/>
        <v>116.021287999013</v>
      </c>
      <c r="BB236" s="215">
        <f t="shared" si="1699"/>
        <v>64.53784271673949</v>
      </c>
      <c r="BC236" s="215">
        <f t="shared" si="1700"/>
        <v>515.28240000000005</v>
      </c>
      <c r="BD236" s="215">
        <f t="shared" si="1701"/>
        <v>360.25865754603814</v>
      </c>
      <c r="BE236" s="215">
        <f t="shared" si="1702"/>
        <v>56.581800920465973</v>
      </c>
      <c r="BF236" s="215">
        <f t="shared" si="1703"/>
        <v>0</v>
      </c>
      <c r="BG236" s="215">
        <f t="shared" si="1704"/>
        <v>0</v>
      </c>
      <c r="BH236" s="215">
        <f t="shared" si="1705"/>
        <v>0</v>
      </c>
      <c r="BI236" s="215">
        <f t="shared" si="1706"/>
        <v>0</v>
      </c>
      <c r="BJ236" s="195"/>
      <c r="BK236" s="66">
        <v>12</v>
      </c>
      <c r="BL236" s="66">
        <v>2016</v>
      </c>
      <c r="BM236" s="215">
        <f t="shared" si="1749"/>
        <v>116.021287999013</v>
      </c>
      <c r="BN236" s="219">
        <f t="shared" si="1750"/>
        <v>0</v>
      </c>
      <c r="BO236" s="219">
        <f t="shared" si="1751"/>
        <v>0</v>
      </c>
      <c r="BP236" s="219">
        <f t="shared" si="1752"/>
        <v>0</v>
      </c>
      <c r="BQ236" s="219">
        <f t="shared" si="1753"/>
        <v>0</v>
      </c>
      <c r="BR236" s="220">
        <f t="shared" si="1754"/>
        <v>0</v>
      </c>
      <c r="BS236" s="219">
        <f t="shared" si="1755"/>
        <v>0</v>
      </c>
      <c r="BT236" s="219">
        <f t="shared" si="1756"/>
        <v>0</v>
      </c>
      <c r="BU236" s="219">
        <f t="shared" si="1757"/>
        <v>0</v>
      </c>
      <c r="BV236" s="219">
        <f t="shared" si="1758"/>
        <v>0</v>
      </c>
      <c r="BW236" s="219">
        <f t="shared" si="1759"/>
        <v>0</v>
      </c>
      <c r="BX236" s="220">
        <f t="shared" si="1760"/>
        <v>0</v>
      </c>
      <c r="BY236" s="195"/>
      <c r="BZ236" s="192">
        <v>12</v>
      </c>
      <c r="CA236" s="66">
        <v>2016</v>
      </c>
      <c r="CB236" s="218">
        <f t="shared" si="1761"/>
        <v>98.976777172516762</v>
      </c>
      <c r="CC236" s="218">
        <f t="shared" si="1762"/>
        <v>10.847871494852438</v>
      </c>
      <c r="CD236" s="73">
        <f t="shared" si="1763"/>
        <v>0</v>
      </c>
      <c r="CE236" s="73">
        <f t="shared" si="1764"/>
        <v>47.901574880172824</v>
      </c>
      <c r="CF236" s="73">
        <f t="shared" si="1765"/>
        <v>16.636267836566656</v>
      </c>
      <c r="CG236" s="73">
        <f t="shared" si="1766"/>
        <v>0</v>
      </c>
      <c r="CH236" s="73">
        <f t="shared" si="1767"/>
        <v>0</v>
      </c>
      <c r="CI236" s="73">
        <f t="shared" si="1768"/>
        <v>0</v>
      </c>
      <c r="CJ236" s="73">
        <f t="shared" si="1769"/>
        <v>0</v>
      </c>
      <c r="CK236" s="73">
        <f t="shared" si="1770"/>
        <v>0</v>
      </c>
      <c r="CL236" s="73">
        <f t="shared" si="1771"/>
        <v>0</v>
      </c>
      <c r="CM236" s="73">
        <f t="shared" si="1772"/>
        <v>0</v>
      </c>
      <c r="CN236" s="73">
        <f t="shared" si="1773"/>
        <v>0</v>
      </c>
      <c r="CO236" s="73">
        <f t="shared" si="1774"/>
        <v>0</v>
      </c>
      <c r="CP236" s="73">
        <f t="shared" si="1775"/>
        <v>0</v>
      </c>
      <c r="CQ236" s="73">
        <f t="shared" si="1776"/>
        <v>0</v>
      </c>
      <c r="CR236" s="73">
        <f t="shared" si="1777"/>
        <v>0</v>
      </c>
      <c r="CS236" s="73">
        <f t="shared" si="1778"/>
        <v>0</v>
      </c>
      <c r="CT236" s="73">
        <f t="shared" si="1779"/>
        <v>0</v>
      </c>
      <c r="CU236" s="73">
        <f t="shared" si="1780"/>
        <v>0</v>
      </c>
      <c r="CV236" s="73">
        <f t="shared" si="1781"/>
        <v>0</v>
      </c>
      <c r="CW236" s="73">
        <f t="shared" si="1782"/>
        <v>0</v>
      </c>
      <c r="CX236" s="73">
        <f t="shared" si="1783"/>
        <v>0</v>
      </c>
      <c r="CY236" s="73">
        <f t="shared" si="1784"/>
        <v>0</v>
      </c>
      <c r="CZ236" s="190"/>
      <c r="DA236" s="66">
        <v>2016</v>
      </c>
      <c r="DB236" s="218">
        <f t="shared" si="1707"/>
        <v>1915.4375158920609</v>
      </c>
      <c r="DC236" s="218">
        <f t="shared" si="1708"/>
        <v>8257.5036197948029</v>
      </c>
      <c r="DD236" s="73">
        <f t="shared" si="1709"/>
        <v>162.40655694503087</v>
      </c>
      <c r="DE236" s="73">
        <f t="shared" si="1710"/>
        <v>56.581800920465973</v>
      </c>
      <c r="DF236" s="73">
        <f t="shared" si="1711"/>
        <v>875.54105754603825</v>
      </c>
      <c r="DG236" s="73">
        <f t="shared" si="1712"/>
        <v>3769.187539147993</v>
      </c>
      <c r="DH236" s="72">
        <f t="shared" si="1739"/>
        <v>4.1308068171742478E-2</v>
      </c>
      <c r="DI236" s="72">
        <f t="shared" si="1740"/>
        <v>6.0702084930684311E-2</v>
      </c>
      <c r="DJ236" s="73">
        <f>SUM(AV224:AV236,BB224:BB236,BI224:BI236)</f>
        <v>330.53638020519838</v>
      </c>
      <c r="DK236" s="73">
        <f>SUM(AV230:AV236,BB230:BB236,BI230:BI236)</f>
        <v>330.53638020519838</v>
      </c>
      <c r="DL236" s="190"/>
    </row>
    <row r="237" spans="8:116" x14ac:dyDescent="0.25">
      <c r="V237" s="13"/>
      <c r="W237" s="66">
        <v>13</v>
      </c>
      <c r="X237" s="66">
        <v>2017</v>
      </c>
      <c r="Y237" s="70">
        <f t="shared" si="1785"/>
        <v>0.25455090855673068</v>
      </c>
      <c r="Z237" s="70">
        <f t="shared" si="1786"/>
        <v>6.4499850078608451E-2</v>
      </c>
      <c r="AA237" s="70">
        <f t="shared" si="1787"/>
        <v>3.9118268432763954E-2</v>
      </c>
      <c r="AB237" s="70">
        <f t="shared" si="1788"/>
        <v>9.0710208405925634E-3</v>
      </c>
      <c r="AC237" s="70">
        <f t="shared" si="1789"/>
        <v>0.18556914332068541</v>
      </c>
      <c r="AD237" s="70">
        <f t="shared" si="1790"/>
        <v>9.5348753537974687E-2</v>
      </c>
      <c r="AE237" s="70">
        <f t="shared" si="1791"/>
        <v>3.3225173226078444E-2</v>
      </c>
      <c r="AF237" s="70">
        <f t="shared" si="1792"/>
        <v>2.4263437499190883E-3</v>
      </c>
      <c r="AG237" s="70">
        <f t="shared" si="1793"/>
        <v>2.8668531751787067E-2</v>
      </c>
      <c r="AH237" s="70">
        <f t="shared" si="1794"/>
        <v>9.2840050097176517E-3</v>
      </c>
      <c r="AI237" s="70">
        <f t="shared" si="1795"/>
        <v>7.0651352353037836E-2</v>
      </c>
      <c r="AJ237" s="70">
        <f t="shared" si="1796"/>
        <v>8.569708969366624E-2</v>
      </c>
      <c r="AK237" s="70">
        <f t="shared" si="1797"/>
        <v>3.0309750692456512E-2</v>
      </c>
      <c r="AL237" s="70">
        <f t="shared" si="1798"/>
        <v>5.4057491247627015E-3</v>
      </c>
      <c r="AM237" s="70">
        <f t="shared" si="1799"/>
        <v>0</v>
      </c>
      <c r="AN237" s="70">
        <f t="shared" si="1800"/>
        <v>5.9232001121558263E-3</v>
      </c>
      <c r="AO237" s="70">
        <f t="shared" si="1801"/>
        <v>4.1762871549142107E-2</v>
      </c>
      <c r="AP237" s="190"/>
      <c r="AQ237" s="66">
        <v>13</v>
      </c>
      <c r="AR237" s="66">
        <v>2017</v>
      </c>
      <c r="AS237" s="215">
        <f t="shared" si="1690"/>
        <v>2186.0933847215456</v>
      </c>
      <c r="AT237" s="215">
        <f t="shared" si="1691"/>
        <v>553.92729246909255</v>
      </c>
      <c r="AU237" s="215">
        <f t="shared" si="1692"/>
        <v>335.94925403131418</v>
      </c>
      <c r="AV237" s="215">
        <f t="shared" si="1693"/>
        <v>77.902289819842565</v>
      </c>
      <c r="AW237" s="215">
        <f t="shared" si="1694"/>
        <v>1593.6752256037794</v>
      </c>
      <c r="AX237" s="215">
        <f t="shared" si="1695"/>
        <v>818.85890933426822</v>
      </c>
      <c r="AY237" s="215">
        <f t="shared" si="1696"/>
        <v>285.33911667249077</v>
      </c>
      <c r="AZ237" s="215">
        <f t="shared" si="1697"/>
        <v>20.837537178055129</v>
      </c>
      <c r="BA237" s="215">
        <f t="shared" si="1698"/>
        <v>246.20649742561744</v>
      </c>
      <c r="BB237" s="215">
        <f t="shared" si="1699"/>
        <v>79.731406383655596</v>
      </c>
      <c r="BC237" s="215">
        <f t="shared" si="1700"/>
        <v>606.75664006198315</v>
      </c>
      <c r="BD237" s="215">
        <f t="shared" si="1701"/>
        <v>735.97003417279348</v>
      </c>
      <c r="BE237" s="215">
        <f t="shared" si="1702"/>
        <v>260.30135133684428</v>
      </c>
      <c r="BF237" s="215">
        <f t="shared" si="1703"/>
        <v>46.424789713427074</v>
      </c>
      <c r="BG237" s="215">
        <f t="shared" si="1704"/>
        <v>0</v>
      </c>
      <c r="BH237" s="215">
        <f t="shared" si="1705"/>
        <v>50.868679491198726</v>
      </c>
      <c r="BI237" s="215">
        <f t="shared" si="1706"/>
        <v>358.66121137889439</v>
      </c>
      <c r="BJ237" s="195"/>
      <c r="BK237" s="66">
        <v>13</v>
      </c>
      <c r="BL237" s="66">
        <v>2017</v>
      </c>
      <c r="BM237" s="215">
        <f t="shared" si="1749"/>
        <v>205.67509470161843</v>
      </c>
      <c r="BN237" s="219">
        <f t="shared" si="1750"/>
        <v>39.009058032370994</v>
      </c>
      <c r="BO237" s="219">
        <f t="shared" si="1751"/>
        <v>1.5223446916279959</v>
      </c>
      <c r="BP237" s="219">
        <f t="shared" si="1752"/>
        <v>0</v>
      </c>
      <c r="BQ237" s="219">
        <f t="shared" si="1753"/>
        <v>21.185182166464188</v>
      </c>
      <c r="BR237" s="220">
        <f t="shared" si="1754"/>
        <v>0</v>
      </c>
      <c r="BS237" s="219">
        <f t="shared" si="1755"/>
        <v>27.889554306043259</v>
      </c>
      <c r="BT237" s="219">
        <f t="shared" si="1756"/>
        <v>1.7939430186912875</v>
      </c>
      <c r="BU237" s="219">
        <f t="shared" si="1757"/>
        <v>0</v>
      </c>
      <c r="BV237" s="219">
        <f t="shared" si="1758"/>
        <v>0</v>
      </c>
      <c r="BW237" s="219">
        <f t="shared" si="1759"/>
        <v>0</v>
      </c>
      <c r="BX237" s="220">
        <f t="shared" si="1760"/>
        <v>0</v>
      </c>
      <c r="BY237" s="195"/>
      <c r="BZ237" s="192">
        <v>13</v>
      </c>
      <c r="CA237" s="66">
        <v>2017</v>
      </c>
      <c r="CB237" s="218">
        <f t="shared" si="1761"/>
        <v>62.727530788969702</v>
      </c>
      <c r="CC237" s="218">
        <f t="shared" si="1762"/>
        <v>11.627851766722399</v>
      </c>
      <c r="CD237" s="73">
        <f t="shared" si="1763"/>
        <v>3.5469072641504593</v>
      </c>
      <c r="CE237" s="73">
        <f t="shared" si="1764"/>
        <v>53.097221848168303</v>
      </c>
      <c r="CF237" s="73">
        <f t="shared" si="1765"/>
        <v>22.863346809083612</v>
      </c>
      <c r="CG237" s="73">
        <f t="shared" si="1766"/>
        <v>0.53517370132995767</v>
      </c>
      <c r="CH237" s="73">
        <f t="shared" si="1767"/>
        <v>0</v>
      </c>
      <c r="CI237" s="73">
        <f t="shared" si="1768"/>
        <v>3.2356640250737172</v>
      </c>
      <c r="CJ237" s="73">
        <f t="shared" si="1769"/>
        <v>0</v>
      </c>
      <c r="CK237" s="73">
        <f t="shared" si="1770"/>
        <v>0</v>
      </c>
      <c r="CL237" s="73">
        <f t="shared" si="1771"/>
        <v>0</v>
      </c>
      <c r="CM237" s="73">
        <f t="shared" si="1772"/>
        <v>211.53101958806502</v>
      </c>
      <c r="CN237" s="73">
        <f t="shared" si="1773"/>
        <v>138.76712360248183</v>
      </c>
      <c r="CO237" s="73">
        <f t="shared" si="1774"/>
        <v>8.3630681883476132</v>
      </c>
      <c r="CP237" s="73">
        <f t="shared" si="1775"/>
        <v>0</v>
      </c>
      <c r="CQ237" s="73">
        <f t="shared" si="1776"/>
        <v>0</v>
      </c>
      <c r="CR237" s="73">
        <f t="shared" si="1777"/>
        <v>0</v>
      </c>
      <c r="CS237" s="73">
        <f t="shared" si="1778"/>
        <v>0</v>
      </c>
      <c r="CT237" s="73">
        <f t="shared" si="1779"/>
        <v>0</v>
      </c>
      <c r="CU237" s="73">
        <f t="shared" si="1780"/>
        <v>0</v>
      </c>
      <c r="CV237" s="73">
        <f t="shared" si="1781"/>
        <v>0</v>
      </c>
      <c r="CW237" s="73">
        <f t="shared" si="1782"/>
        <v>0</v>
      </c>
      <c r="CX237" s="73">
        <f t="shared" si="1783"/>
        <v>0</v>
      </c>
      <c r="CY237" s="73">
        <f t="shared" si="1784"/>
        <v>0</v>
      </c>
      <c r="CZ237" s="190"/>
      <c r="DA237" s="66">
        <v>2017</v>
      </c>
      <c r="DB237" s="218">
        <f t="shared" si="1707"/>
        <v>2108.7562359761541</v>
      </c>
      <c r="DC237" s="218">
        <f t="shared" si="1708"/>
        <v>7741.2087122124094</v>
      </c>
      <c r="DD237" s="73">
        <f t="shared" si="1709"/>
        <v>612.9027949008173</v>
      </c>
      <c r="DE237" s="73">
        <f t="shared" si="1710"/>
        <v>306.72614105027134</v>
      </c>
      <c r="DF237" s="73">
        <f t="shared" si="1711"/>
        <v>1393.5953537259752</v>
      </c>
      <c r="DG237" s="73">
        <f t="shared" si="1712"/>
        <v>4052.3359860896398</v>
      </c>
      <c r="DH237" s="72">
        <f t="shared" si="1739"/>
        <v>0.13137651118699961</v>
      </c>
      <c r="DI237" s="72">
        <f t="shared" si="1740"/>
        <v>0.18039302684380573</v>
      </c>
      <c r="DJ237" s="73">
        <f>SUM(AV224:AV237,BB224:BB237,BI224:BI237)</f>
        <v>846.83128778759101</v>
      </c>
      <c r="DK237" s="73">
        <f>SUM(AV230:AV237,BB230:BB237,BI230:BI237)</f>
        <v>846.83128778759101</v>
      </c>
      <c r="DL237" s="190"/>
    </row>
    <row r="238" spans="8:116" x14ac:dyDescent="0.25">
      <c r="V238" s="13"/>
      <c r="W238" s="66">
        <v>14</v>
      </c>
      <c r="X238" s="66">
        <v>2018</v>
      </c>
      <c r="Y238" s="70">
        <f t="shared" si="1785"/>
        <v>0.16132420563685768</v>
      </c>
      <c r="Z238" s="70">
        <f t="shared" si="1786"/>
        <v>4.71038184743756E-2</v>
      </c>
      <c r="AA238" s="70">
        <f t="shared" si="1787"/>
        <v>4.5235269776561449E-2</v>
      </c>
      <c r="AB238" s="70">
        <f t="shared" si="1788"/>
        <v>6.4409540029590553E-3</v>
      </c>
      <c r="AC238" s="70">
        <f t="shared" si="1789"/>
        <v>0.13900077623788976</v>
      </c>
      <c r="AD238" s="70">
        <f t="shared" si="1790"/>
        <v>7.6174180760404872E-2</v>
      </c>
      <c r="AE238" s="70">
        <f t="shared" si="1791"/>
        <v>5.6759597073604617E-2</v>
      </c>
      <c r="AF238" s="70">
        <f t="shared" si="1792"/>
        <v>7.5893612305730114E-3</v>
      </c>
      <c r="AG238" s="70">
        <f t="shared" si="1793"/>
        <v>3.7159545159019869E-2</v>
      </c>
      <c r="AH238" s="70">
        <f t="shared" si="1794"/>
        <v>8.6501493740506214E-3</v>
      </c>
      <c r="AI238" s="70">
        <f t="shared" si="1795"/>
        <v>6.0549747625561666E-2</v>
      </c>
      <c r="AJ238" s="70">
        <f t="shared" si="1796"/>
        <v>9.0594426191087832E-2</v>
      </c>
      <c r="AK238" s="70">
        <f t="shared" si="1797"/>
        <v>5.0485938529922988E-2</v>
      </c>
      <c r="AL238" s="70">
        <f t="shared" si="1798"/>
        <v>2.9911611370230826E-2</v>
      </c>
      <c r="AM238" s="70">
        <f t="shared" si="1799"/>
        <v>1.5413424508965083E-3</v>
      </c>
      <c r="AN238" s="70">
        <f t="shared" si="1800"/>
        <v>1.3809606340603651E-2</v>
      </c>
      <c r="AO238" s="70">
        <f t="shared" si="1801"/>
        <v>6.9063584396026889E-2</v>
      </c>
      <c r="AP238" s="190"/>
      <c r="AQ238" s="66">
        <v>14</v>
      </c>
      <c r="AR238" s="66">
        <v>2018</v>
      </c>
      <c r="AS238" s="215">
        <f t="shared" si="1690"/>
        <v>1385.4587309775593</v>
      </c>
      <c r="AT238" s="215">
        <f t="shared" si="1691"/>
        <v>404.52947721067665</v>
      </c>
      <c r="AU238" s="215">
        <f t="shared" si="1692"/>
        <v>388.48230625190081</v>
      </c>
      <c r="AV238" s="215">
        <f t="shared" si="1693"/>
        <v>55.315170615572491</v>
      </c>
      <c r="AW238" s="215">
        <f t="shared" si="1694"/>
        <v>1193.7442263620469</v>
      </c>
      <c r="AX238" s="215">
        <f t="shared" si="1695"/>
        <v>654.1869113375875</v>
      </c>
      <c r="AY238" s="215">
        <f t="shared" si="1696"/>
        <v>487.45369005199944</v>
      </c>
      <c r="AZ238" s="215">
        <f t="shared" si="1697"/>
        <v>65.177737822610254</v>
      </c>
      <c r="BA238" s="215">
        <f t="shared" si="1698"/>
        <v>319.12766020746903</v>
      </c>
      <c r="BB238" s="215">
        <f t="shared" si="1699"/>
        <v>74.2878288303217</v>
      </c>
      <c r="BC238" s="215">
        <f t="shared" si="1700"/>
        <v>520.00365459822865</v>
      </c>
      <c r="BD238" s="215">
        <f t="shared" si="1701"/>
        <v>778.02855590611</v>
      </c>
      <c r="BE238" s="215">
        <f t="shared" si="1702"/>
        <v>433.57525953251985</v>
      </c>
      <c r="BF238" s="215">
        <f t="shared" si="1703"/>
        <v>256.88211491199718</v>
      </c>
      <c r="BG238" s="215">
        <f t="shared" si="1704"/>
        <v>13.23711062199725</v>
      </c>
      <c r="BH238" s="215">
        <f t="shared" si="1705"/>
        <v>118.59745163735779</v>
      </c>
      <c r="BI238" s="215">
        <f t="shared" si="1706"/>
        <v>593.1208253364548</v>
      </c>
      <c r="BJ238" s="195"/>
      <c r="BK238" s="66">
        <v>14</v>
      </c>
      <c r="BL238" s="66">
        <v>2018</v>
      </c>
      <c r="BM238" s="215">
        <f t="shared" si="1749"/>
        <v>231.38443611982507</v>
      </c>
      <c r="BN238" s="219">
        <f t="shared" si="1750"/>
        <v>82.732166789984859</v>
      </c>
      <c r="BO238" s="219">
        <f t="shared" si="1751"/>
        <v>4.711298382058585</v>
      </c>
      <c r="BP238" s="219">
        <f t="shared" si="1752"/>
        <v>0.29975891560052059</v>
      </c>
      <c r="BQ238" s="219">
        <f t="shared" si="1753"/>
        <v>46.352726546685659</v>
      </c>
      <c r="BR238" s="220">
        <f t="shared" si="1754"/>
        <v>9.3771174340924315</v>
      </c>
      <c r="BS238" s="219">
        <f t="shared" si="1755"/>
        <v>53.487175587849435</v>
      </c>
      <c r="BT238" s="219">
        <f t="shared" si="1756"/>
        <v>8.5132073383481472</v>
      </c>
      <c r="BU238" s="219">
        <f t="shared" si="1757"/>
        <v>0.50127882785052602</v>
      </c>
      <c r="BV238" s="219">
        <f t="shared" si="1758"/>
        <v>0.36594590253158416</v>
      </c>
      <c r="BW238" s="219">
        <f t="shared" si="1759"/>
        <v>0</v>
      </c>
      <c r="BX238" s="220">
        <f t="shared" si="1760"/>
        <v>0</v>
      </c>
      <c r="BY238" s="195"/>
      <c r="BZ238" s="192">
        <v>14</v>
      </c>
      <c r="CA238" s="66">
        <v>2018</v>
      </c>
      <c r="CB238" s="218">
        <f t="shared" si="1761"/>
        <v>39.754205292246226</v>
      </c>
      <c r="CC238" s="218">
        <f t="shared" si="1762"/>
        <v>9.4517132182342465</v>
      </c>
      <c r="CD238" s="73">
        <f t="shared" si="1763"/>
        <v>6.1092521050920201</v>
      </c>
      <c r="CE238" s="73">
        <f t="shared" si="1764"/>
        <v>44.445271071126676</v>
      </c>
      <c r="CF238" s="73">
        <f t="shared" si="1765"/>
        <v>21.427831500311104</v>
      </c>
      <c r="CG238" s="73">
        <f t="shared" si="1766"/>
        <v>1.443008204700138</v>
      </c>
      <c r="CH238" s="73">
        <f t="shared" si="1767"/>
        <v>0.10537895211959421</v>
      </c>
      <c r="CI238" s="73">
        <f t="shared" si="1768"/>
        <v>5.7359775628875811</v>
      </c>
      <c r="CJ238" s="73">
        <f t="shared" si="1769"/>
        <v>1.0879055723672841</v>
      </c>
      <c r="CK238" s="73">
        <f t="shared" si="1770"/>
        <v>4.2455966809337199E-2</v>
      </c>
      <c r="CL238" s="73">
        <f t="shared" si="1771"/>
        <v>0</v>
      </c>
      <c r="CM238" s="73">
        <f t="shared" si="1772"/>
        <v>249.08254330856218</v>
      </c>
      <c r="CN238" s="73">
        <f t="shared" si="1773"/>
        <v>283.48644109053123</v>
      </c>
      <c r="CO238" s="73">
        <f t="shared" si="1774"/>
        <v>38.473818707344357</v>
      </c>
      <c r="CP238" s="73">
        <f t="shared" si="1775"/>
        <v>1.1956795808759493</v>
      </c>
      <c r="CQ238" s="73">
        <f t="shared" si="1776"/>
        <v>0</v>
      </c>
      <c r="CR238" s="73">
        <f t="shared" si="1777"/>
        <v>8.696829512964273</v>
      </c>
      <c r="CS238" s="73">
        <f t="shared" si="1778"/>
        <v>0</v>
      </c>
      <c r="CT238" s="73">
        <f t="shared" si="1779"/>
        <v>11.4490730873285</v>
      </c>
      <c r="CU238" s="73">
        <f t="shared" si="1780"/>
        <v>0.7364400488482804</v>
      </c>
      <c r="CV238" s="73">
        <f t="shared" si="1781"/>
        <v>0</v>
      </c>
      <c r="CW238" s="73">
        <f t="shared" si="1782"/>
        <v>0</v>
      </c>
      <c r="CX238" s="73">
        <f t="shared" si="1783"/>
        <v>0</v>
      </c>
      <c r="CY238" s="73">
        <f t="shared" si="1784"/>
        <v>0</v>
      </c>
      <c r="CZ238" s="190"/>
      <c r="DA238" s="66">
        <v>2018</v>
      </c>
      <c r="DB238" s="218">
        <f t="shared" si="1707"/>
        <v>1836.744944454374</v>
      </c>
      <c r="DC238" s="218">
        <f t="shared" si="1708"/>
        <v>7018.4848874300624</v>
      </c>
      <c r="DD238" s="73">
        <f t="shared" si="1709"/>
        <v>1256.325912941124</v>
      </c>
      <c r="DE238" s="73">
        <f t="shared" si="1710"/>
        <v>703.69448506651418</v>
      </c>
      <c r="DF238" s="73">
        <f t="shared" si="1711"/>
        <v>1416.6296621416966</v>
      </c>
      <c r="DG238" s="73">
        <f t="shared" si="1712"/>
        <v>3583.6884600488002</v>
      </c>
      <c r="DH238" s="72">
        <f t="shared" si="1739"/>
        <v>0.25957069878803424</v>
      </c>
      <c r="DI238" s="72">
        <f t="shared" si="1740"/>
        <v>0.33188061645812733</v>
      </c>
      <c r="DJ238" s="73">
        <f>SUM(AV224:AV238,BB224:BB238,BI224:BI238)</f>
        <v>1569.5551125699399</v>
      </c>
      <c r="DK238" s="73">
        <f>SUM(AV230:AV238,BB230:BB238,BI230:BI238)</f>
        <v>1569.5551125699399</v>
      </c>
      <c r="DL238" s="190"/>
    </row>
    <row r="239" spans="8:116" x14ac:dyDescent="0.25">
      <c r="V239" s="13"/>
      <c r="W239" s="66">
        <v>15</v>
      </c>
      <c r="X239" s="66">
        <v>2019</v>
      </c>
      <c r="Y239" s="70">
        <f t="shared" si="1785"/>
        <v>0.10224084239936213</v>
      </c>
      <c r="Z239" s="70">
        <f t="shared" si="1786"/>
        <v>3.2580559631701374E-2</v>
      </c>
      <c r="AA239" s="70">
        <f t="shared" si="1787"/>
        <v>4.3877449826514398E-2</v>
      </c>
      <c r="AB239" s="70">
        <f t="shared" si="1788"/>
        <v>4.5600300961105844E-3</v>
      </c>
      <c r="AC239" s="70">
        <f t="shared" si="1789"/>
        <v>9.8249200376616691E-2</v>
      </c>
      <c r="AD239" s="70">
        <f t="shared" si="1790"/>
        <v>5.594564639296358E-2</v>
      </c>
      <c r="AE239" s="70">
        <f t="shared" si="1791"/>
        <v>7.8683751021691631E-2</v>
      </c>
      <c r="AF239" s="70">
        <f t="shared" si="1792"/>
        <v>1.431376414662134E-2</v>
      </c>
      <c r="AG239" s="70">
        <f t="shared" si="1793"/>
        <v>3.8679570672292926E-2</v>
      </c>
      <c r="AH239" s="70">
        <f t="shared" si="1794"/>
        <v>7.2315968732316049E-3</v>
      </c>
      <c r="AI239" s="70">
        <f t="shared" si="1795"/>
        <v>4.588164609464479E-2</v>
      </c>
      <c r="AJ239" s="70">
        <f t="shared" si="1796"/>
        <v>7.6112426945225728E-2</v>
      </c>
      <c r="AK239" s="70">
        <f t="shared" si="1797"/>
        <v>5.2051084604865697E-2</v>
      </c>
      <c r="AL239" s="70">
        <f t="shared" si="1798"/>
        <v>6.9326340098585723E-2</v>
      </c>
      <c r="AM239" s="70">
        <f t="shared" si="1799"/>
        <v>5.4769104364028025E-3</v>
      </c>
      <c r="AN239" s="70">
        <f t="shared" si="1800"/>
        <v>1.8229495521526532E-2</v>
      </c>
      <c r="AO239" s="70">
        <f t="shared" si="1801"/>
        <v>7.3799111719232813E-2</v>
      </c>
      <c r="AP239" s="190"/>
      <c r="AQ239" s="66">
        <v>15</v>
      </c>
      <c r="AR239" s="66">
        <v>2019</v>
      </c>
      <c r="AS239" s="215">
        <f t="shared" si="1690"/>
        <v>878.04844415941795</v>
      </c>
      <c r="AT239" s="215">
        <f t="shared" si="1691"/>
        <v>279.80314933943669</v>
      </c>
      <c r="AU239" s="215">
        <f t="shared" si="1692"/>
        <v>376.82129420809872</v>
      </c>
      <c r="AV239" s="215">
        <f t="shared" si="1693"/>
        <v>39.161720866601549</v>
      </c>
      <c r="AW239" s="215">
        <f t="shared" si="1694"/>
        <v>843.7680628023993</v>
      </c>
      <c r="AX239" s="215">
        <f t="shared" si="1695"/>
        <v>480.46344904862701</v>
      </c>
      <c r="AY239" s="215">
        <f t="shared" si="1696"/>
        <v>675.7392011243287</v>
      </c>
      <c r="AZ239" s="215">
        <f t="shared" si="1697"/>
        <v>122.92717904174994</v>
      </c>
      <c r="BA239" s="215">
        <f t="shared" si="1698"/>
        <v>332.18170011647857</v>
      </c>
      <c r="BB239" s="215">
        <f t="shared" si="1699"/>
        <v>62.105243211187961</v>
      </c>
      <c r="BC239" s="215">
        <f t="shared" si="1700"/>
        <v>394.03341192665329</v>
      </c>
      <c r="BD239" s="215">
        <f t="shared" si="1701"/>
        <v>653.65656710267638</v>
      </c>
      <c r="BE239" s="215">
        <f t="shared" si="1702"/>
        <v>447.01679662997083</v>
      </c>
      <c r="BF239" s="215">
        <f t="shared" si="1703"/>
        <v>595.37738182025817</v>
      </c>
      <c r="BG239" s="215">
        <f t="shared" si="1704"/>
        <v>47.035925904244728</v>
      </c>
      <c r="BH239" s="215">
        <f t="shared" si="1705"/>
        <v>156.55563671869072</v>
      </c>
      <c r="BI239" s="215">
        <f t="shared" si="1706"/>
        <v>633.7897234092402</v>
      </c>
      <c r="BJ239" s="195"/>
      <c r="BK239" s="66">
        <v>15</v>
      </c>
      <c r="BL239" s="66">
        <v>2019</v>
      </c>
      <c r="BM239" s="215">
        <f t="shared" si="1749"/>
        <v>211.57595450064349</v>
      </c>
      <c r="BN239" s="219">
        <f t="shared" si="1750"/>
        <v>110.65930483406522</v>
      </c>
      <c r="BO239" s="219">
        <f t="shared" si="1751"/>
        <v>8.889392333092097</v>
      </c>
      <c r="BP239" s="219">
        <f t="shared" si="1752"/>
        <v>1.0570484486777949</v>
      </c>
      <c r="BQ239" s="219">
        <f t="shared" si="1753"/>
        <v>52.477437737848376</v>
      </c>
      <c r="BR239" s="220">
        <f t="shared" si="1754"/>
        <v>21.24789442757919</v>
      </c>
      <c r="BS239" s="219">
        <f t="shared" si="1755"/>
        <v>63.381103790109165</v>
      </c>
      <c r="BT239" s="219">
        <f t="shared" si="1756"/>
        <v>14.981774942863737</v>
      </c>
      <c r="BU239" s="219">
        <f t="shared" si="1757"/>
        <v>2.8464524291748958</v>
      </c>
      <c r="BV239" s="219">
        <f t="shared" si="1758"/>
        <v>1.1856097628139688</v>
      </c>
      <c r="BW239" s="219">
        <f t="shared" si="1759"/>
        <v>0.36330665755449837</v>
      </c>
      <c r="BX239" s="220">
        <f t="shared" si="1760"/>
        <v>7.2056970746889798E-2</v>
      </c>
      <c r="BY239" s="195"/>
      <c r="BZ239" s="192">
        <v>15</v>
      </c>
      <c r="CA239" s="66">
        <v>2019</v>
      </c>
      <c r="CB239" s="218">
        <f t="shared" si="1761"/>
        <v>25.194628555281223</v>
      </c>
      <c r="CC239" s="218">
        <f t="shared" si="1762"/>
        <v>6.9025243184436187</v>
      </c>
      <c r="CD239" s="73">
        <f t="shared" si="1763"/>
        <v>7.0645679928767064</v>
      </c>
      <c r="CE239" s="73">
        <f t="shared" si="1764"/>
        <v>33.291780456807118</v>
      </c>
      <c r="CF239" s="73">
        <f t="shared" si="1765"/>
        <v>17.118708419802445</v>
      </c>
      <c r="CG239" s="73">
        <f t="shared" si="1766"/>
        <v>2.4651358087848432</v>
      </c>
      <c r="CH239" s="73">
        <f t="shared" si="1767"/>
        <v>0.32961485105378319</v>
      </c>
      <c r="CI239" s="73">
        <f t="shared" si="1768"/>
        <v>6.4529734915652259</v>
      </c>
      <c r="CJ239" s="73">
        <f t="shared" si="1769"/>
        <v>2.307279124508856</v>
      </c>
      <c r="CK239" s="73">
        <f t="shared" si="1770"/>
        <v>0.13139122094856123</v>
      </c>
      <c r="CL239" s="73">
        <f t="shared" si="1771"/>
        <v>8.3598377171262249E-3</v>
      </c>
      <c r="CM239" s="73">
        <f t="shared" si="1772"/>
        <v>213.46916418391797</v>
      </c>
      <c r="CN239" s="73">
        <f t="shared" si="1773"/>
        <v>299.68685699076246</v>
      </c>
      <c r="CO239" s="73">
        <f t="shared" si="1774"/>
        <v>64.084553712736707</v>
      </c>
      <c r="CP239" s="73">
        <f t="shared" si="1775"/>
        <v>6.6160493432169503</v>
      </c>
      <c r="CQ239" s="73">
        <f t="shared" si="1776"/>
        <v>1.2470973563110965</v>
      </c>
      <c r="CR239" s="73">
        <f t="shared" si="1777"/>
        <v>19.028477407936279</v>
      </c>
      <c r="CS239" s="73">
        <f t="shared" si="1778"/>
        <v>3.8494449094915564</v>
      </c>
      <c r="CT239" s="73">
        <f t="shared" si="1779"/>
        <v>21.957273889004654</v>
      </c>
      <c r="CU239" s="73">
        <f t="shared" si="1780"/>
        <v>3.4947970826199004</v>
      </c>
      <c r="CV239" s="73">
        <f t="shared" si="1781"/>
        <v>0.20578234683181859</v>
      </c>
      <c r="CW239" s="73">
        <f t="shared" si="1782"/>
        <v>0.15022618641075389</v>
      </c>
      <c r="CX239" s="73">
        <f t="shared" si="1783"/>
        <v>0</v>
      </c>
      <c r="CY239" s="73">
        <f t="shared" si="1784"/>
        <v>0</v>
      </c>
      <c r="CZ239" s="190"/>
      <c r="DA239" s="66">
        <v>2019</v>
      </c>
      <c r="DB239" s="218">
        <f t="shared" si="1707"/>
        <v>1413.9231654907401</v>
      </c>
      <c r="DC239" s="218">
        <f t="shared" si="1708"/>
        <v>6283.4281999430304</v>
      </c>
      <c r="DD239" s="73">
        <f t="shared" si="1709"/>
        <v>1888.0964845205522</v>
      </c>
      <c r="DE239" s="73">
        <f t="shared" si="1710"/>
        <v>1089.4301043544738</v>
      </c>
      <c r="DF239" s="73">
        <f t="shared" si="1711"/>
        <v>1204.2456157480203</v>
      </c>
      <c r="DG239" s="73">
        <f t="shared" si="1712"/>
        <v>2860.6588277155251</v>
      </c>
      <c r="DH239" s="72">
        <f t="shared" si="1739"/>
        <v>0.39759818318191931</v>
      </c>
      <c r="DI239" s="72">
        <f t="shared" si="1740"/>
        <v>0.47497128508898029</v>
      </c>
      <c r="DJ239" s="73">
        <f>SUM(AV224:AV239,BB224:BB239,BI224:BI239)</f>
        <v>2304.6118000569695</v>
      </c>
      <c r="DK239" s="73">
        <f>SUM(AV230:AV239,BB230:BB239,BI230:BI239)</f>
        <v>2304.6118000569695</v>
      </c>
      <c r="DL239" s="190"/>
    </row>
    <row r="240" spans="8:116" x14ac:dyDescent="0.25">
      <c r="V240" s="13"/>
      <c r="W240" s="66">
        <v>16</v>
      </c>
      <c r="X240" s="66">
        <v>2020</v>
      </c>
      <c r="Y240" s="70">
        <f t="shared" si="1785"/>
        <v>6.4796165047057069E-2</v>
      </c>
      <c r="Z240" s="70">
        <f t="shared" si="1786"/>
        <v>2.1843525905788905E-2</v>
      </c>
      <c r="AA240" s="70">
        <f t="shared" si="1787"/>
        <v>3.8538500027702011E-2</v>
      </c>
      <c r="AB240" s="70">
        <f t="shared" si="1788"/>
        <v>3.2130927710022853E-3</v>
      </c>
      <c r="AC240" s="70">
        <f t="shared" si="1789"/>
        <v>6.708755215141908E-2</v>
      </c>
      <c r="AD240" s="70">
        <f t="shared" si="1790"/>
        <v>3.9104686877750108E-2</v>
      </c>
      <c r="AE240" s="70">
        <f t="shared" si="1791"/>
        <v>9.6908713206105154E-2</v>
      </c>
      <c r="AF240" s="70">
        <f t="shared" si="1792"/>
        <v>2.1358327752981344E-2</v>
      </c>
      <c r="AG240" s="70">
        <f t="shared" si="1793"/>
        <v>3.573414655183127E-2</v>
      </c>
      <c r="AH240" s="70">
        <f t="shared" si="1794"/>
        <v>5.7530283195878947E-3</v>
      </c>
      <c r="AI240" s="70">
        <f t="shared" si="1795"/>
        <v>3.2643231150590313E-2</v>
      </c>
      <c r="AJ240" s="70">
        <f t="shared" si="1796"/>
        <v>5.7361820503332731E-2</v>
      </c>
      <c r="AK240" s="70">
        <f t="shared" si="1797"/>
        <v>4.4162155736806041E-2</v>
      </c>
      <c r="AL240" s="70">
        <f t="shared" si="1798"/>
        <v>0.10737868337860562</v>
      </c>
      <c r="AM240" s="70">
        <f t="shared" si="1799"/>
        <v>1.1166275395504594E-2</v>
      </c>
      <c r="AN240" s="70">
        <f t="shared" si="1800"/>
        <v>1.8967749751596541E-2</v>
      </c>
      <c r="AO240" s="70">
        <f t="shared" si="1801"/>
        <v>6.5631033641354378E-2</v>
      </c>
      <c r="AP240" s="190"/>
      <c r="AQ240" s="66">
        <v>16</v>
      </c>
      <c r="AR240" s="66">
        <v>2020</v>
      </c>
      <c r="AS240" s="215">
        <f t="shared" si="1690"/>
        <v>556.4720572707281</v>
      </c>
      <c r="AT240" s="215">
        <f t="shared" si="1691"/>
        <v>187.59307421995138</v>
      </c>
      <c r="AU240" s="215">
        <f t="shared" si="1692"/>
        <v>330.97017977790603</v>
      </c>
      <c r="AV240" s="215">
        <f t="shared" si="1693"/>
        <v>27.594169241078468</v>
      </c>
      <c r="AW240" s="215">
        <f t="shared" si="1694"/>
        <v>576.15058137847313</v>
      </c>
      <c r="AX240" s="215">
        <f t="shared" si="1695"/>
        <v>335.83261509359306</v>
      </c>
      <c r="AY240" s="215">
        <f t="shared" si="1696"/>
        <v>832.25590536255936</v>
      </c>
      <c r="AZ240" s="215">
        <f t="shared" si="1697"/>
        <v>183.4261730757139</v>
      </c>
      <c r="BA240" s="215">
        <f t="shared" si="1698"/>
        <v>306.88627995298907</v>
      </c>
      <c r="BB240" s="215">
        <f t="shared" si="1699"/>
        <v>49.407237329753627</v>
      </c>
      <c r="BC240" s="215">
        <f t="shared" si="1700"/>
        <v>280.34137485051565</v>
      </c>
      <c r="BD240" s="215">
        <f t="shared" si="1701"/>
        <v>492.62560895544169</v>
      </c>
      <c r="BE240" s="215">
        <f t="shared" si="1702"/>
        <v>379.26635995391979</v>
      </c>
      <c r="BF240" s="215">
        <f t="shared" si="1703"/>
        <v>922.1724280028003</v>
      </c>
      <c r="BG240" s="215">
        <f t="shared" si="1704"/>
        <v>95.896419747609286</v>
      </c>
      <c r="BH240" s="215">
        <f t="shared" si="1705"/>
        <v>162.89579357670118</v>
      </c>
      <c r="BI240" s="215">
        <f t="shared" si="1706"/>
        <v>563.64194215329712</v>
      </c>
      <c r="BJ240" s="195"/>
      <c r="BK240" s="66">
        <v>16</v>
      </c>
      <c r="BL240" s="66">
        <v>2020</v>
      </c>
      <c r="BM240" s="215">
        <f t="shared" si="1749"/>
        <v>171.98003337414139</v>
      </c>
      <c r="BN240" s="219">
        <f t="shared" si="1750"/>
        <v>119.45406692780395</v>
      </c>
      <c r="BO240" s="219">
        <f t="shared" si="1751"/>
        <v>13.262649516553754</v>
      </c>
      <c r="BP240" s="219">
        <f t="shared" si="1752"/>
        <v>2.1895301344899436</v>
      </c>
      <c r="BQ240" s="219">
        <f t="shared" si="1753"/>
        <v>46.05228894851993</v>
      </c>
      <c r="BR240" s="220">
        <f t="shared" si="1754"/>
        <v>29.683380612978709</v>
      </c>
      <c r="BS240" s="219">
        <f t="shared" si="1755"/>
        <v>60.054943173270004</v>
      </c>
      <c r="BT240" s="219">
        <f t="shared" si="1756"/>
        <v>16.346436743626438</v>
      </c>
      <c r="BU240" s="219">
        <f t="shared" si="1757"/>
        <v>6.8416574114267474</v>
      </c>
      <c r="BV240" s="219">
        <f t="shared" si="1758"/>
        <v>2.3088739920085377</v>
      </c>
      <c r="BW240" s="219">
        <f t="shared" si="1759"/>
        <v>1.3436617308766126</v>
      </c>
      <c r="BX240" s="220">
        <f t="shared" si="1760"/>
        <v>0.2645509639942053</v>
      </c>
      <c r="BY240" s="195"/>
      <c r="BZ240" s="192">
        <v>16</v>
      </c>
      <c r="CA240" s="66">
        <v>2020</v>
      </c>
      <c r="CB240" s="218">
        <f t="shared" si="1761"/>
        <v>15.967349953852533</v>
      </c>
      <c r="CC240" s="218">
        <f t="shared" si="1762"/>
        <v>4.7743073162669383</v>
      </c>
      <c r="CD240" s="73">
        <f t="shared" si="1763"/>
        <v>6.8525119709590001</v>
      </c>
      <c r="CE240" s="73">
        <f t="shared" si="1764"/>
        <v>23.531457143788042</v>
      </c>
      <c r="CF240" s="73">
        <f t="shared" si="1765"/>
        <v>12.572727378202861</v>
      </c>
      <c r="CG240" s="73">
        <f t="shared" si="1766"/>
        <v>3.4173275043082487</v>
      </c>
      <c r="CH240" s="73">
        <f t="shared" si="1767"/>
        <v>0.6216635489955924</v>
      </c>
      <c r="CI240" s="73">
        <f t="shared" si="1768"/>
        <v>5.900543911856845</v>
      </c>
      <c r="CJ240" s="73">
        <f t="shared" si="1769"/>
        <v>3.0861261572470817</v>
      </c>
      <c r="CK240" s="73">
        <f t="shared" si="1770"/>
        <v>0.24791215020123641</v>
      </c>
      <c r="CL240" s="73">
        <f t="shared" si="1771"/>
        <v>2.9479535153719538E-2</v>
      </c>
      <c r="CM240" s="73">
        <f t="shared" si="1772"/>
        <v>161.75652297964956</v>
      </c>
      <c r="CN240" s="73">
        <f t="shared" si="1773"/>
        <v>251.78032433299552</v>
      </c>
      <c r="CO240" s="73">
        <f t="shared" si="1774"/>
        <v>66.071278940168028</v>
      </c>
      <c r="CP240" s="73">
        <f t="shared" si="1775"/>
        <v>15.334061451913797</v>
      </c>
      <c r="CQ240" s="73">
        <f t="shared" si="1776"/>
        <v>4.4313582111605632</v>
      </c>
      <c r="CR240" s="73">
        <f t="shared" si="1777"/>
        <v>21.542761619756984</v>
      </c>
      <c r="CS240" s="73">
        <f t="shared" si="1778"/>
        <v>8.7225738204242784</v>
      </c>
      <c r="CT240" s="73">
        <f t="shared" si="1779"/>
        <v>26.018877235742501</v>
      </c>
      <c r="CU240" s="73">
        <f t="shared" si="1780"/>
        <v>6.1502394199819177</v>
      </c>
      <c r="CV240" s="73">
        <f t="shared" si="1781"/>
        <v>1.168510674054247</v>
      </c>
      <c r="CW240" s="73">
        <f t="shared" si="1782"/>
        <v>0.48671028151088164</v>
      </c>
      <c r="CX240" s="73">
        <f t="shared" si="1783"/>
        <v>0.14914273744966841</v>
      </c>
      <c r="CY240" s="73">
        <f t="shared" si="1784"/>
        <v>2.9580448489055656E-2</v>
      </c>
      <c r="CZ240" s="190"/>
      <c r="DA240" s="66">
        <v>2020</v>
      </c>
      <c r="DB240" s="218">
        <f t="shared" si="1707"/>
        <v>1016.0512982689861</v>
      </c>
      <c r="DC240" s="218">
        <f t="shared" si="1708"/>
        <v>5642.7848512189021</v>
      </c>
      <c r="DD240" s="73">
        <f t="shared" si="1709"/>
        <v>2413.0172861426026</v>
      </c>
      <c r="DE240" s="73">
        <f t="shared" si="1710"/>
        <v>1397.3352077043294</v>
      </c>
      <c r="DF240" s="73">
        <f t="shared" si="1711"/>
        <v>935.86277738265858</v>
      </c>
      <c r="DG240" s="73">
        <f t="shared" si="1712"/>
        <v>2154.7322538077142</v>
      </c>
      <c r="DH240" s="72">
        <f t="shared" si="1739"/>
        <v>0.52827267892819907</v>
      </c>
      <c r="DI240" s="72">
        <f t="shared" si="1740"/>
        <v>0.5988926857624699</v>
      </c>
      <c r="DJ240" s="73">
        <f>SUM(AV224:AV240,BB224:BB240,BI224:BI240)</f>
        <v>2945.2551487810988</v>
      </c>
      <c r="DK240" s="73">
        <f>SUM(AV230:AV240,BB230:BB240,BI230:BI240)</f>
        <v>2945.2551487810988</v>
      </c>
      <c r="DL240" s="190"/>
    </row>
    <row r="241" spans="22:116" x14ac:dyDescent="0.25">
      <c r="V241" s="63"/>
      <c r="W241" s="66">
        <v>17</v>
      </c>
      <c r="X241" s="66">
        <v>2021</v>
      </c>
      <c r="Y241" s="70">
        <f t="shared" si="1785"/>
        <v>4.1065223117054975E-2</v>
      </c>
      <c r="Z241" s="70">
        <f t="shared" si="1786"/>
        <v>1.4367251330038267E-2</v>
      </c>
      <c r="AA241" s="70">
        <f t="shared" si="1787"/>
        <v>3.1771361808522275E-2</v>
      </c>
      <c r="AB241" s="70">
        <f t="shared" si="1788"/>
        <v>2.2518636000584537E-3</v>
      </c>
      <c r="AC241" s="70">
        <f t="shared" si="1789"/>
        <v>4.4806027409578501E-2</v>
      </c>
      <c r="AD241" s="70">
        <f t="shared" si="1790"/>
        <v>2.6497177148528745E-2</v>
      </c>
      <c r="AE241" s="70">
        <f t="shared" si="1791"/>
        <v>0.11087314249807359</v>
      </c>
      <c r="AF241" s="70">
        <f t="shared" si="1792"/>
        <v>2.7918066183536934E-2</v>
      </c>
      <c r="AG241" s="70">
        <f t="shared" si="1793"/>
        <v>3.0782940845336247E-2</v>
      </c>
      <c r="AH241" s="70">
        <f t="shared" si="1794"/>
        <v>4.4889314057581838E-3</v>
      </c>
      <c r="AI241" s="70">
        <f t="shared" si="1795"/>
        <v>2.2380525055847634E-2</v>
      </c>
      <c r="AJ241" s="70">
        <f t="shared" si="1796"/>
        <v>4.0718872740305043E-2</v>
      </c>
      <c r="AK241" s="70">
        <f t="shared" si="1797"/>
        <v>3.4019689964297564E-2</v>
      </c>
      <c r="AL241" s="70">
        <f t="shared" si="1798"/>
        <v>0.1364031490715473</v>
      </c>
      <c r="AM241" s="70">
        <f t="shared" si="1799"/>
        <v>1.7499148905059603E-2</v>
      </c>
      <c r="AN241" s="70">
        <f t="shared" si="1800"/>
        <v>1.7581096979051532E-2</v>
      </c>
      <c r="AO241" s="70">
        <f t="shared" si="1801"/>
        <v>5.3627065374475952E-2</v>
      </c>
      <c r="AP241" s="190"/>
      <c r="AQ241" s="66">
        <v>17</v>
      </c>
      <c r="AR241" s="66">
        <v>2021</v>
      </c>
      <c r="AS241" s="215">
        <f t="shared" si="1690"/>
        <v>352.66977873819286</v>
      </c>
      <c r="AT241" s="215">
        <f t="shared" si="1691"/>
        <v>123.38652911242185</v>
      </c>
      <c r="AU241" s="215">
        <f t="shared" si="1692"/>
        <v>272.85372606606165</v>
      </c>
      <c r="AV241" s="215">
        <f t="shared" si="1693"/>
        <v>19.339094671846006</v>
      </c>
      <c r="AW241" s="215">
        <f t="shared" si="1694"/>
        <v>384.79595563455661</v>
      </c>
      <c r="AX241" s="215">
        <f t="shared" si="1695"/>
        <v>227.55881723865082</v>
      </c>
      <c r="AY241" s="215">
        <f t="shared" si="1696"/>
        <v>952.18298269915601</v>
      </c>
      <c r="AZ241" s="215">
        <f t="shared" si="1697"/>
        <v>239.76146910686256</v>
      </c>
      <c r="BA241" s="215">
        <f t="shared" si="1698"/>
        <v>264.36512729738155</v>
      </c>
      <c r="BB241" s="215">
        <f t="shared" si="1699"/>
        <v>38.551122469907519</v>
      </c>
      <c r="BC241" s="215">
        <f t="shared" si="1700"/>
        <v>192.20484440062174</v>
      </c>
      <c r="BD241" s="215">
        <f t="shared" si="1701"/>
        <v>349.69530784864935</v>
      </c>
      <c r="BE241" s="215">
        <f t="shared" si="1702"/>
        <v>292.16245820098607</v>
      </c>
      <c r="BF241" s="215">
        <f t="shared" si="1703"/>
        <v>1171.4357003524112</v>
      </c>
      <c r="BG241" s="215">
        <f t="shared" si="1704"/>
        <v>150.28339076260809</v>
      </c>
      <c r="BH241" s="215">
        <f t="shared" si="1705"/>
        <v>150.98716409997374</v>
      </c>
      <c r="BI241" s="215">
        <f t="shared" si="1706"/>
        <v>460.5513825186145</v>
      </c>
      <c r="BJ241" s="195"/>
      <c r="BK241" s="66">
        <v>17</v>
      </c>
      <c r="BL241" s="66">
        <v>2021</v>
      </c>
      <c r="BM241" s="215">
        <f t="shared" si="1749"/>
        <v>129.80949331405327</v>
      </c>
      <c r="BN241" s="219">
        <f t="shared" si="1750"/>
        <v>113.78792689731958</v>
      </c>
      <c r="BO241" s="219">
        <f t="shared" si="1751"/>
        <v>17.256654301079585</v>
      </c>
      <c r="BP241" s="219">
        <f t="shared" si="1752"/>
        <v>3.5110527849291051</v>
      </c>
      <c r="BQ241" s="219">
        <f t="shared" si="1753"/>
        <v>35.650592264519354</v>
      </c>
      <c r="BR241" s="220">
        <f t="shared" si="1754"/>
        <v>33.021357314836031</v>
      </c>
      <c r="BS241" s="219">
        <f t="shared" si="1755"/>
        <v>50.054176898789258</v>
      </c>
      <c r="BT241" s="219">
        <f t="shared" si="1756"/>
        <v>14.396381083131843</v>
      </c>
      <c r="BU241" s="219">
        <f t="shared" si="1757"/>
        <v>10.949922690370189</v>
      </c>
      <c r="BV241" s="219">
        <f t="shared" si="1758"/>
        <v>3.5231000986735244</v>
      </c>
      <c r="BW241" s="219">
        <f t="shared" si="1759"/>
        <v>2.826925311022594</v>
      </c>
      <c r="BX241" s="220">
        <f t="shared" si="1760"/>
        <v>0.56470843863092279</v>
      </c>
      <c r="BY241" s="195"/>
      <c r="BZ241" s="192">
        <v>17</v>
      </c>
      <c r="CA241" s="66">
        <v>2021</v>
      </c>
      <c r="CB241" s="218">
        <f t="shared" si="1761"/>
        <v>10.11946907609207</v>
      </c>
      <c r="CC241" s="218">
        <f t="shared" si="1762"/>
        <v>3.2009181770960398</v>
      </c>
      <c r="CD241" s="73">
        <f t="shared" si="1763"/>
        <v>6.0187074186578959</v>
      </c>
      <c r="CE241" s="73">
        <f t="shared" si="1764"/>
        <v>16.067997014543501</v>
      </c>
      <c r="CF241" s="73">
        <f t="shared" si="1765"/>
        <v>8.7880398033219489</v>
      </c>
      <c r="CG241" s="73">
        <f t="shared" si="1766"/>
        <v>4.2088589670190748</v>
      </c>
      <c r="CH241" s="73">
        <f t="shared" si="1767"/>
        <v>0.92761720086491295</v>
      </c>
      <c r="CI241" s="73">
        <f t="shared" si="1768"/>
        <v>4.7962715861628817</v>
      </c>
      <c r="CJ241" s="73">
        <f t="shared" si="1769"/>
        <v>3.3313992084825972</v>
      </c>
      <c r="CK241" s="73">
        <f t="shared" si="1770"/>
        <v>0.36987589655304792</v>
      </c>
      <c r="CL241" s="73">
        <f t="shared" si="1771"/>
        <v>6.1062792959548917E-2</v>
      </c>
      <c r="CM241" s="73">
        <f t="shared" si="1772"/>
        <v>115.08426613222089</v>
      </c>
      <c r="CN241" s="73">
        <f t="shared" si="1773"/>
        <v>189.75321574036502</v>
      </c>
      <c r="CO241" s="73">
        <f t="shared" si="1774"/>
        <v>56.057431510522171</v>
      </c>
      <c r="CP241" s="73">
        <f t="shared" si="1775"/>
        <v>23.750732076893865</v>
      </c>
      <c r="CQ241" s="73">
        <f t="shared" si="1776"/>
        <v>9.0346129878378534</v>
      </c>
      <c r="CR241" s="73">
        <f t="shared" si="1777"/>
        <v>18.905143345948936</v>
      </c>
      <c r="CS241" s="73">
        <f t="shared" si="1778"/>
        <v>12.185465224280875</v>
      </c>
      <c r="CT241" s="73">
        <f t="shared" si="1779"/>
        <v>24.653439280567525</v>
      </c>
      <c r="CU241" s="73">
        <f t="shared" si="1780"/>
        <v>6.7104532019939152</v>
      </c>
      <c r="CV241" s="73">
        <f t="shared" si="1781"/>
        <v>2.8086012018096125</v>
      </c>
      <c r="CW241" s="73">
        <f t="shared" si="1782"/>
        <v>0.94782680260364383</v>
      </c>
      <c r="CX241" s="73">
        <f t="shared" si="1783"/>
        <v>0.55159294381836843</v>
      </c>
      <c r="CY241" s="73">
        <f t="shared" si="1784"/>
        <v>0.10860206975184815</v>
      </c>
      <c r="CZ241" s="190"/>
      <c r="DA241" s="66">
        <v>2021</v>
      </c>
      <c r="DB241" s="218">
        <f t="shared" si="1707"/>
        <v>700.64065419972201</v>
      </c>
      <c r="DC241" s="218">
        <f t="shared" si="1708"/>
        <v>5124.3432515585337</v>
      </c>
      <c r="DD241" s="73">
        <f t="shared" si="1709"/>
        <v>2805.8260011220241</v>
      </c>
      <c r="DE241" s="73">
        <f t="shared" si="1710"/>
        <v>1613.8815493160055</v>
      </c>
      <c r="DF241" s="73">
        <f t="shared" si="1711"/>
        <v>692.88731634924477</v>
      </c>
      <c r="DG241" s="73">
        <f t="shared" si="1712"/>
        <v>1569.6072165198339</v>
      </c>
      <c r="DH241" s="72">
        <f t="shared" si="1739"/>
        <v>0.64126815827261685</v>
      </c>
      <c r="DI241" s="72">
        <f t="shared" si="1740"/>
        <v>0.6996286335131271</v>
      </c>
      <c r="DJ241" s="73">
        <f>SUM(AV224:AV241,BB224:BB241,BI224:BI241)</f>
        <v>3463.6967484414672</v>
      </c>
      <c r="DK241" s="73">
        <f>SUM(AV230:AV241,BB230:BB241,BI230:BI241)</f>
        <v>3463.6967484414672</v>
      </c>
      <c r="DL241" s="190"/>
    </row>
    <row r="242" spans="22:116" x14ac:dyDescent="0.25">
      <c r="V242" s="63"/>
      <c r="W242" s="66">
        <v>18</v>
      </c>
      <c r="X242" s="66">
        <v>2022</v>
      </c>
      <c r="Y242" s="70">
        <f t="shared" si="1785"/>
        <v>2.6025499324363141E-2</v>
      </c>
      <c r="Z242" s="70">
        <f t="shared" si="1786"/>
        <v>9.3348436493219857E-3</v>
      </c>
      <c r="AA242" s="70">
        <f t="shared" si="1787"/>
        <v>2.5075551257826709E-2</v>
      </c>
      <c r="AB242" s="70">
        <f t="shared" si="1788"/>
        <v>1.5696862854475498E-3</v>
      </c>
      <c r="AC242" s="70">
        <f t="shared" si="1789"/>
        <v>2.9482688499825917E-2</v>
      </c>
      <c r="AD242" s="70">
        <f t="shared" si="1790"/>
        <v>1.7592969099059799E-2</v>
      </c>
      <c r="AE242" s="70">
        <f t="shared" si="1791"/>
        <v>0.12085284815233331</v>
      </c>
      <c r="AF242" s="70">
        <f t="shared" si="1792"/>
        <v>3.3621107184826873E-2</v>
      </c>
      <c r="AG242" s="70">
        <f t="shared" si="1793"/>
        <v>2.5451256003643848E-2</v>
      </c>
      <c r="AH242" s="70">
        <f t="shared" si="1794"/>
        <v>3.5033323140700183E-3</v>
      </c>
      <c r="AI242" s="70">
        <f t="shared" si="1795"/>
        <v>1.4987350972137069E-2</v>
      </c>
      <c r="AJ242" s="70">
        <f t="shared" si="1796"/>
        <v>2.7877042345714864E-2</v>
      </c>
      <c r="AK242" s="70">
        <f t="shared" si="1797"/>
        <v>2.486923765102184E-2</v>
      </c>
      <c r="AL242" s="70">
        <f t="shared" si="1798"/>
        <v>0.15515692600642345</v>
      </c>
      <c r="AM242" s="70">
        <f t="shared" si="1799"/>
        <v>2.3627428750644566E-2</v>
      </c>
      <c r="AN242" s="70">
        <f t="shared" si="1800"/>
        <v>1.5376670254706268E-2</v>
      </c>
      <c r="AO242" s="70">
        <f t="shared" si="1801"/>
        <v>4.2279235305411E-2</v>
      </c>
      <c r="AP242" s="190"/>
      <c r="AQ242" s="66">
        <v>18</v>
      </c>
      <c r="AR242" s="66">
        <v>2022</v>
      </c>
      <c r="AS242" s="215">
        <f t="shared" si="1690"/>
        <v>223.50802921760365</v>
      </c>
      <c r="AT242" s="215">
        <f t="shared" si="1691"/>
        <v>80.168010654123194</v>
      </c>
      <c r="AU242" s="215">
        <f t="shared" si="1692"/>
        <v>215.34983722426611</v>
      </c>
      <c r="AV242" s="215">
        <f t="shared" si="1693"/>
        <v>13.480528606874977</v>
      </c>
      <c r="AW242" s="215">
        <f t="shared" si="1694"/>
        <v>253.19850814404498</v>
      </c>
      <c r="AX242" s="215">
        <f t="shared" si="1695"/>
        <v>151.08912234148951</v>
      </c>
      <c r="AY242" s="215">
        <f t="shared" si="1696"/>
        <v>1037.8890940461647</v>
      </c>
      <c r="AZ242" s="215">
        <f t="shared" si="1697"/>
        <v>288.73941334758064</v>
      </c>
      <c r="BA242" s="215">
        <f t="shared" si="1698"/>
        <v>218.57640460953354</v>
      </c>
      <c r="BB242" s="215">
        <f t="shared" si="1699"/>
        <v>30.086758046525883</v>
      </c>
      <c r="BC242" s="215">
        <f t="shared" si="1700"/>
        <v>128.71196964275205</v>
      </c>
      <c r="BD242" s="215">
        <f t="shared" si="1701"/>
        <v>239.4091547466931</v>
      </c>
      <c r="BE242" s="215">
        <f t="shared" si="1702"/>
        <v>213.57800771648161</v>
      </c>
      <c r="BF242" s="215">
        <f t="shared" si="1703"/>
        <v>1332.493886820205</v>
      </c>
      <c r="BG242" s="215">
        <f t="shared" si="1704"/>
        <v>202.91330320768557</v>
      </c>
      <c r="BH242" s="215">
        <f t="shared" si="1705"/>
        <v>132.05545921422762</v>
      </c>
      <c r="BI242" s="215">
        <f t="shared" si="1706"/>
        <v>363.09576397228193</v>
      </c>
      <c r="BJ242" s="195"/>
      <c r="BK242" s="66">
        <v>18</v>
      </c>
      <c r="BL242" s="66">
        <v>2022</v>
      </c>
      <c r="BM242" s="215">
        <f t="shared" si="1749"/>
        <v>93.248128569706736</v>
      </c>
      <c r="BN242" s="219">
        <f t="shared" si="1750"/>
        <v>99.907085134653684</v>
      </c>
      <c r="BO242" s="219">
        <f t="shared" si="1751"/>
        <v>20.573193166039523</v>
      </c>
      <c r="BP242" s="219">
        <f t="shared" si="1752"/>
        <v>4.847997739133592</v>
      </c>
      <c r="BQ242" s="219">
        <f t="shared" si="1753"/>
        <v>25.736374858141879</v>
      </c>
      <c r="BR242" s="220">
        <f t="shared" si="1754"/>
        <v>32.143604358071933</v>
      </c>
      <c r="BS242" s="219">
        <f t="shared" si="1755"/>
        <v>38.46612889218207</v>
      </c>
      <c r="BT242" s="219">
        <f t="shared" si="1756"/>
        <v>11.35180134029358</v>
      </c>
      <c r="BU242" s="219">
        <f t="shared" si="1757"/>
        <v>14.237430064983212</v>
      </c>
      <c r="BV242" s="219">
        <f t="shared" si="1758"/>
        <v>4.6593575741952291</v>
      </c>
      <c r="BW242" s="219">
        <f t="shared" si="1759"/>
        <v>4.5348335798015356</v>
      </c>
      <c r="BX242" s="220">
        <f t="shared" si="1760"/>
        <v>0.92592854655819412</v>
      </c>
      <c r="BY242" s="195"/>
      <c r="BZ242" s="192">
        <v>18</v>
      </c>
      <c r="CA242" s="66">
        <v>2022</v>
      </c>
      <c r="CB242" s="218">
        <f t="shared" si="1761"/>
        <v>6.4133155894961869</v>
      </c>
      <c r="CC242" s="218">
        <f t="shared" si="1762"/>
        <v>2.1053558906000167</v>
      </c>
      <c r="CD242" s="73">
        <f t="shared" si="1763"/>
        <v>4.9618571267787726</v>
      </c>
      <c r="CE242" s="73">
        <f t="shared" si="1764"/>
        <v>10.731396385215003</v>
      </c>
      <c r="CF242" s="73">
        <f t="shared" si="1765"/>
        <v>5.9547401104350923</v>
      </c>
      <c r="CG242" s="73">
        <f t="shared" si="1766"/>
        <v>4.8153504939450817</v>
      </c>
      <c r="CH242" s="73">
        <f t="shared" si="1767"/>
        <v>1.2125143272566832</v>
      </c>
      <c r="CI242" s="73">
        <f t="shared" si="1768"/>
        <v>3.6201969041483366</v>
      </c>
      <c r="CJ242" s="73">
        <f t="shared" si="1769"/>
        <v>3.1733788505477296</v>
      </c>
      <c r="CK242" s="73">
        <f t="shared" si="1770"/>
        <v>0.48126284820775178</v>
      </c>
      <c r="CL242" s="73">
        <f t="shared" si="1771"/>
        <v>9.7918126770206504E-2</v>
      </c>
      <c r="CM242" s="73">
        <f t="shared" si="1772"/>
        <v>78.902921399661437</v>
      </c>
      <c r="CN242" s="73">
        <f t="shared" si="1773"/>
        <v>134.69825357698781</v>
      </c>
      <c r="CO242" s="73">
        <f t="shared" si="1774"/>
        <v>43.183046850075122</v>
      </c>
      <c r="CP242" s="73">
        <f t="shared" si="1775"/>
        <v>30.170556632923052</v>
      </c>
      <c r="CQ242" s="73">
        <f t="shared" si="1776"/>
        <v>14.158529355044243</v>
      </c>
      <c r="CR242" s="73">
        <f t="shared" si="1777"/>
        <v>14.635093553810806</v>
      </c>
      <c r="CS242" s="73">
        <f t="shared" si="1778"/>
        <v>13.555753856504849</v>
      </c>
      <c r="CT242" s="73">
        <f t="shared" si="1779"/>
        <v>20.547977330571083</v>
      </c>
      <c r="CU242" s="73">
        <f t="shared" si="1780"/>
        <v>5.9099266128499828</v>
      </c>
      <c r="CV242" s="73">
        <f t="shared" si="1781"/>
        <v>4.4951046476737684</v>
      </c>
      <c r="CW242" s="73">
        <f t="shared" si="1782"/>
        <v>1.4462845150217105</v>
      </c>
      <c r="CX242" s="73">
        <f t="shared" si="1783"/>
        <v>1.1604945042561459</v>
      </c>
      <c r="CY242" s="73">
        <f t="shared" si="1784"/>
        <v>0.23182113690198486</v>
      </c>
      <c r="CZ242" s="190"/>
      <c r="DA242" s="66">
        <v>2022</v>
      </c>
      <c r="DB242" s="218">
        <f t="shared" si="1707"/>
        <v>470.66628774230583</v>
      </c>
      <c r="DC242" s="218">
        <f t="shared" si="1708"/>
        <v>4717.6802009328521</v>
      </c>
      <c r="DD242" s="73">
        <f t="shared" si="1709"/>
        <v>3075.6137051381179</v>
      </c>
      <c r="DE242" s="73">
        <f t="shared" si="1710"/>
        <v>1748.9851977443723</v>
      </c>
      <c r="DF242" s="73">
        <f t="shared" si="1711"/>
        <v>500.17658360367284</v>
      </c>
      <c r="DG242" s="73">
        <f t="shared" si="1712"/>
        <v>1123.0406186987409</v>
      </c>
      <c r="DH242" s="72">
        <f t="shared" si="1739"/>
        <v>0.73252367733086632</v>
      </c>
      <c r="DI242" s="72">
        <f t="shared" si="1740"/>
        <v>0.77761644904712468</v>
      </c>
      <c r="DJ242" s="73">
        <f>SUM(AV224:AV242,BB224:BB242,BI224:BI242)</f>
        <v>3870.3597990671497</v>
      </c>
      <c r="DK242" s="73">
        <f>SUM(AV230:AV242,BB230:BB242,BI230:BI242)</f>
        <v>3870.3597990671497</v>
      </c>
      <c r="DL242" s="190"/>
    </row>
    <row r="243" spans="22:116" x14ac:dyDescent="0.25">
      <c r="V243" s="63"/>
      <c r="W243" s="66">
        <v>19</v>
      </c>
      <c r="X243" s="66">
        <v>2023</v>
      </c>
      <c r="Y243" s="70">
        <f t="shared" si="1785"/>
        <v>1.6493922683720252E-2</v>
      </c>
      <c r="Z243" s="70">
        <f t="shared" si="1786"/>
        <v>6.0165843106862226E-3</v>
      </c>
      <c r="AA243" s="70">
        <f t="shared" si="1787"/>
        <v>1.9175907309662951E-2</v>
      </c>
      <c r="AB243" s="70">
        <f t="shared" si="1788"/>
        <v>1.0885561849707627E-3</v>
      </c>
      <c r="AC243" s="70">
        <f t="shared" si="1789"/>
        <v>1.9200678610970398E-2</v>
      </c>
      <c r="AD243" s="70">
        <f t="shared" si="1790"/>
        <v>1.1521981388494302E-2</v>
      </c>
      <c r="AE243" s="70">
        <f t="shared" si="1791"/>
        <v>0.12747628032773398</v>
      </c>
      <c r="AF243" s="70">
        <f t="shared" si="1792"/>
        <v>3.8384262265503462E-2</v>
      </c>
      <c r="AG243" s="70">
        <f t="shared" si="1793"/>
        <v>2.058843059001958E-2</v>
      </c>
      <c r="AH243" s="70">
        <f t="shared" si="1794"/>
        <v>2.7735996444758718E-3</v>
      </c>
      <c r="AI243" s="70">
        <f t="shared" si="1795"/>
        <v>9.8797952987752635E-3</v>
      </c>
      <c r="AJ243" s="70">
        <f t="shared" si="1796"/>
        <v>1.8646268206401223E-2</v>
      </c>
      <c r="AK243" s="70">
        <f t="shared" si="1797"/>
        <v>1.7668491317609638E-2</v>
      </c>
      <c r="AL243" s="70">
        <f t="shared" si="1798"/>
        <v>0.16514359469345416</v>
      </c>
      <c r="AM243" s="70">
        <f t="shared" si="1799"/>
        <v>2.9071815908510976E-2</v>
      </c>
      <c r="AN243" s="70">
        <f t="shared" si="1800"/>
        <v>1.3100599803729313E-2</v>
      </c>
      <c r="AO243" s="70">
        <f t="shared" si="1801"/>
        <v>3.3100650607131299E-2</v>
      </c>
      <c r="AP243" s="190"/>
      <c r="AQ243" s="66">
        <v>19</v>
      </c>
      <c r="AR243" s="66">
        <v>2023</v>
      </c>
      <c r="AS243" s="215">
        <f t="shared" si="1690"/>
        <v>141.65046776469688</v>
      </c>
      <c r="AT243" s="215">
        <f t="shared" si="1691"/>
        <v>51.670666723545715</v>
      </c>
      <c r="AU243" s="215">
        <f t="shared" si="1692"/>
        <v>164.68345901167783</v>
      </c>
      <c r="AV243" s="215">
        <f t="shared" si="1693"/>
        <v>9.3485640587763097</v>
      </c>
      <c r="AW243" s="215">
        <f t="shared" si="1694"/>
        <v>164.89619593815823</v>
      </c>
      <c r="AX243" s="215">
        <f t="shared" si="1695"/>
        <v>98.95123704364461</v>
      </c>
      <c r="AY243" s="215">
        <f t="shared" si="1696"/>
        <v>1094.7713945057926</v>
      </c>
      <c r="AZ243" s="215">
        <f t="shared" si="1697"/>
        <v>329.64557970663441</v>
      </c>
      <c r="BA243" s="215">
        <f t="shared" si="1698"/>
        <v>176.81426544431176</v>
      </c>
      <c r="BB243" s="215">
        <f t="shared" si="1699"/>
        <v>23.819784690744569</v>
      </c>
      <c r="BC243" s="215">
        <f t="shared" si="1700"/>
        <v>84.848077217693927</v>
      </c>
      <c r="BD243" s="215">
        <f t="shared" si="1701"/>
        <v>160.13489720730198</v>
      </c>
      <c r="BE243" s="215">
        <f t="shared" si="1702"/>
        <v>151.73771017528429</v>
      </c>
      <c r="BF243" s="215">
        <f t="shared" si="1703"/>
        <v>1418.2597969711721</v>
      </c>
      <c r="BG243" s="215">
        <f t="shared" si="1704"/>
        <v>249.66991789492863</v>
      </c>
      <c r="BH243" s="215">
        <f t="shared" si="1705"/>
        <v>112.5084751384195</v>
      </c>
      <c r="BI243" s="215">
        <f t="shared" si="1706"/>
        <v>284.26971144006791</v>
      </c>
      <c r="BJ243" s="195"/>
      <c r="BK243" s="66">
        <v>19</v>
      </c>
      <c r="BL243" s="66">
        <v>2023</v>
      </c>
      <c r="BM243" s="215">
        <f t="shared" si="1749"/>
        <v>64.725707622138316</v>
      </c>
      <c r="BN243" s="219">
        <f t="shared" si="1750"/>
        <v>82.875786003374969</v>
      </c>
      <c r="BO243" s="219">
        <f t="shared" si="1751"/>
        <v>23.127523811263167</v>
      </c>
      <c r="BP243" s="219">
        <f t="shared" si="1752"/>
        <v>6.0852480075353199</v>
      </c>
      <c r="BQ243" s="219">
        <f t="shared" si="1753"/>
        <v>17.812538201940562</v>
      </c>
      <c r="BR243" s="220">
        <f t="shared" si="1754"/>
        <v>28.679535874489869</v>
      </c>
      <c r="BS243" s="219">
        <f t="shared" si="1755"/>
        <v>27.996140526715191</v>
      </c>
      <c r="BT243" s="219">
        <f t="shared" si="1756"/>
        <v>8.418534049756877</v>
      </c>
      <c r="BU243" s="219">
        <f t="shared" si="1757"/>
        <v>16.45344954401066</v>
      </c>
      <c r="BV243" s="219">
        <f t="shared" si="1758"/>
        <v>5.6214516075754135</v>
      </c>
      <c r="BW243" s="219">
        <f t="shared" si="1759"/>
        <v>6.227110130467838</v>
      </c>
      <c r="BX243" s="220">
        <f t="shared" si="1760"/>
        <v>1.2997152034630846</v>
      </c>
      <c r="BY243" s="195"/>
      <c r="BZ243" s="192">
        <v>19</v>
      </c>
      <c r="CA243" s="66">
        <v>2023</v>
      </c>
      <c r="CB243" s="218">
        <f t="shared" si="1761"/>
        <v>4.064503437996434</v>
      </c>
      <c r="CC243" s="218">
        <f t="shared" si="1762"/>
        <v>1.3679142665125115</v>
      </c>
      <c r="CD243" s="73">
        <f t="shared" si="1763"/>
        <v>3.9161463542673642</v>
      </c>
      <c r="CE243" s="73">
        <f t="shared" si="1764"/>
        <v>7.061336054216107</v>
      </c>
      <c r="CF243" s="73">
        <f t="shared" si="1765"/>
        <v>3.953687525602454</v>
      </c>
      <c r="CG243" s="73">
        <f t="shared" si="1766"/>
        <v>5.2487808041980903</v>
      </c>
      <c r="CH243" s="73">
        <f t="shared" si="1767"/>
        <v>1.460204080462945</v>
      </c>
      <c r="CI243" s="73">
        <f t="shared" si="1768"/>
        <v>2.6005539174932752</v>
      </c>
      <c r="CJ243" s="73">
        <f t="shared" si="1769"/>
        <v>2.7862624764424795</v>
      </c>
      <c r="CK243" s="73">
        <f t="shared" si="1770"/>
        <v>0.57375626625359333</v>
      </c>
      <c r="CL243" s="73">
        <f t="shared" si="1771"/>
        <v>0.13520356607562162</v>
      </c>
      <c r="CM243" s="73">
        <f t="shared" si="1772"/>
        <v>52.838160534338861</v>
      </c>
      <c r="CN243" s="73">
        <f t="shared" si="1773"/>
        <v>92.217408443694495</v>
      </c>
      <c r="CO243" s="73">
        <f t="shared" si="1774"/>
        <v>31.56787894706796</v>
      </c>
      <c r="CP243" s="73">
        <f t="shared" si="1775"/>
        <v>34.318641871029264</v>
      </c>
      <c r="CQ243" s="73">
        <f t="shared" si="1776"/>
        <v>19.116909363145851</v>
      </c>
      <c r="CR243" s="73">
        <f t="shared" si="1777"/>
        <v>10.565161189754187</v>
      </c>
      <c r="CS243" s="73">
        <f t="shared" si="1778"/>
        <v>13.195423331164282</v>
      </c>
      <c r="CT243" s="73">
        <f t="shared" si="1779"/>
        <v>15.790912835697858</v>
      </c>
      <c r="CU243" s="73">
        <f t="shared" si="1780"/>
        <v>4.660081756476572</v>
      </c>
      <c r="CV243" s="73">
        <f t="shared" si="1781"/>
        <v>5.8446748772317259</v>
      </c>
      <c r="CW243" s="73">
        <f t="shared" si="1782"/>
        <v>1.9127349552301611</v>
      </c>
      <c r="CX243" s="73">
        <f t="shared" si="1783"/>
        <v>1.8616160202592085</v>
      </c>
      <c r="CY243" s="73">
        <f t="shared" si="1784"/>
        <v>0.38010731497747624</v>
      </c>
      <c r="CZ243" s="190"/>
      <c r="DA243" s="66">
        <v>2023</v>
      </c>
      <c r="DB243" s="218">
        <f t="shared" si="1707"/>
        <v>310.75680097449231</v>
      </c>
      <c r="DC243" s="218">
        <f t="shared" si="1708"/>
        <v>4400.2421407432621</v>
      </c>
      <c r="DD243" s="73">
        <f t="shared" si="1709"/>
        <v>3244.0843992538121</v>
      </c>
      <c r="DE243" s="73">
        <f t="shared" si="1710"/>
        <v>1819.6674250413851</v>
      </c>
      <c r="DF243" s="73">
        <f t="shared" si="1711"/>
        <v>357.49144956341542</v>
      </c>
      <c r="DG243" s="73">
        <f t="shared" si="1712"/>
        <v>798.15314798953</v>
      </c>
      <c r="DH243" s="72">
        <f t="shared" si="1739"/>
        <v>0.80254669878719986</v>
      </c>
      <c r="DI243" s="72">
        <f t="shared" si="1740"/>
        <v>0.83579909866324864</v>
      </c>
      <c r="DJ243" s="73">
        <f>SUM(AV224:AV243,BB224:BB243,BI224:BI243)</f>
        <v>4187.7978592567388</v>
      </c>
      <c r="DK243" s="73">
        <f>SUM(AV230:AV243,BB230:BB243,BI230:BI243)</f>
        <v>4187.7978592567388</v>
      </c>
      <c r="DL243" s="190"/>
    </row>
    <row r="244" spans="22:116" x14ac:dyDescent="0.25">
      <c r="V244" s="13"/>
      <c r="W244" s="197" t="s">
        <v>586</v>
      </c>
      <c r="X244" s="190"/>
      <c r="Y244" s="190"/>
      <c r="Z244" s="190"/>
      <c r="AA244" s="190"/>
      <c r="AB244" s="190"/>
      <c r="AC244" s="190"/>
      <c r="AD244" s="190"/>
      <c r="AE244" s="190"/>
      <c r="AF244" s="190"/>
      <c r="AG244" s="190"/>
      <c r="AH244" s="190"/>
      <c r="AI244" s="190"/>
      <c r="AJ244" s="190"/>
      <c r="AK244" s="190"/>
      <c r="AL244" s="190"/>
      <c r="AM244" s="190"/>
      <c r="AN244" s="190"/>
      <c r="AO244" s="190"/>
      <c r="AP244" s="190"/>
      <c r="AQ244" s="193" t="s">
        <v>90</v>
      </c>
      <c r="AR244" s="25"/>
      <c r="AS244" s="213"/>
      <c r="AT244" s="213"/>
      <c r="AU244" s="213"/>
      <c r="AV244" s="213"/>
      <c r="AW244" s="213"/>
      <c r="AX244" s="213"/>
      <c r="AY244" s="213"/>
      <c r="AZ244" s="213"/>
      <c r="BA244" s="213"/>
      <c r="BB244" s="213"/>
      <c r="BC244" s="213"/>
      <c r="BD244" s="213"/>
      <c r="BE244" s="213"/>
      <c r="BF244" s="213"/>
      <c r="BG244" s="213"/>
      <c r="BH244" s="213"/>
      <c r="BI244" s="213"/>
      <c r="BJ244" s="25"/>
      <c r="BK244" s="25"/>
      <c r="BL244" s="25"/>
      <c r="BM244" s="348" t="s">
        <v>570</v>
      </c>
      <c r="BN244" s="349"/>
      <c r="BO244" s="349"/>
      <c r="BP244" s="349"/>
      <c r="BQ244" s="350" t="s">
        <v>570</v>
      </c>
      <c r="BR244" s="350"/>
      <c r="BS244" s="350"/>
      <c r="BT244" s="350"/>
      <c r="BU244" s="350"/>
      <c r="BV244" s="350"/>
      <c r="BW244" s="350"/>
      <c r="BX244" s="351"/>
      <c r="BY244" s="199"/>
      <c r="BZ244" s="25"/>
      <c r="CA244" s="25"/>
      <c r="CB244" s="350" t="s">
        <v>302</v>
      </c>
      <c r="CC244" s="350"/>
      <c r="CD244" s="350"/>
      <c r="CE244" s="350" t="s">
        <v>302</v>
      </c>
      <c r="CF244" s="350"/>
      <c r="CG244" s="350"/>
      <c r="CH244" s="350"/>
      <c r="CI244" s="350"/>
      <c r="CJ244" s="350"/>
      <c r="CK244" s="350"/>
      <c r="CL244" s="350"/>
      <c r="CM244" s="350" t="s">
        <v>302</v>
      </c>
      <c r="CN244" s="350"/>
      <c r="CO244" s="350"/>
      <c r="CP244" s="350"/>
      <c r="CQ244" s="350"/>
      <c r="CR244" s="350"/>
      <c r="CS244" s="350"/>
      <c r="CT244" s="350"/>
      <c r="CU244" s="350"/>
      <c r="CV244" s="350"/>
      <c r="CW244" s="350"/>
      <c r="CX244" s="350"/>
      <c r="CY244" s="350"/>
      <c r="CZ244" s="190"/>
      <c r="DA244" s="190" t="s">
        <v>100</v>
      </c>
      <c r="DB244" s="217"/>
      <c r="DC244" s="217"/>
      <c r="DD244" s="217"/>
      <c r="DE244" s="217"/>
      <c r="DF244" s="217"/>
      <c r="DG244" s="217"/>
      <c r="DH244" s="222"/>
      <c r="DI244" s="222"/>
      <c r="DJ244" s="217"/>
      <c r="DK244" s="217"/>
      <c r="DL244" s="190"/>
    </row>
    <row r="245" spans="22:116" x14ac:dyDescent="0.25">
      <c r="V245" s="13"/>
      <c r="W245" s="66" t="s">
        <v>88</v>
      </c>
      <c r="X245" s="66" t="s">
        <v>89</v>
      </c>
      <c r="Y245" s="61" t="s">
        <v>320</v>
      </c>
      <c r="Z245" s="61" t="s">
        <v>319</v>
      </c>
      <c r="AA245" s="61" t="s">
        <v>318</v>
      </c>
      <c r="AB245" s="61" t="s">
        <v>317</v>
      </c>
      <c r="AC245" s="61" t="s">
        <v>321</v>
      </c>
      <c r="AD245" s="61" t="s">
        <v>322</v>
      </c>
      <c r="AE245" s="61" t="s">
        <v>323</v>
      </c>
      <c r="AF245" s="61" t="s">
        <v>324</v>
      </c>
      <c r="AG245" s="61" t="s">
        <v>325</v>
      </c>
      <c r="AH245" s="61" t="s">
        <v>326</v>
      </c>
      <c r="AI245" s="61" t="s">
        <v>327</v>
      </c>
      <c r="AJ245" s="61" t="s">
        <v>328</v>
      </c>
      <c r="AK245" s="61" t="s">
        <v>329</v>
      </c>
      <c r="AL245" s="61" t="s">
        <v>330</v>
      </c>
      <c r="AM245" s="61" t="s">
        <v>331</v>
      </c>
      <c r="AN245" s="61" t="s">
        <v>332</v>
      </c>
      <c r="AO245" s="61" t="s">
        <v>333</v>
      </c>
      <c r="AP245" s="190"/>
      <c r="AQ245" s="66" t="s">
        <v>88</v>
      </c>
      <c r="AR245" s="66" t="s">
        <v>89</v>
      </c>
      <c r="AS245" s="214" t="s">
        <v>320</v>
      </c>
      <c r="AT245" s="214" t="s">
        <v>319</v>
      </c>
      <c r="AU245" s="214" t="s">
        <v>318</v>
      </c>
      <c r="AV245" s="214" t="s">
        <v>317</v>
      </c>
      <c r="AW245" s="214" t="s">
        <v>321</v>
      </c>
      <c r="AX245" s="214" t="s">
        <v>322</v>
      </c>
      <c r="AY245" s="214" t="s">
        <v>323</v>
      </c>
      <c r="AZ245" s="214" t="s">
        <v>324</v>
      </c>
      <c r="BA245" s="214" t="s">
        <v>325</v>
      </c>
      <c r="BB245" s="214" t="s">
        <v>326</v>
      </c>
      <c r="BC245" s="214" t="s">
        <v>327</v>
      </c>
      <c r="BD245" s="214" t="s">
        <v>328</v>
      </c>
      <c r="BE245" s="214" t="s">
        <v>329</v>
      </c>
      <c r="BF245" s="214" t="s">
        <v>330</v>
      </c>
      <c r="BG245" s="214" t="s">
        <v>331</v>
      </c>
      <c r="BH245" s="214" t="s">
        <v>332</v>
      </c>
      <c r="BI245" s="214" t="s">
        <v>333</v>
      </c>
      <c r="BJ245" s="182"/>
      <c r="BK245" s="66" t="s">
        <v>88</v>
      </c>
      <c r="BL245" s="66" t="s">
        <v>89</v>
      </c>
      <c r="BM245" s="122" t="s">
        <v>627</v>
      </c>
      <c r="BN245" s="122" t="s">
        <v>715</v>
      </c>
      <c r="BO245" s="122" t="s">
        <v>628</v>
      </c>
      <c r="BP245" s="122" t="s">
        <v>629</v>
      </c>
      <c r="BQ245" s="122" t="s">
        <v>627</v>
      </c>
      <c r="BR245" s="122" t="s">
        <v>716</v>
      </c>
      <c r="BS245" s="122" t="s">
        <v>717</v>
      </c>
      <c r="BT245" s="122" t="s">
        <v>721</v>
      </c>
      <c r="BU245" s="122" t="s">
        <v>720</v>
      </c>
      <c r="BV245" s="122" t="s">
        <v>719</v>
      </c>
      <c r="BW245" s="122" t="s">
        <v>629</v>
      </c>
      <c r="BX245" s="122" t="s">
        <v>722</v>
      </c>
      <c r="BY245" s="182"/>
      <c r="BZ245" s="192" t="s">
        <v>88</v>
      </c>
      <c r="CA245" s="66" t="s">
        <v>89</v>
      </c>
      <c r="CB245" s="218" t="s">
        <v>124</v>
      </c>
      <c r="CC245" s="218" t="s">
        <v>630</v>
      </c>
      <c r="CD245" s="218" t="s">
        <v>570</v>
      </c>
      <c r="CE245" s="218" t="s">
        <v>124</v>
      </c>
      <c r="CF245" s="218" t="s">
        <v>630</v>
      </c>
      <c r="CG245" s="218" t="s">
        <v>631</v>
      </c>
      <c r="CH245" s="218" t="s">
        <v>632</v>
      </c>
      <c r="CI245" s="227" t="s">
        <v>624</v>
      </c>
      <c r="CJ245" s="227" t="s">
        <v>725</v>
      </c>
      <c r="CK245" s="227" t="s">
        <v>625</v>
      </c>
      <c r="CL245" s="227" t="s">
        <v>626</v>
      </c>
      <c r="CM245" s="218" t="s">
        <v>124</v>
      </c>
      <c r="CN245" s="218" t="s">
        <v>633</v>
      </c>
      <c r="CO245" s="218" t="s">
        <v>634</v>
      </c>
      <c r="CP245" s="218" t="s">
        <v>635</v>
      </c>
      <c r="CQ245" s="218" t="s">
        <v>632</v>
      </c>
      <c r="CR245" s="122" t="s">
        <v>624</v>
      </c>
      <c r="CS245" s="122" t="s">
        <v>726</v>
      </c>
      <c r="CT245" s="122" t="s">
        <v>727</v>
      </c>
      <c r="CU245" s="122" t="s">
        <v>637</v>
      </c>
      <c r="CV245" s="122" t="s">
        <v>638</v>
      </c>
      <c r="CW245" s="122" t="s">
        <v>728</v>
      </c>
      <c r="CX245" s="122" t="s">
        <v>626</v>
      </c>
      <c r="CY245" s="122" t="s">
        <v>729</v>
      </c>
      <c r="CZ245" s="190"/>
      <c r="DA245" s="67" t="s">
        <v>89</v>
      </c>
      <c r="DB245" s="219" t="s">
        <v>91</v>
      </c>
      <c r="DC245" s="219" t="s">
        <v>99</v>
      </c>
      <c r="DD245" s="215" t="s">
        <v>92</v>
      </c>
      <c r="DE245" s="215" t="s">
        <v>97</v>
      </c>
      <c r="DF245" s="215" t="s">
        <v>93</v>
      </c>
      <c r="DG245" s="215" t="s">
        <v>94</v>
      </c>
      <c r="DH245" s="223" t="s">
        <v>96</v>
      </c>
      <c r="DI245" s="223" t="s">
        <v>98</v>
      </c>
      <c r="DJ245" s="219" t="s">
        <v>95</v>
      </c>
      <c r="DK245" s="219" t="s">
        <v>102</v>
      </c>
      <c r="DL245" s="190"/>
    </row>
    <row r="246" spans="22:116" x14ac:dyDescent="0.25">
      <c r="V246" s="13"/>
      <c r="W246" s="66">
        <v>0</v>
      </c>
      <c r="X246" s="66">
        <v>2004</v>
      </c>
      <c r="Y246" s="69">
        <v>0</v>
      </c>
      <c r="Z246" s="69">
        <v>0</v>
      </c>
      <c r="AA246" s="69">
        <v>0</v>
      </c>
      <c r="AB246" s="69">
        <v>0</v>
      </c>
      <c r="AC246" s="69">
        <v>0</v>
      </c>
      <c r="AD246" s="69">
        <v>0</v>
      </c>
      <c r="AE246" s="69">
        <v>0</v>
      </c>
      <c r="AF246" s="69">
        <v>0</v>
      </c>
      <c r="AG246" s="69">
        <v>0</v>
      </c>
      <c r="AH246" s="69">
        <v>0</v>
      </c>
      <c r="AI246" s="69">
        <v>0</v>
      </c>
      <c r="AJ246" s="69">
        <v>0</v>
      </c>
      <c r="AK246" s="69">
        <v>0</v>
      </c>
      <c r="AL246" s="69">
        <v>0</v>
      </c>
      <c r="AM246" s="69">
        <v>0</v>
      </c>
      <c r="AN246" s="69">
        <v>0</v>
      </c>
      <c r="AO246" s="69">
        <v>0</v>
      </c>
      <c r="AP246" s="190"/>
      <c r="AQ246" s="66">
        <v>0</v>
      </c>
      <c r="AR246" s="66">
        <v>2004</v>
      </c>
      <c r="AS246" s="215">
        <f t="shared" ref="AS246:AS265" si="1802">Inc_2015*Y246</f>
        <v>0</v>
      </c>
      <c r="AT246" s="215">
        <f t="shared" ref="AT246:AT265" si="1803">Inc_2015*Z246</f>
        <v>0</v>
      </c>
      <c r="AU246" s="215">
        <f t="shared" ref="AU246:AU265" si="1804">Inc_2015*AA246</f>
        <v>0</v>
      </c>
      <c r="AV246" s="215">
        <f t="shared" ref="AV246:AV265" si="1805">Inc_2015*AB246</f>
        <v>0</v>
      </c>
      <c r="AW246" s="215">
        <f t="shared" ref="AW246:AW265" si="1806">Inc_2015*AC246</f>
        <v>0</v>
      </c>
      <c r="AX246" s="215">
        <f t="shared" ref="AX246:AX265" si="1807">Inc_2015*AD246</f>
        <v>0</v>
      </c>
      <c r="AY246" s="215">
        <f t="shared" ref="AY246:AY265" si="1808">Inc_2015*AE246</f>
        <v>0</v>
      </c>
      <c r="AZ246" s="215">
        <f t="shared" ref="AZ246:AZ265" si="1809">Inc_2015*AF246</f>
        <v>0</v>
      </c>
      <c r="BA246" s="215">
        <f t="shared" ref="BA246:BA265" si="1810">Inc_2015*AG246</f>
        <v>0</v>
      </c>
      <c r="BB246" s="215">
        <f t="shared" ref="BB246:BB265" si="1811">Inc_2015*AH246</f>
        <v>0</v>
      </c>
      <c r="BC246" s="215">
        <f t="shared" ref="BC246:BC265" si="1812">Inc_2015*AI246</f>
        <v>0</v>
      </c>
      <c r="BD246" s="215">
        <f t="shared" ref="BD246:BD265" si="1813">Inc_2015*AJ246</f>
        <v>0</v>
      </c>
      <c r="BE246" s="215">
        <f t="shared" ref="BE246:BE265" si="1814">Inc_2015*AK246</f>
        <v>0</v>
      </c>
      <c r="BF246" s="215">
        <f t="shared" ref="BF246:BF265" si="1815">Inc_2015*AL246</f>
        <v>0</v>
      </c>
      <c r="BG246" s="215">
        <f t="shared" ref="BG246:BG265" si="1816">Inc_2015*AM246</f>
        <v>0</v>
      </c>
      <c r="BH246" s="215">
        <f t="shared" ref="BH246:BH265" si="1817">Inc_2015*AN246</f>
        <v>0</v>
      </c>
      <c r="BI246" s="215">
        <f t="shared" ref="BI246:BI265" si="1818">Inc_2015*AO246</f>
        <v>0</v>
      </c>
      <c r="BJ246" s="195"/>
      <c r="BK246" s="66">
        <v>0</v>
      </c>
      <c r="BL246" s="66">
        <v>2004</v>
      </c>
      <c r="BM246" s="215">
        <f>BA246</f>
        <v>0</v>
      </c>
      <c r="BN246" s="219">
        <v>0</v>
      </c>
      <c r="BO246" s="219">
        <v>0</v>
      </c>
      <c r="BP246" s="219">
        <v>0</v>
      </c>
      <c r="BQ246" s="219">
        <f>BH246</f>
        <v>0</v>
      </c>
      <c r="BR246" s="219">
        <v>0</v>
      </c>
      <c r="BS246" s="219">
        <v>0</v>
      </c>
      <c r="BT246" s="219">
        <v>0</v>
      </c>
      <c r="BU246" s="219">
        <v>0</v>
      </c>
      <c r="BV246" s="219">
        <v>0</v>
      </c>
      <c r="BW246" s="219">
        <v>0</v>
      </c>
      <c r="BX246" s="219">
        <v>0</v>
      </c>
      <c r="BY246" s="195"/>
      <c r="BZ246" s="192">
        <v>0</v>
      </c>
      <c r="CA246" s="66">
        <v>2004</v>
      </c>
      <c r="CB246" s="218">
        <v>0</v>
      </c>
      <c r="CC246" s="218">
        <v>0</v>
      </c>
      <c r="CD246" s="218">
        <v>0</v>
      </c>
      <c r="CE246" s="218">
        <v>0</v>
      </c>
      <c r="CF246" s="218">
        <v>0</v>
      </c>
      <c r="CG246" s="218">
        <v>0</v>
      </c>
      <c r="CH246" s="218">
        <v>0</v>
      </c>
      <c r="CI246" s="218">
        <v>0</v>
      </c>
      <c r="CJ246" s="218">
        <v>0</v>
      </c>
      <c r="CK246" s="218">
        <v>0</v>
      </c>
      <c r="CL246" s="218">
        <v>0</v>
      </c>
      <c r="CM246" s="218">
        <v>0</v>
      </c>
      <c r="CN246" s="218">
        <v>0</v>
      </c>
      <c r="CO246" s="218">
        <v>0</v>
      </c>
      <c r="CP246" s="218">
        <v>0</v>
      </c>
      <c r="CQ246" s="218">
        <v>0</v>
      </c>
      <c r="CR246" s="218">
        <v>0</v>
      </c>
      <c r="CS246" s="218">
        <v>0</v>
      </c>
      <c r="CT246" s="218">
        <v>0</v>
      </c>
      <c r="CU246" s="218">
        <v>0</v>
      </c>
      <c r="CV246" s="218">
        <v>0</v>
      </c>
      <c r="CW246" s="218">
        <v>0</v>
      </c>
      <c r="CX246" s="218">
        <v>0</v>
      </c>
      <c r="CY246" s="218">
        <v>0</v>
      </c>
      <c r="CZ246" s="190"/>
      <c r="DA246" s="67">
        <v>2004</v>
      </c>
      <c r="DB246" s="218">
        <f t="shared" ref="DB246:DB265" si="1819">SUM(AT246,AX246,BD246)</f>
        <v>0</v>
      </c>
      <c r="DC246" s="218">
        <f t="shared" ref="DC246:DC265" si="1820">SUM(AS246:AU246,AW246:BA246,BC246:BH246)</f>
        <v>0</v>
      </c>
      <c r="DD246" s="73">
        <f t="shared" ref="DD246:DD265" si="1821">SUM(AY246:AZ246,BE246:BG246)</f>
        <v>0</v>
      </c>
      <c r="DE246" s="73">
        <f t="shared" ref="DE246:DE265" si="1822">SUM(BE246:BG246)</f>
        <v>0</v>
      </c>
      <c r="DF246" s="73">
        <f t="shared" ref="DF246:DF265" si="1823">SUM(BC246,BD246,BH246)</f>
        <v>0</v>
      </c>
      <c r="DG246" s="73">
        <f t="shared" ref="DG246:DG265" si="1824">SUM(BC246,BD246,BH246,AW246,AX246,BA246)</f>
        <v>0</v>
      </c>
      <c r="DH246" s="72" t="e">
        <f>DD246/(DD246+DG246)</f>
        <v>#DIV/0!</v>
      </c>
      <c r="DI246" s="72" t="e">
        <f>DE246/(DE246+DF246)</f>
        <v>#DIV/0!</v>
      </c>
      <c r="DJ246" s="73">
        <f>SUM(AV246,BB246,BI246)</f>
        <v>0</v>
      </c>
      <c r="DK246" s="73">
        <v>0</v>
      </c>
      <c r="DL246" s="190"/>
    </row>
    <row r="247" spans="22:116" x14ac:dyDescent="0.25">
      <c r="V247" s="13"/>
      <c r="W247" s="66">
        <v>1</v>
      </c>
      <c r="X247" s="66">
        <v>2005</v>
      </c>
      <c r="Y247" s="69">
        <v>0</v>
      </c>
      <c r="Z247" s="69">
        <v>0</v>
      </c>
      <c r="AA247" s="69">
        <v>0</v>
      </c>
      <c r="AB247" s="69">
        <v>0</v>
      </c>
      <c r="AC247" s="69">
        <v>0</v>
      </c>
      <c r="AD247" s="69">
        <v>0</v>
      </c>
      <c r="AE247" s="69">
        <v>0</v>
      </c>
      <c r="AF247" s="69">
        <v>0</v>
      </c>
      <c r="AG247" s="69">
        <v>0</v>
      </c>
      <c r="AH247" s="69">
        <v>0</v>
      </c>
      <c r="AI247" s="69">
        <v>0</v>
      </c>
      <c r="AJ247" s="69">
        <v>0</v>
      </c>
      <c r="AK247" s="69">
        <v>0</v>
      </c>
      <c r="AL247" s="69">
        <v>0</v>
      </c>
      <c r="AM247" s="69">
        <v>0</v>
      </c>
      <c r="AN247" s="69">
        <v>0</v>
      </c>
      <c r="AO247" s="69">
        <v>0</v>
      </c>
      <c r="AP247" s="190"/>
      <c r="AQ247" s="66">
        <v>1</v>
      </c>
      <c r="AR247" s="66">
        <v>2005</v>
      </c>
      <c r="AS247" s="215">
        <f t="shared" si="1802"/>
        <v>0</v>
      </c>
      <c r="AT247" s="215">
        <f t="shared" si="1803"/>
        <v>0</v>
      </c>
      <c r="AU247" s="215">
        <f t="shared" si="1804"/>
        <v>0</v>
      </c>
      <c r="AV247" s="215">
        <f t="shared" si="1805"/>
        <v>0</v>
      </c>
      <c r="AW247" s="215">
        <f t="shared" si="1806"/>
        <v>0</v>
      </c>
      <c r="AX247" s="215">
        <f t="shared" si="1807"/>
        <v>0</v>
      </c>
      <c r="AY247" s="215">
        <f t="shared" si="1808"/>
        <v>0</v>
      </c>
      <c r="AZ247" s="215">
        <f t="shared" si="1809"/>
        <v>0</v>
      </c>
      <c r="BA247" s="215">
        <f t="shared" si="1810"/>
        <v>0</v>
      </c>
      <c r="BB247" s="215">
        <f t="shared" si="1811"/>
        <v>0</v>
      </c>
      <c r="BC247" s="215">
        <f t="shared" si="1812"/>
        <v>0</v>
      </c>
      <c r="BD247" s="215">
        <f t="shared" si="1813"/>
        <v>0</v>
      </c>
      <c r="BE247" s="215">
        <f t="shared" si="1814"/>
        <v>0</v>
      </c>
      <c r="BF247" s="215">
        <f t="shared" si="1815"/>
        <v>0</v>
      </c>
      <c r="BG247" s="215">
        <f t="shared" si="1816"/>
        <v>0</v>
      </c>
      <c r="BH247" s="215">
        <f t="shared" si="1817"/>
        <v>0</v>
      </c>
      <c r="BI247" s="215">
        <f t="shared" si="1818"/>
        <v>0</v>
      </c>
      <c r="BJ247" s="195"/>
      <c r="BK247" s="66">
        <v>1</v>
      </c>
      <c r="BL247" s="66">
        <v>2005</v>
      </c>
      <c r="BM247" s="215">
        <f t="shared" ref="BM247:BM254" si="1825">(AX246*pInt_InCare_Int_LTFU_2004_2012)+(BM246*pInt_LTFU_2004_2012)</f>
        <v>0</v>
      </c>
      <c r="BN247" s="219">
        <f t="shared" ref="BN247:BN254" si="1826">(AU246*pAsympt_LTFU_Int_LTFU_2004_2012)+(BN246*pInt_LTFU_2004_2012)</f>
        <v>0</v>
      </c>
      <c r="BO247" s="219">
        <f t="shared" ref="BO247:BO254" si="1827">(AY246*pInt_ART1_Int_LTFU_2004_2012)+(BO246*pInt_LTFU_2004_2012)</f>
        <v>0</v>
      </c>
      <c r="BP247" s="219">
        <v>0</v>
      </c>
      <c r="BQ247" s="219">
        <f t="shared" ref="BQ247:BQ254" si="1828">(BD246*pAIDS_InCare_AIDS_LTFU_2004_2012)+(BQ246*pAIDS_LTFU_2004_2012)</f>
        <v>0</v>
      </c>
      <c r="BR247" s="220">
        <f>(BN246*pInt_LTFU_AIDS_LTFU_2004_2012)</f>
        <v>0</v>
      </c>
      <c r="BS247" s="219">
        <f>(BM246*pInt_LTFU_AIDS_LTFU_2004_2012)</f>
        <v>0</v>
      </c>
      <c r="BT247" s="219">
        <f>(BE246*pAIDS_ART1ear_AIDS_LTFU_2004_2012)</f>
        <v>0</v>
      </c>
      <c r="BU247" s="219">
        <f>(BF246*pAIDS_ART1late_AIDS_LTFU_2004_2012)</f>
        <v>0</v>
      </c>
      <c r="BV247" s="219">
        <f>(BO246*pInt_LTFU_AIDS_LTFU_2004_2012)</f>
        <v>0</v>
      </c>
      <c r="BW247" s="219">
        <f>(BG246*pAIDS_ART2_AIDS_LTFU_2004_2012)</f>
        <v>0</v>
      </c>
      <c r="BX247" s="220">
        <f>(BP246*pInt_LTFU_AIDS_LTFU_2004_2012)</f>
        <v>0</v>
      </c>
      <c r="BY247" s="195"/>
      <c r="BZ247" s="192">
        <v>1</v>
      </c>
      <c r="CA247" s="66">
        <v>2005</v>
      </c>
      <c r="CB247" s="218">
        <f>pAsympt_NoCare_Asympt_Dead_2004_2006*AS246</f>
        <v>0</v>
      </c>
      <c r="CC247" s="218">
        <f t="shared" ref="CC247:CC254" si="1829">pAsympt_InCare_Asympt_Dead_2004_2012*AT246</f>
        <v>0</v>
      </c>
      <c r="CD247" s="73">
        <f t="shared" ref="CD247:CD254" si="1830">pAsympt_LTFU_Asympt_Dead_2004_2012*AU246</f>
        <v>0</v>
      </c>
      <c r="CE247" s="73">
        <f>pInt_NoCare_Int_Dead_2004_2006*AW246</f>
        <v>0</v>
      </c>
      <c r="CF247" s="73">
        <f t="shared" ref="CF247:CF254" si="1831">pInt_InCare_Int_Dead_2004_2012*AX246</f>
        <v>0</v>
      </c>
      <c r="CG247" s="73">
        <f t="shared" ref="CG247:CG254" si="1832">pInt_ART1_Int_Dead_2004_2012*AY246</f>
        <v>0</v>
      </c>
      <c r="CH247" s="73">
        <f t="shared" ref="CH247:CH254" si="1833">pInt_ART2_Int_Dead_2004_2012*AZ246</f>
        <v>0</v>
      </c>
      <c r="CI247" s="73">
        <f t="shared" ref="CI247:CI254" si="1834">(BM246*pInt_LTFU_Int_Dead_2004_2012)</f>
        <v>0</v>
      </c>
      <c r="CJ247" s="73">
        <f t="shared" ref="CJ247:CJ254" si="1835">(BN246*pInt_LTFU_Int_Dead_2004_2012)</f>
        <v>0</v>
      </c>
      <c r="CK247" s="73">
        <f t="shared" ref="CK247:CK254" si="1836">(BO246*pInt_LTFU_Int_Dead_2004_2012)</f>
        <v>0</v>
      </c>
      <c r="CL247" s="73">
        <f t="shared" ref="CL247:CL254" si="1837">(BP246*pInt_LTFU_Int_Dead_2004_2012)</f>
        <v>0</v>
      </c>
      <c r="CM247" s="73">
        <f t="shared" ref="CM247:CM248" si="1838">pAIDS_NoCare_AIDS_Dead_2004_2006*BC246</f>
        <v>0</v>
      </c>
      <c r="CN247" s="73">
        <f t="shared" ref="CN247:CN254" si="1839">pAIDS_InCare_AIDS_Dead_2004_2012*BD246</f>
        <v>0</v>
      </c>
      <c r="CO247" s="73">
        <f t="shared" ref="CO247:CO254" si="1840">pAIDS_ART1ear_AIDS_Dead_2004_2012*BE246</f>
        <v>0</v>
      </c>
      <c r="CP247" s="73">
        <f t="shared" ref="CP247:CP254" si="1841">pAIDS_ART1late_AIDS_Dead_2004_2012*BF246</f>
        <v>0</v>
      </c>
      <c r="CQ247" s="73">
        <f t="shared" ref="CQ247:CQ254" si="1842">pAIDS_ART2_AIDS_Dead_2004_2012*BG246</f>
        <v>0</v>
      </c>
      <c r="CR247" s="73">
        <f t="shared" ref="CR247:CR254" si="1843">(BQ246*pAIDS_LTFU_AIDS_Dead_2004_2012)</f>
        <v>0</v>
      </c>
      <c r="CS247" s="73">
        <f t="shared" ref="CS247:CS254" si="1844">(BR246*pAIDS_LTFU_AIDS_Dead_2004_2012)</f>
        <v>0</v>
      </c>
      <c r="CT247" s="73">
        <f t="shared" ref="CT247:CT254" si="1845">(BS246*pAIDS_LTFU_AIDS_Dead_2004_2012)</f>
        <v>0</v>
      </c>
      <c r="CU247" s="73">
        <f t="shared" ref="CU247:CU254" si="1846">(BT246*pAIDS_LTFU_AIDS_Dead_2004_2012)</f>
        <v>0</v>
      </c>
      <c r="CV247" s="73">
        <f t="shared" ref="CV247:CV254" si="1847">(BU246*pAIDS_LTFU_AIDS_Dead_2004_2012)</f>
        <v>0</v>
      </c>
      <c r="CW247" s="73">
        <f t="shared" ref="CW247:CW254" si="1848">(BV246*pAIDS_LTFU_AIDS_Dead_2004_2012)</f>
        <v>0</v>
      </c>
      <c r="CX247" s="73">
        <f t="shared" ref="CX247:CX254" si="1849">(BW246*pAIDS_LTFU_AIDS_Dead_2004_2012)</f>
        <v>0</v>
      </c>
      <c r="CY247" s="73">
        <f t="shared" ref="CY247:CY254" si="1850">(BX246*pAIDS_LTFU_AIDS_Dead_2004_2012)</f>
        <v>0</v>
      </c>
      <c r="CZ247" s="190"/>
      <c r="DA247" s="67">
        <v>2005</v>
      </c>
      <c r="DB247" s="218">
        <f t="shared" si="1819"/>
        <v>0</v>
      </c>
      <c r="DC247" s="218">
        <f t="shared" si="1820"/>
        <v>0</v>
      </c>
      <c r="DD247" s="73">
        <f t="shared" si="1821"/>
        <v>0</v>
      </c>
      <c r="DE247" s="73">
        <f t="shared" si="1822"/>
        <v>0</v>
      </c>
      <c r="DF247" s="73">
        <f t="shared" si="1823"/>
        <v>0</v>
      </c>
      <c r="DG247" s="73">
        <f t="shared" si="1824"/>
        <v>0</v>
      </c>
      <c r="DH247" s="72" t="e">
        <f t="shared" ref="DH247:DH265" si="1851">DD247/(DD247+DG247)</f>
        <v>#DIV/0!</v>
      </c>
      <c r="DI247" s="72" t="e">
        <f t="shared" ref="DI247:DI265" si="1852">DE247/(DE247+DF247)</f>
        <v>#DIV/0!</v>
      </c>
      <c r="DJ247" s="73">
        <f>SUM(AV246:AV247,BB246:BB247,BI246:BI247)</f>
        <v>0</v>
      </c>
      <c r="DK247" s="73">
        <v>0</v>
      </c>
      <c r="DL247" s="190"/>
    </row>
    <row r="248" spans="22:116" x14ac:dyDescent="0.25">
      <c r="V248" s="13"/>
      <c r="W248" s="66">
        <v>2</v>
      </c>
      <c r="X248" s="66">
        <v>2006</v>
      </c>
      <c r="Y248" s="69">
        <v>0</v>
      </c>
      <c r="Z248" s="69">
        <v>0</v>
      </c>
      <c r="AA248" s="69">
        <v>0</v>
      </c>
      <c r="AB248" s="69">
        <v>0</v>
      </c>
      <c r="AC248" s="69">
        <v>0</v>
      </c>
      <c r="AD248" s="69">
        <v>0</v>
      </c>
      <c r="AE248" s="69">
        <v>0</v>
      </c>
      <c r="AF248" s="69">
        <v>0</v>
      </c>
      <c r="AG248" s="69">
        <v>0</v>
      </c>
      <c r="AH248" s="69">
        <v>0</v>
      </c>
      <c r="AI248" s="69">
        <v>0</v>
      </c>
      <c r="AJ248" s="69">
        <v>0</v>
      </c>
      <c r="AK248" s="69">
        <v>0</v>
      </c>
      <c r="AL248" s="69">
        <v>0</v>
      </c>
      <c r="AM248" s="69">
        <v>0</v>
      </c>
      <c r="AN248" s="69">
        <v>0</v>
      </c>
      <c r="AO248" s="69">
        <v>0</v>
      </c>
      <c r="AP248" s="190"/>
      <c r="AQ248" s="66">
        <v>2</v>
      </c>
      <c r="AR248" s="66">
        <v>2006</v>
      </c>
      <c r="AS248" s="215">
        <f t="shared" si="1802"/>
        <v>0</v>
      </c>
      <c r="AT248" s="215">
        <f t="shared" si="1803"/>
        <v>0</v>
      </c>
      <c r="AU248" s="215">
        <f t="shared" si="1804"/>
        <v>0</v>
      </c>
      <c r="AV248" s="215">
        <f t="shared" si="1805"/>
        <v>0</v>
      </c>
      <c r="AW248" s="215">
        <f t="shared" si="1806"/>
        <v>0</v>
      </c>
      <c r="AX248" s="215">
        <f t="shared" si="1807"/>
        <v>0</v>
      </c>
      <c r="AY248" s="215">
        <f t="shared" si="1808"/>
        <v>0</v>
      </c>
      <c r="AZ248" s="215">
        <f t="shared" si="1809"/>
        <v>0</v>
      </c>
      <c r="BA248" s="215">
        <f t="shared" si="1810"/>
        <v>0</v>
      </c>
      <c r="BB248" s="215">
        <f t="shared" si="1811"/>
        <v>0</v>
      </c>
      <c r="BC248" s="215">
        <f t="shared" si="1812"/>
        <v>0</v>
      </c>
      <c r="BD248" s="215">
        <f t="shared" si="1813"/>
        <v>0</v>
      </c>
      <c r="BE248" s="215">
        <f t="shared" si="1814"/>
        <v>0</v>
      </c>
      <c r="BF248" s="215">
        <f t="shared" si="1815"/>
        <v>0</v>
      </c>
      <c r="BG248" s="215">
        <f t="shared" si="1816"/>
        <v>0</v>
      </c>
      <c r="BH248" s="215">
        <f t="shared" si="1817"/>
        <v>0</v>
      </c>
      <c r="BI248" s="215">
        <f t="shared" si="1818"/>
        <v>0</v>
      </c>
      <c r="BJ248" s="195"/>
      <c r="BK248" s="66">
        <v>2</v>
      </c>
      <c r="BL248" s="66">
        <v>2006</v>
      </c>
      <c r="BM248" s="215">
        <f t="shared" si="1825"/>
        <v>0</v>
      </c>
      <c r="BN248" s="219">
        <f t="shared" si="1826"/>
        <v>0</v>
      </c>
      <c r="BO248" s="219">
        <f t="shared" si="1827"/>
        <v>0</v>
      </c>
      <c r="BP248" s="219">
        <f t="shared" ref="BP248:BP254" si="1853">(AZ247*pInt_ART2_Int_LTFU_2004_2012)+(BP247*pInt_LTFU_2004_2012)</f>
        <v>0</v>
      </c>
      <c r="BQ248" s="219">
        <f t="shared" si="1828"/>
        <v>0</v>
      </c>
      <c r="BR248" s="220">
        <f t="shared" ref="BR248:BR254" si="1854">(BN247*pInt_LTFU_AIDS_LTFU_2004_2012)+(BR247*pAIDS_LTFU_2004_2012)</f>
        <v>0</v>
      </c>
      <c r="BS248" s="219">
        <f t="shared" ref="BS248:BS254" si="1855">(BM247*pInt_LTFU_AIDS_LTFU_2004_2012)+(BS247*pAIDS_LTFU_2004_2012)</f>
        <v>0</v>
      </c>
      <c r="BT248" s="219">
        <f t="shared" ref="BT248:BT254" si="1856">(BE247*pAIDS_ART1ear_AIDS_LTFU_2004_2012)+(BT247*pAIDS_LTFU_2004_2012)</f>
        <v>0</v>
      </c>
      <c r="BU248" s="219">
        <f t="shared" ref="BU248:BU254" si="1857">(BF247*pAIDS_ART1late_AIDS_LTFU_2004_2012)+(BU247*pAIDS_LTFU_2004_2012)</f>
        <v>0</v>
      </c>
      <c r="BV248" s="219">
        <f t="shared" ref="BV248:BV254" si="1858">(BO247*pInt_LTFU_AIDS_LTFU_2004_2012)+(BV247*pAIDS_LTFU_2004_2012)</f>
        <v>0</v>
      </c>
      <c r="BW248" s="219">
        <f t="shared" ref="BW248:BW254" si="1859">(BG247*pAIDS_ART2_AIDS_LTFU_2004_2012)+(BW247*pAIDS_LTFU_2004_2012)</f>
        <v>0</v>
      </c>
      <c r="BX248" s="220">
        <f t="shared" ref="BX248:BX254" si="1860">(BP247*pInt_LTFU_AIDS_LTFU_2004_2012)+(BX247*pAIDS_LTFU_2004_2012)</f>
        <v>0</v>
      </c>
      <c r="BY248" s="195"/>
      <c r="BZ248" s="192">
        <v>2</v>
      </c>
      <c r="CA248" s="66">
        <v>2006</v>
      </c>
      <c r="CB248" s="218">
        <f>pAsympt_NoCare_Asympt_Dead_2004_2006*AS247</f>
        <v>0</v>
      </c>
      <c r="CC248" s="218">
        <f t="shared" si="1829"/>
        <v>0</v>
      </c>
      <c r="CD248" s="73">
        <f t="shared" si="1830"/>
        <v>0</v>
      </c>
      <c r="CE248" s="73">
        <f>pInt_NoCare_Int_Dead_2004_2006*AW247</f>
        <v>0</v>
      </c>
      <c r="CF248" s="73">
        <f t="shared" si="1831"/>
        <v>0</v>
      </c>
      <c r="CG248" s="73">
        <f t="shared" si="1832"/>
        <v>0</v>
      </c>
      <c r="CH248" s="73">
        <f t="shared" si="1833"/>
        <v>0</v>
      </c>
      <c r="CI248" s="73">
        <f t="shared" si="1834"/>
        <v>0</v>
      </c>
      <c r="CJ248" s="73">
        <f t="shared" si="1835"/>
        <v>0</v>
      </c>
      <c r="CK248" s="73">
        <f t="shared" si="1836"/>
        <v>0</v>
      </c>
      <c r="CL248" s="73">
        <f t="shared" si="1837"/>
        <v>0</v>
      </c>
      <c r="CM248" s="73">
        <f t="shared" si="1838"/>
        <v>0</v>
      </c>
      <c r="CN248" s="73">
        <f t="shared" si="1839"/>
        <v>0</v>
      </c>
      <c r="CO248" s="73">
        <f t="shared" si="1840"/>
        <v>0</v>
      </c>
      <c r="CP248" s="73">
        <f t="shared" si="1841"/>
        <v>0</v>
      </c>
      <c r="CQ248" s="73">
        <f t="shared" si="1842"/>
        <v>0</v>
      </c>
      <c r="CR248" s="73">
        <f t="shared" si="1843"/>
        <v>0</v>
      </c>
      <c r="CS248" s="73">
        <f t="shared" si="1844"/>
        <v>0</v>
      </c>
      <c r="CT248" s="73">
        <f t="shared" si="1845"/>
        <v>0</v>
      </c>
      <c r="CU248" s="73">
        <f t="shared" si="1846"/>
        <v>0</v>
      </c>
      <c r="CV248" s="73">
        <f t="shared" si="1847"/>
        <v>0</v>
      </c>
      <c r="CW248" s="73">
        <f t="shared" si="1848"/>
        <v>0</v>
      </c>
      <c r="CX248" s="73">
        <f t="shared" si="1849"/>
        <v>0</v>
      </c>
      <c r="CY248" s="73">
        <f t="shared" si="1850"/>
        <v>0</v>
      </c>
      <c r="CZ248" s="190"/>
      <c r="DA248" s="66">
        <v>2006</v>
      </c>
      <c r="DB248" s="218">
        <f t="shared" si="1819"/>
        <v>0</v>
      </c>
      <c r="DC248" s="218">
        <f t="shared" si="1820"/>
        <v>0</v>
      </c>
      <c r="DD248" s="73">
        <f t="shared" si="1821"/>
        <v>0</v>
      </c>
      <c r="DE248" s="73">
        <f t="shared" si="1822"/>
        <v>0</v>
      </c>
      <c r="DF248" s="73">
        <f t="shared" si="1823"/>
        <v>0</v>
      </c>
      <c r="DG248" s="73">
        <f t="shared" si="1824"/>
        <v>0</v>
      </c>
      <c r="DH248" s="72" t="e">
        <f t="shared" si="1851"/>
        <v>#DIV/0!</v>
      </c>
      <c r="DI248" s="72" t="e">
        <f t="shared" si="1852"/>
        <v>#DIV/0!</v>
      </c>
      <c r="DJ248" s="73">
        <f>SUM(AV246:AV248,BB246:BB248,BI246:BI248)</f>
        <v>0</v>
      </c>
      <c r="DK248" s="73">
        <v>0</v>
      </c>
      <c r="DL248" s="190"/>
    </row>
    <row r="249" spans="22:116" x14ac:dyDescent="0.25">
      <c r="V249" s="13"/>
      <c r="W249" s="66">
        <v>3</v>
      </c>
      <c r="X249" s="66">
        <v>2007</v>
      </c>
      <c r="Y249" s="69">
        <v>0</v>
      </c>
      <c r="Z249" s="69">
        <v>0</v>
      </c>
      <c r="AA249" s="69">
        <v>0</v>
      </c>
      <c r="AB249" s="69">
        <v>0</v>
      </c>
      <c r="AC249" s="69">
        <v>0</v>
      </c>
      <c r="AD249" s="69">
        <v>0</v>
      </c>
      <c r="AE249" s="69">
        <v>0</v>
      </c>
      <c r="AF249" s="69">
        <v>0</v>
      </c>
      <c r="AG249" s="69">
        <v>0</v>
      </c>
      <c r="AH249" s="69">
        <v>0</v>
      </c>
      <c r="AI249" s="69">
        <v>0</v>
      </c>
      <c r="AJ249" s="69">
        <v>0</v>
      </c>
      <c r="AK249" s="69">
        <v>0</v>
      </c>
      <c r="AL249" s="69">
        <v>0</v>
      </c>
      <c r="AM249" s="69">
        <v>0</v>
      </c>
      <c r="AN249" s="69">
        <v>0</v>
      </c>
      <c r="AO249" s="69">
        <v>0</v>
      </c>
      <c r="AP249" s="190"/>
      <c r="AQ249" s="66">
        <v>3</v>
      </c>
      <c r="AR249" s="66">
        <v>2007</v>
      </c>
      <c r="AS249" s="215">
        <f t="shared" si="1802"/>
        <v>0</v>
      </c>
      <c r="AT249" s="215">
        <f t="shared" si="1803"/>
        <v>0</v>
      </c>
      <c r="AU249" s="215">
        <f t="shared" si="1804"/>
        <v>0</v>
      </c>
      <c r="AV249" s="215">
        <f t="shared" si="1805"/>
        <v>0</v>
      </c>
      <c r="AW249" s="215">
        <f t="shared" si="1806"/>
        <v>0</v>
      </c>
      <c r="AX249" s="215">
        <f t="shared" si="1807"/>
        <v>0</v>
      </c>
      <c r="AY249" s="215">
        <f t="shared" si="1808"/>
        <v>0</v>
      </c>
      <c r="AZ249" s="215">
        <f t="shared" si="1809"/>
        <v>0</v>
      </c>
      <c r="BA249" s="215">
        <f t="shared" si="1810"/>
        <v>0</v>
      </c>
      <c r="BB249" s="215">
        <f t="shared" si="1811"/>
        <v>0</v>
      </c>
      <c r="BC249" s="215">
        <f t="shared" si="1812"/>
        <v>0</v>
      </c>
      <c r="BD249" s="215">
        <f t="shared" si="1813"/>
        <v>0</v>
      </c>
      <c r="BE249" s="215">
        <f t="shared" si="1814"/>
        <v>0</v>
      </c>
      <c r="BF249" s="215">
        <f t="shared" si="1815"/>
        <v>0</v>
      </c>
      <c r="BG249" s="215">
        <f t="shared" si="1816"/>
        <v>0</v>
      </c>
      <c r="BH249" s="215">
        <f t="shared" si="1817"/>
        <v>0</v>
      </c>
      <c r="BI249" s="215">
        <f t="shared" si="1818"/>
        <v>0</v>
      </c>
      <c r="BJ249" s="195"/>
      <c r="BK249" s="66">
        <v>3</v>
      </c>
      <c r="BL249" s="66">
        <v>2007</v>
      </c>
      <c r="BM249" s="215">
        <f t="shared" si="1825"/>
        <v>0</v>
      </c>
      <c r="BN249" s="219">
        <f t="shared" si="1826"/>
        <v>0</v>
      </c>
      <c r="BO249" s="219">
        <f t="shared" si="1827"/>
        <v>0</v>
      </c>
      <c r="BP249" s="219">
        <f t="shared" si="1853"/>
        <v>0</v>
      </c>
      <c r="BQ249" s="219">
        <f t="shared" si="1828"/>
        <v>0</v>
      </c>
      <c r="BR249" s="220">
        <f t="shared" si="1854"/>
        <v>0</v>
      </c>
      <c r="BS249" s="219">
        <f t="shared" si="1855"/>
        <v>0</v>
      </c>
      <c r="BT249" s="219">
        <f t="shared" si="1856"/>
        <v>0</v>
      </c>
      <c r="BU249" s="219">
        <f t="shared" si="1857"/>
        <v>0</v>
      </c>
      <c r="BV249" s="219">
        <f t="shared" si="1858"/>
        <v>0</v>
      </c>
      <c r="BW249" s="219">
        <f t="shared" si="1859"/>
        <v>0</v>
      </c>
      <c r="BX249" s="220">
        <f t="shared" si="1860"/>
        <v>0</v>
      </c>
      <c r="BY249" s="195"/>
      <c r="BZ249" s="192">
        <v>3</v>
      </c>
      <c r="CA249" s="66">
        <v>2007</v>
      </c>
      <c r="CB249" s="218">
        <f>pAsympt_NoCare_Asympt_Dead_2007_2009*AS248</f>
        <v>0</v>
      </c>
      <c r="CC249" s="218">
        <f t="shared" si="1829"/>
        <v>0</v>
      </c>
      <c r="CD249" s="73">
        <f t="shared" si="1830"/>
        <v>0</v>
      </c>
      <c r="CE249" s="73">
        <f>pInt_NoCare_Int_Dead_2007_2009*AW248</f>
        <v>0</v>
      </c>
      <c r="CF249" s="73">
        <f t="shared" si="1831"/>
        <v>0</v>
      </c>
      <c r="CG249" s="73">
        <f t="shared" si="1832"/>
        <v>0</v>
      </c>
      <c r="CH249" s="73">
        <f t="shared" si="1833"/>
        <v>0</v>
      </c>
      <c r="CI249" s="73">
        <f t="shared" si="1834"/>
        <v>0</v>
      </c>
      <c r="CJ249" s="73">
        <f t="shared" si="1835"/>
        <v>0</v>
      </c>
      <c r="CK249" s="73">
        <f t="shared" si="1836"/>
        <v>0</v>
      </c>
      <c r="CL249" s="73">
        <f t="shared" si="1837"/>
        <v>0</v>
      </c>
      <c r="CM249" s="73">
        <f>pAIDS_NoCare_AIDS_Dead_2007_2009*BC248</f>
        <v>0</v>
      </c>
      <c r="CN249" s="73">
        <f t="shared" si="1839"/>
        <v>0</v>
      </c>
      <c r="CO249" s="73">
        <f t="shared" si="1840"/>
        <v>0</v>
      </c>
      <c r="CP249" s="73">
        <f t="shared" si="1841"/>
        <v>0</v>
      </c>
      <c r="CQ249" s="73">
        <f t="shared" si="1842"/>
        <v>0</v>
      </c>
      <c r="CR249" s="73">
        <f t="shared" si="1843"/>
        <v>0</v>
      </c>
      <c r="CS249" s="73">
        <f t="shared" si="1844"/>
        <v>0</v>
      </c>
      <c r="CT249" s="73">
        <f t="shared" si="1845"/>
        <v>0</v>
      </c>
      <c r="CU249" s="73">
        <f t="shared" si="1846"/>
        <v>0</v>
      </c>
      <c r="CV249" s="73">
        <f t="shared" si="1847"/>
        <v>0</v>
      </c>
      <c r="CW249" s="73">
        <f t="shared" si="1848"/>
        <v>0</v>
      </c>
      <c r="CX249" s="73">
        <f t="shared" si="1849"/>
        <v>0</v>
      </c>
      <c r="CY249" s="73">
        <f t="shared" si="1850"/>
        <v>0</v>
      </c>
      <c r="CZ249" s="190"/>
      <c r="DA249" s="66">
        <v>2007</v>
      </c>
      <c r="DB249" s="218">
        <f t="shared" si="1819"/>
        <v>0</v>
      </c>
      <c r="DC249" s="218">
        <f t="shared" si="1820"/>
        <v>0</v>
      </c>
      <c r="DD249" s="73">
        <f t="shared" si="1821"/>
        <v>0</v>
      </c>
      <c r="DE249" s="73">
        <f t="shared" si="1822"/>
        <v>0</v>
      </c>
      <c r="DF249" s="73">
        <f t="shared" si="1823"/>
        <v>0</v>
      </c>
      <c r="DG249" s="73">
        <f t="shared" si="1824"/>
        <v>0</v>
      </c>
      <c r="DH249" s="72" t="e">
        <f t="shared" si="1851"/>
        <v>#DIV/0!</v>
      </c>
      <c r="DI249" s="72" t="e">
        <f t="shared" si="1852"/>
        <v>#DIV/0!</v>
      </c>
      <c r="DJ249" s="73">
        <f>SUM(AV246:AV249,BB246:BB249,BI246:BI249)</f>
        <v>0</v>
      </c>
      <c r="DK249" s="218">
        <v>0</v>
      </c>
      <c r="DL249" s="190"/>
    </row>
    <row r="250" spans="22:116" x14ac:dyDescent="0.25">
      <c r="V250" s="13"/>
      <c r="W250" s="66">
        <v>4</v>
      </c>
      <c r="X250" s="66">
        <v>2008</v>
      </c>
      <c r="Y250" s="69">
        <v>0</v>
      </c>
      <c r="Z250" s="69">
        <v>0</v>
      </c>
      <c r="AA250" s="69">
        <v>0</v>
      </c>
      <c r="AB250" s="69">
        <v>0</v>
      </c>
      <c r="AC250" s="69">
        <v>0</v>
      </c>
      <c r="AD250" s="69">
        <v>0</v>
      </c>
      <c r="AE250" s="69">
        <v>0</v>
      </c>
      <c r="AF250" s="69">
        <v>0</v>
      </c>
      <c r="AG250" s="69">
        <v>0</v>
      </c>
      <c r="AH250" s="69">
        <v>0</v>
      </c>
      <c r="AI250" s="69">
        <v>0</v>
      </c>
      <c r="AJ250" s="69">
        <v>0</v>
      </c>
      <c r="AK250" s="69">
        <v>0</v>
      </c>
      <c r="AL250" s="69">
        <v>0</v>
      </c>
      <c r="AM250" s="69">
        <v>0</v>
      </c>
      <c r="AN250" s="69">
        <v>0</v>
      </c>
      <c r="AO250" s="69">
        <v>0</v>
      </c>
      <c r="AP250" s="190"/>
      <c r="AQ250" s="66">
        <v>4</v>
      </c>
      <c r="AR250" s="66">
        <v>2008</v>
      </c>
      <c r="AS250" s="215">
        <f t="shared" si="1802"/>
        <v>0</v>
      </c>
      <c r="AT250" s="215">
        <f t="shared" si="1803"/>
        <v>0</v>
      </c>
      <c r="AU250" s="215">
        <f t="shared" si="1804"/>
        <v>0</v>
      </c>
      <c r="AV250" s="215">
        <f t="shared" si="1805"/>
        <v>0</v>
      </c>
      <c r="AW250" s="215">
        <f t="shared" si="1806"/>
        <v>0</v>
      </c>
      <c r="AX250" s="215">
        <f t="shared" si="1807"/>
        <v>0</v>
      </c>
      <c r="AY250" s="215">
        <f t="shared" si="1808"/>
        <v>0</v>
      </c>
      <c r="AZ250" s="215">
        <f t="shared" si="1809"/>
        <v>0</v>
      </c>
      <c r="BA250" s="215">
        <f t="shared" si="1810"/>
        <v>0</v>
      </c>
      <c r="BB250" s="215">
        <f t="shared" si="1811"/>
        <v>0</v>
      </c>
      <c r="BC250" s="215">
        <f t="shared" si="1812"/>
        <v>0</v>
      </c>
      <c r="BD250" s="215">
        <f t="shared" si="1813"/>
        <v>0</v>
      </c>
      <c r="BE250" s="215">
        <f t="shared" si="1814"/>
        <v>0</v>
      </c>
      <c r="BF250" s="215">
        <f t="shared" si="1815"/>
        <v>0</v>
      </c>
      <c r="BG250" s="215">
        <f t="shared" si="1816"/>
        <v>0</v>
      </c>
      <c r="BH250" s="215">
        <f t="shared" si="1817"/>
        <v>0</v>
      </c>
      <c r="BI250" s="215">
        <f t="shared" si="1818"/>
        <v>0</v>
      </c>
      <c r="BJ250" s="195"/>
      <c r="BK250" s="66">
        <v>4</v>
      </c>
      <c r="BL250" s="66">
        <v>2008</v>
      </c>
      <c r="BM250" s="215">
        <f t="shared" si="1825"/>
        <v>0</v>
      </c>
      <c r="BN250" s="219">
        <f t="shared" si="1826"/>
        <v>0</v>
      </c>
      <c r="BO250" s="219">
        <f t="shared" si="1827"/>
        <v>0</v>
      </c>
      <c r="BP250" s="219">
        <f t="shared" si="1853"/>
        <v>0</v>
      </c>
      <c r="BQ250" s="219">
        <f t="shared" si="1828"/>
        <v>0</v>
      </c>
      <c r="BR250" s="220">
        <f t="shared" si="1854"/>
        <v>0</v>
      </c>
      <c r="BS250" s="219">
        <f t="shared" si="1855"/>
        <v>0</v>
      </c>
      <c r="BT250" s="219">
        <f t="shared" si="1856"/>
        <v>0</v>
      </c>
      <c r="BU250" s="219">
        <f t="shared" si="1857"/>
        <v>0</v>
      </c>
      <c r="BV250" s="219">
        <f t="shared" si="1858"/>
        <v>0</v>
      </c>
      <c r="BW250" s="219">
        <f t="shared" si="1859"/>
        <v>0</v>
      </c>
      <c r="BX250" s="220">
        <f t="shared" si="1860"/>
        <v>0</v>
      </c>
      <c r="BY250" s="195"/>
      <c r="BZ250" s="192">
        <v>4</v>
      </c>
      <c r="CA250" s="66">
        <v>2008</v>
      </c>
      <c r="CB250" s="218">
        <f>pAsympt_NoCare_Asympt_Dead_2007_2009*AS249</f>
        <v>0</v>
      </c>
      <c r="CC250" s="218">
        <f t="shared" si="1829"/>
        <v>0</v>
      </c>
      <c r="CD250" s="73">
        <f t="shared" si="1830"/>
        <v>0</v>
      </c>
      <c r="CE250" s="73">
        <f>pInt_NoCare_Int_Dead_2007_2009*AW249</f>
        <v>0</v>
      </c>
      <c r="CF250" s="73">
        <f t="shared" si="1831"/>
        <v>0</v>
      </c>
      <c r="CG250" s="73">
        <f t="shared" si="1832"/>
        <v>0</v>
      </c>
      <c r="CH250" s="73">
        <f t="shared" si="1833"/>
        <v>0</v>
      </c>
      <c r="CI250" s="73">
        <f t="shared" si="1834"/>
        <v>0</v>
      </c>
      <c r="CJ250" s="73">
        <f t="shared" si="1835"/>
        <v>0</v>
      </c>
      <c r="CK250" s="73">
        <f t="shared" si="1836"/>
        <v>0</v>
      </c>
      <c r="CL250" s="73">
        <f t="shared" si="1837"/>
        <v>0</v>
      </c>
      <c r="CM250" s="73">
        <f>pAIDS_NoCare_AIDS_Dead_2007_2009*BC249</f>
        <v>0</v>
      </c>
      <c r="CN250" s="73">
        <f t="shared" si="1839"/>
        <v>0</v>
      </c>
      <c r="CO250" s="73">
        <f t="shared" si="1840"/>
        <v>0</v>
      </c>
      <c r="CP250" s="73">
        <f t="shared" si="1841"/>
        <v>0</v>
      </c>
      <c r="CQ250" s="73">
        <f t="shared" si="1842"/>
        <v>0</v>
      </c>
      <c r="CR250" s="73">
        <f t="shared" si="1843"/>
        <v>0</v>
      </c>
      <c r="CS250" s="73">
        <f t="shared" si="1844"/>
        <v>0</v>
      </c>
      <c r="CT250" s="73">
        <f t="shared" si="1845"/>
        <v>0</v>
      </c>
      <c r="CU250" s="73">
        <f t="shared" si="1846"/>
        <v>0</v>
      </c>
      <c r="CV250" s="73">
        <f t="shared" si="1847"/>
        <v>0</v>
      </c>
      <c r="CW250" s="73">
        <f t="shared" si="1848"/>
        <v>0</v>
      </c>
      <c r="CX250" s="73">
        <f t="shared" si="1849"/>
        <v>0</v>
      </c>
      <c r="CY250" s="73">
        <f t="shared" si="1850"/>
        <v>0</v>
      </c>
      <c r="CZ250" s="190"/>
      <c r="DA250" s="66">
        <v>2008</v>
      </c>
      <c r="DB250" s="218">
        <f t="shared" si="1819"/>
        <v>0</v>
      </c>
      <c r="DC250" s="218">
        <f t="shared" si="1820"/>
        <v>0</v>
      </c>
      <c r="DD250" s="73">
        <f t="shared" si="1821"/>
        <v>0</v>
      </c>
      <c r="DE250" s="73">
        <f t="shared" si="1822"/>
        <v>0</v>
      </c>
      <c r="DF250" s="73">
        <f t="shared" si="1823"/>
        <v>0</v>
      </c>
      <c r="DG250" s="73">
        <f t="shared" si="1824"/>
        <v>0</v>
      </c>
      <c r="DH250" s="72" t="e">
        <f t="shared" si="1851"/>
        <v>#DIV/0!</v>
      </c>
      <c r="DI250" s="72" t="e">
        <f t="shared" si="1852"/>
        <v>#DIV/0!</v>
      </c>
      <c r="DJ250" s="73">
        <f>SUM(AV246:AV250,BB246:BB250,BI246:BI250)</f>
        <v>0</v>
      </c>
      <c r="DK250" s="218">
        <v>0</v>
      </c>
      <c r="DL250" s="190"/>
    </row>
    <row r="251" spans="22:116" x14ac:dyDescent="0.25">
      <c r="V251" s="13"/>
      <c r="W251" s="66">
        <v>5</v>
      </c>
      <c r="X251" s="66">
        <v>2009</v>
      </c>
      <c r="Y251" s="69">
        <v>0</v>
      </c>
      <c r="Z251" s="69">
        <v>0</v>
      </c>
      <c r="AA251" s="69">
        <v>0</v>
      </c>
      <c r="AB251" s="69">
        <v>0</v>
      </c>
      <c r="AC251" s="69">
        <v>0</v>
      </c>
      <c r="AD251" s="69">
        <v>0</v>
      </c>
      <c r="AE251" s="69">
        <v>0</v>
      </c>
      <c r="AF251" s="69">
        <v>0</v>
      </c>
      <c r="AG251" s="69">
        <v>0</v>
      </c>
      <c r="AH251" s="69">
        <v>0</v>
      </c>
      <c r="AI251" s="69">
        <v>0</v>
      </c>
      <c r="AJ251" s="69">
        <v>0</v>
      </c>
      <c r="AK251" s="69">
        <v>0</v>
      </c>
      <c r="AL251" s="69">
        <v>0</v>
      </c>
      <c r="AM251" s="69">
        <v>0</v>
      </c>
      <c r="AN251" s="69">
        <v>0</v>
      </c>
      <c r="AO251" s="69">
        <v>0</v>
      </c>
      <c r="AP251" s="190"/>
      <c r="AQ251" s="66">
        <v>5</v>
      </c>
      <c r="AR251" s="66">
        <v>2009</v>
      </c>
      <c r="AS251" s="215">
        <f t="shared" si="1802"/>
        <v>0</v>
      </c>
      <c r="AT251" s="215">
        <f t="shared" si="1803"/>
        <v>0</v>
      </c>
      <c r="AU251" s="215">
        <f t="shared" si="1804"/>
        <v>0</v>
      </c>
      <c r="AV251" s="215">
        <f t="shared" si="1805"/>
        <v>0</v>
      </c>
      <c r="AW251" s="215">
        <f t="shared" si="1806"/>
        <v>0</v>
      </c>
      <c r="AX251" s="215">
        <f t="shared" si="1807"/>
        <v>0</v>
      </c>
      <c r="AY251" s="215">
        <f t="shared" si="1808"/>
        <v>0</v>
      </c>
      <c r="AZ251" s="215">
        <f t="shared" si="1809"/>
        <v>0</v>
      </c>
      <c r="BA251" s="215">
        <f t="shared" si="1810"/>
        <v>0</v>
      </c>
      <c r="BB251" s="215">
        <f t="shared" si="1811"/>
        <v>0</v>
      </c>
      <c r="BC251" s="215">
        <f t="shared" si="1812"/>
        <v>0</v>
      </c>
      <c r="BD251" s="215">
        <f t="shared" si="1813"/>
        <v>0</v>
      </c>
      <c r="BE251" s="215">
        <f t="shared" si="1814"/>
        <v>0</v>
      </c>
      <c r="BF251" s="215">
        <f t="shared" si="1815"/>
        <v>0</v>
      </c>
      <c r="BG251" s="215">
        <f t="shared" si="1816"/>
        <v>0</v>
      </c>
      <c r="BH251" s="215">
        <f t="shared" si="1817"/>
        <v>0</v>
      </c>
      <c r="BI251" s="215">
        <f t="shared" si="1818"/>
        <v>0</v>
      </c>
      <c r="BJ251" s="195"/>
      <c r="BK251" s="66">
        <v>5</v>
      </c>
      <c r="BL251" s="66">
        <v>2009</v>
      </c>
      <c r="BM251" s="215">
        <f t="shared" si="1825"/>
        <v>0</v>
      </c>
      <c r="BN251" s="219">
        <f t="shared" si="1826"/>
        <v>0</v>
      </c>
      <c r="BO251" s="219">
        <f t="shared" si="1827"/>
        <v>0</v>
      </c>
      <c r="BP251" s="219">
        <f t="shared" si="1853"/>
        <v>0</v>
      </c>
      <c r="BQ251" s="219">
        <f t="shared" si="1828"/>
        <v>0</v>
      </c>
      <c r="BR251" s="220">
        <f t="shared" si="1854"/>
        <v>0</v>
      </c>
      <c r="BS251" s="219">
        <f t="shared" si="1855"/>
        <v>0</v>
      </c>
      <c r="BT251" s="219">
        <f t="shared" si="1856"/>
        <v>0</v>
      </c>
      <c r="BU251" s="219">
        <f t="shared" si="1857"/>
        <v>0</v>
      </c>
      <c r="BV251" s="219">
        <f t="shared" si="1858"/>
        <v>0</v>
      </c>
      <c r="BW251" s="219">
        <f t="shared" si="1859"/>
        <v>0</v>
      </c>
      <c r="BX251" s="220">
        <f t="shared" si="1860"/>
        <v>0</v>
      </c>
      <c r="BY251" s="195"/>
      <c r="BZ251" s="192">
        <v>5</v>
      </c>
      <c r="CA251" s="66">
        <v>2009</v>
      </c>
      <c r="CB251" s="218">
        <f>pAsympt_NoCare_Asympt_Dead_2007_2009*AS250</f>
        <v>0</v>
      </c>
      <c r="CC251" s="218">
        <f t="shared" si="1829"/>
        <v>0</v>
      </c>
      <c r="CD251" s="73">
        <f t="shared" si="1830"/>
        <v>0</v>
      </c>
      <c r="CE251" s="73">
        <f>pInt_NoCare_Int_Dead_2007_2009*AW250</f>
        <v>0</v>
      </c>
      <c r="CF251" s="73">
        <f t="shared" si="1831"/>
        <v>0</v>
      </c>
      <c r="CG251" s="73">
        <f t="shared" si="1832"/>
        <v>0</v>
      </c>
      <c r="CH251" s="73">
        <f t="shared" si="1833"/>
        <v>0</v>
      </c>
      <c r="CI251" s="73">
        <f t="shared" si="1834"/>
        <v>0</v>
      </c>
      <c r="CJ251" s="73">
        <f t="shared" si="1835"/>
        <v>0</v>
      </c>
      <c r="CK251" s="73">
        <f t="shared" si="1836"/>
        <v>0</v>
      </c>
      <c r="CL251" s="73">
        <f t="shared" si="1837"/>
        <v>0</v>
      </c>
      <c r="CM251" s="73">
        <f>pAIDS_NoCare_AIDS_Dead_2007_2009*BC250</f>
        <v>0</v>
      </c>
      <c r="CN251" s="73">
        <f t="shared" si="1839"/>
        <v>0</v>
      </c>
      <c r="CO251" s="73">
        <f t="shared" si="1840"/>
        <v>0</v>
      </c>
      <c r="CP251" s="73">
        <f t="shared" si="1841"/>
        <v>0</v>
      </c>
      <c r="CQ251" s="73">
        <f t="shared" si="1842"/>
        <v>0</v>
      </c>
      <c r="CR251" s="73">
        <f t="shared" si="1843"/>
        <v>0</v>
      </c>
      <c r="CS251" s="73">
        <f t="shared" si="1844"/>
        <v>0</v>
      </c>
      <c r="CT251" s="73">
        <f t="shared" si="1845"/>
        <v>0</v>
      </c>
      <c r="CU251" s="73">
        <f t="shared" si="1846"/>
        <v>0</v>
      </c>
      <c r="CV251" s="73">
        <f t="shared" si="1847"/>
        <v>0</v>
      </c>
      <c r="CW251" s="73">
        <f t="shared" si="1848"/>
        <v>0</v>
      </c>
      <c r="CX251" s="73">
        <f t="shared" si="1849"/>
        <v>0</v>
      </c>
      <c r="CY251" s="73">
        <f t="shared" si="1850"/>
        <v>0</v>
      </c>
      <c r="CZ251" s="190"/>
      <c r="DA251" s="66">
        <v>2009</v>
      </c>
      <c r="DB251" s="218">
        <f t="shared" si="1819"/>
        <v>0</v>
      </c>
      <c r="DC251" s="218">
        <f t="shared" si="1820"/>
        <v>0</v>
      </c>
      <c r="DD251" s="73">
        <f t="shared" si="1821"/>
        <v>0</v>
      </c>
      <c r="DE251" s="73">
        <f t="shared" si="1822"/>
        <v>0</v>
      </c>
      <c r="DF251" s="73">
        <f t="shared" si="1823"/>
        <v>0</v>
      </c>
      <c r="DG251" s="73">
        <f t="shared" si="1824"/>
        <v>0</v>
      </c>
      <c r="DH251" s="72" t="e">
        <f t="shared" si="1851"/>
        <v>#DIV/0!</v>
      </c>
      <c r="DI251" s="72" t="e">
        <f t="shared" si="1852"/>
        <v>#DIV/0!</v>
      </c>
      <c r="DJ251" s="73">
        <f>SUM(AV246:AV251,BB246:BB251,BI246:BI251)</f>
        <v>0</v>
      </c>
      <c r="DK251" s="218">
        <v>0</v>
      </c>
      <c r="DL251" s="190"/>
    </row>
    <row r="252" spans="22:116" x14ac:dyDescent="0.25">
      <c r="V252" s="13"/>
      <c r="W252" s="66">
        <v>6</v>
      </c>
      <c r="X252" s="66">
        <v>2010</v>
      </c>
      <c r="Y252" s="69">
        <v>0</v>
      </c>
      <c r="Z252" s="69">
        <v>0</v>
      </c>
      <c r="AA252" s="69">
        <v>0</v>
      </c>
      <c r="AB252" s="69">
        <v>0</v>
      </c>
      <c r="AC252" s="69">
        <v>0</v>
      </c>
      <c r="AD252" s="69">
        <v>0</v>
      </c>
      <c r="AE252" s="69">
        <v>0</v>
      </c>
      <c r="AF252" s="69">
        <v>0</v>
      </c>
      <c r="AG252" s="69">
        <v>0</v>
      </c>
      <c r="AH252" s="69">
        <v>0</v>
      </c>
      <c r="AI252" s="69">
        <v>0</v>
      </c>
      <c r="AJ252" s="69">
        <v>0</v>
      </c>
      <c r="AK252" s="69">
        <v>0</v>
      </c>
      <c r="AL252" s="69">
        <v>0</v>
      </c>
      <c r="AM252" s="69">
        <v>0</v>
      </c>
      <c r="AN252" s="69">
        <v>0</v>
      </c>
      <c r="AO252" s="69">
        <v>0</v>
      </c>
      <c r="AP252" s="190"/>
      <c r="AQ252" s="66">
        <v>6</v>
      </c>
      <c r="AR252" s="66">
        <v>2010</v>
      </c>
      <c r="AS252" s="215">
        <f t="shared" si="1802"/>
        <v>0</v>
      </c>
      <c r="AT252" s="215">
        <f t="shared" si="1803"/>
        <v>0</v>
      </c>
      <c r="AU252" s="215">
        <f t="shared" si="1804"/>
        <v>0</v>
      </c>
      <c r="AV252" s="215">
        <f t="shared" si="1805"/>
        <v>0</v>
      </c>
      <c r="AW252" s="215">
        <f t="shared" si="1806"/>
        <v>0</v>
      </c>
      <c r="AX252" s="215">
        <f t="shared" si="1807"/>
        <v>0</v>
      </c>
      <c r="AY252" s="215">
        <f t="shared" si="1808"/>
        <v>0</v>
      </c>
      <c r="AZ252" s="215">
        <f t="shared" si="1809"/>
        <v>0</v>
      </c>
      <c r="BA252" s="215">
        <f t="shared" si="1810"/>
        <v>0</v>
      </c>
      <c r="BB252" s="215">
        <f t="shared" si="1811"/>
        <v>0</v>
      </c>
      <c r="BC252" s="215">
        <f t="shared" si="1812"/>
        <v>0</v>
      </c>
      <c r="BD252" s="215">
        <f t="shared" si="1813"/>
        <v>0</v>
      </c>
      <c r="BE252" s="215">
        <f t="shared" si="1814"/>
        <v>0</v>
      </c>
      <c r="BF252" s="215">
        <f t="shared" si="1815"/>
        <v>0</v>
      </c>
      <c r="BG252" s="215">
        <f t="shared" si="1816"/>
        <v>0</v>
      </c>
      <c r="BH252" s="215">
        <f t="shared" si="1817"/>
        <v>0</v>
      </c>
      <c r="BI252" s="215">
        <f t="shared" si="1818"/>
        <v>0</v>
      </c>
      <c r="BJ252" s="195"/>
      <c r="BK252" s="66">
        <v>6</v>
      </c>
      <c r="BL252" s="66">
        <v>2010</v>
      </c>
      <c r="BM252" s="215">
        <f t="shared" si="1825"/>
        <v>0</v>
      </c>
      <c r="BN252" s="219">
        <f t="shared" si="1826"/>
        <v>0</v>
      </c>
      <c r="BO252" s="219">
        <f t="shared" si="1827"/>
        <v>0</v>
      </c>
      <c r="BP252" s="219">
        <f t="shared" si="1853"/>
        <v>0</v>
      </c>
      <c r="BQ252" s="219">
        <f t="shared" si="1828"/>
        <v>0</v>
      </c>
      <c r="BR252" s="220">
        <f t="shared" si="1854"/>
        <v>0</v>
      </c>
      <c r="BS252" s="219">
        <f t="shared" si="1855"/>
        <v>0</v>
      </c>
      <c r="BT252" s="219">
        <f t="shared" si="1856"/>
        <v>0</v>
      </c>
      <c r="BU252" s="219">
        <f t="shared" si="1857"/>
        <v>0</v>
      </c>
      <c r="BV252" s="219">
        <f t="shared" si="1858"/>
        <v>0</v>
      </c>
      <c r="BW252" s="219">
        <f t="shared" si="1859"/>
        <v>0</v>
      </c>
      <c r="BX252" s="220">
        <f t="shared" si="1860"/>
        <v>0</v>
      </c>
      <c r="BY252" s="195"/>
      <c r="BZ252" s="192">
        <v>6</v>
      </c>
      <c r="CA252" s="66">
        <v>2010</v>
      </c>
      <c r="CB252" s="218">
        <f>pAsympt_NoCare_Asympt_Dead_2010_2012*AS251</f>
        <v>0</v>
      </c>
      <c r="CC252" s="218">
        <f t="shared" si="1829"/>
        <v>0</v>
      </c>
      <c r="CD252" s="73">
        <f t="shared" si="1830"/>
        <v>0</v>
      </c>
      <c r="CE252" s="73">
        <f>pInt_NoCare_Int_Dead_2010_2012*AW251</f>
        <v>0</v>
      </c>
      <c r="CF252" s="73">
        <f t="shared" si="1831"/>
        <v>0</v>
      </c>
      <c r="CG252" s="73">
        <f t="shared" si="1832"/>
        <v>0</v>
      </c>
      <c r="CH252" s="73">
        <f t="shared" si="1833"/>
        <v>0</v>
      </c>
      <c r="CI252" s="73">
        <f t="shared" si="1834"/>
        <v>0</v>
      </c>
      <c r="CJ252" s="73">
        <f t="shared" si="1835"/>
        <v>0</v>
      </c>
      <c r="CK252" s="73">
        <f t="shared" si="1836"/>
        <v>0</v>
      </c>
      <c r="CL252" s="73">
        <f t="shared" si="1837"/>
        <v>0</v>
      </c>
      <c r="CM252" s="73">
        <f>pAIDS_NoCare_AIDS_Dead_2010_2012*BC251</f>
        <v>0</v>
      </c>
      <c r="CN252" s="73">
        <f t="shared" si="1839"/>
        <v>0</v>
      </c>
      <c r="CO252" s="73">
        <f t="shared" si="1840"/>
        <v>0</v>
      </c>
      <c r="CP252" s="73">
        <f t="shared" si="1841"/>
        <v>0</v>
      </c>
      <c r="CQ252" s="73">
        <f t="shared" si="1842"/>
        <v>0</v>
      </c>
      <c r="CR252" s="73">
        <f t="shared" si="1843"/>
        <v>0</v>
      </c>
      <c r="CS252" s="73">
        <f t="shared" si="1844"/>
        <v>0</v>
      </c>
      <c r="CT252" s="73">
        <f t="shared" si="1845"/>
        <v>0</v>
      </c>
      <c r="CU252" s="73">
        <f t="shared" si="1846"/>
        <v>0</v>
      </c>
      <c r="CV252" s="73">
        <f t="shared" si="1847"/>
        <v>0</v>
      </c>
      <c r="CW252" s="73">
        <f t="shared" si="1848"/>
        <v>0</v>
      </c>
      <c r="CX252" s="73">
        <f t="shared" si="1849"/>
        <v>0</v>
      </c>
      <c r="CY252" s="73">
        <f t="shared" si="1850"/>
        <v>0</v>
      </c>
      <c r="CZ252" s="190"/>
      <c r="DA252" s="66">
        <v>2010</v>
      </c>
      <c r="DB252" s="218">
        <f t="shared" si="1819"/>
        <v>0</v>
      </c>
      <c r="DC252" s="218">
        <f t="shared" si="1820"/>
        <v>0</v>
      </c>
      <c r="DD252" s="73">
        <f t="shared" si="1821"/>
        <v>0</v>
      </c>
      <c r="DE252" s="73">
        <f t="shared" si="1822"/>
        <v>0</v>
      </c>
      <c r="DF252" s="73">
        <f t="shared" si="1823"/>
        <v>0</v>
      </c>
      <c r="DG252" s="73">
        <f t="shared" si="1824"/>
        <v>0</v>
      </c>
      <c r="DH252" s="72" t="e">
        <f t="shared" si="1851"/>
        <v>#DIV/0!</v>
      </c>
      <c r="DI252" s="72" t="e">
        <f t="shared" si="1852"/>
        <v>#DIV/0!</v>
      </c>
      <c r="DJ252" s="73">
        <f>SUM(AV246:AV252,BB246:BB252,BI246:BI252)</f>
        <v>0</v>
      </c>
      <c r="DK252" s="218">
        <f>SUM(AV252,BB252,BI252)</f>
        <v>0</v>
      </c>
      <c r="DL252" s="190"/>
    </row>
    <row r="253" spans="22:116" x14ac:dyDescent="0.25">
      <c r="V253" s="13"/>
      <c r="W253" s="66">
        <v>7</v>
      </c>
      <c r="X253" s="66">
        <v>2011</v>
      </c>
      <c r="Y253" s="69">
        <v>0</v>
      </c>
      <c r="Z253" s="69">
        <v>0</v>
      </c>
      <c r="AA253" s="69">
        <v>0</v>
      </c>
      <c r="AB253" s="69">
        <v>0</v>
      </c>
      <c r="AC253" s="69">
        <v>0</v>
      </c>
      <c r="AD253" s="69">
        <v>0</v>
      </c>
      <c r="AE253" s="69">
        <v>0</v>
      </c>
      <c r="AF253" s="69">
        <v>0</v>
      </c>
      <c r="AG253" s="69">
        <v>0</v>
      </c>
      <c r="AH253" s="69">
        <v>0</v>
      </c>
      <c r="AI253" s="69">
        <v>0</v>
      </c>
      <c r="AJ253" s="69">
        <v>0</v>
      </c>
      <c r="AK253" s="69">
        <v>0</v>
      </c>
      <c r="AL253" s="69">
        <v>0</v>
      </c>
      <c r="AM253" s="69">
        <v>0</v>
      </c>
      <c r="AN253" s="69">
        <v>0</v>
      </c>
      <c r="AO253" s="69">
        <v>0</v>
      </c>
      <c r="AP253" s="190"/>
      <c r="AQ253" s="66">
        <v>7</v>
      </c>
      <c r="AR253" s="66">
        <v>2011</v>
      </c>
      <c r="AS253" s="215">
        <f t="shared" si="1802"/>
        <v>0</v>
      </c>
      <c r="AT253" s="215">
        <f t="shared" si="1803"/>
        <v>0</v>
      </c>
      <c r="AU253" s="215">
        <f t="shared" si="1804"/>
        <v>0</v>
      </c>
      <c r="AV253" s="215">
        <f t="shared" si="1805"/>
        <v>0</v>
      </c>
      <c r="AW253" s="215">
        <f t="shared" si="1806"/>
        <v>0</v>
      </c>
      <c r="AX253" s="215">
        <f t="shared" si="1807"/>
        <v>0</v>
      </c>
      <c r="AY253" s="215">
        <f t="shared" si="1808"/>
        <v>0</v>
      </c>
      <c r="AZ253" s="215">
        <f t="shared" si="1809"/>
        <v>0</v>
      </c>
      <c r="BA253" s="215">
        <f t="shared" si="1810"/>
        <v>0</v>
      </c>
      <c r="BB253" s="215">
        <f t="shared" si="1811"/>
        <v>0</v>
      </c>
      <c r="BC253" s="215">
        <f t="shared" si="1812"/>
        <v>0</v>
      </c>
      <c r="BD253" s="215">
        <f t="shared" si="1813"/>
        <v>0</v>
      </c>
      <c r="BE253" s="215">
        <f t="shared" si="1814"/>
        <v>0</v>
      </c>
      <c r="BF253" s="215">
        <f t="shared" si="1815"/>
        <v>0</v>
      </c>
      <c r="BG253" s="215">
        <f t="shared" si="1816"/>
        <v>0</v>
      </c>
      <c r="BH253" s="215">
        <f t="shared" si="1817"/>
        <v>0</v>
      </c>
      <c r="BI253" s="215">
        <f t="shared" si="1818"/>
        <v>0</v>
      </c>
      <c r="BJ253" s="195"/>
      <c r="BK253" s="66">
        <v>7</v>
      </c>
      <c r="BL253" s="66">
        <v>2011</v>
      </c>
      <c r="BM253" s="215">
        <f t="shared" si="1825"/>
        <v>0</v>
      </c>
      <c r="BN253" s="219">
        <f t="shared" si="1826"/>
        <v>0</v>
      </c>
      <c r="BO253" s="219">
        <f t="shared" si="1827"/>
        <v>0</v>
      </c>
      <c r="BP253" s="219">
        <f t="shared" si="1853"/>
        <v>0</v>
      </c>
      <c r="BQ253" s="219">
        <f t="shared" si="1828"/>
        <v>0</v>
      </c>
      <c r="BR253" s="220">
        <f t="shared" si="1854"/>
        <v>0</v>
      </c>
      <c r="BS253" s="219">
        <f t="shared" si="1855"/>
        <v>0</v>
      </c>
      <c r="BT253" s="219">
        <f t="shared" si="1856"/>
        <v>0</v>
      </c>
      <c r="BU253" s="219">
        <f t="shared" si="1857"/>
        <v>0</v>
      </c>
      <c r="BV253" s="219">
        <f t="shared" si="1858"/>
        <v>0</v>
      </c>
      <c r="BW253" s="219">
        <f t="shared" si="1859"/>
        <v>0</v>
      </c>
      <c r="BX253" s="220">
        <f t="shared" si="1860"/>
        <v>0</v>
      </c>
      <c r="BY253" s="195"/>
      <c r="BZ253" s="192">
        <v>7</v>
      </c>
      <c r="CA253" s="66">
        <v>2011</v>
      </c>
      <c r="CB253" s="218">
        <f>pAsympt_NoCare_Asympt_Dead_2010_2012*AS252</f>
        <v>0</v>
      </c>
      <c r="CC253" s="218">
        <f t="shared" si="1829"/>
        <v>0</v>
      </c>
      <c r="CD253" s="73">
        <f t="shared" si="1830"/>
        <v>0</v>
      </c>
      <c r="CE253" s="73">
        <f>pInt_NoCare_Int_Dead_2010_2012*AW252</f>
        <v>0</v>
      </c>
      <c r="CF253" s="73">
        <f t="shared" si="1831"/>
        <v>0</v>
      </c>
      <c r="CG253" s="73">
        <f t="shared" si="1832"/>
        <v>0</v>
      </c>
      <c r="CH253" s="73">
        <f t="shared" si="1833"/>
        <v>0</v>
      </c>
      <c r="CI253" s="73">
        <f t="shared" si="1834"/>
        <v>0</v>
      </c>
      <c r="CJ253" s="73">
        <f t="shared" si="1835"/>
        <v>0</v>
      </c>
      <c r="CK253" s="73">
        <f t="shared" si="1836"/>
        <v>0</v>
      </c>
      <c r="CL253" s="73">
        <f t="shared" si="1837"/>
        <v>0</v>
      </c>
      <c r="CM253" s="73">
        <f>pAIDS_NoCare_AIDS_Dead_2010_2012*BC252</f>
        <v>0</v>
      </c>
      <c r="CN253" s="73">
        <f t="shared" si="1839"/>
        <v>0</v>
      </c>
      <c r="CO253" s="73">
        <f t="shared" si="1840"/>
        <v>0</v>
      </c>
      <c r="CP253" s="73">
        <f t="shared" si="1841"/>
        <v>0</v>
      </c>
      <c r="CQ253" s="73">
        <f t="shared" si="1842"/>
        <v>0</v>
      </c>
      <c r="CR253" s="73">
        <f t="shared" si="1843"/>
        <v>0</v>
      </c>
      <c r="CS253" s="73">
        <f t="shared" si="1844"/>
        <v>0</v>
      </c>
      <c r="CT253" s="73">
        <f t="shared" si="1845"/>
        <v>0</v>
      </c>
      <c r="CU253" s="73">
        <f t="shared" si="1846"/>
        <v>0</v>
      </c>
      <c r="CV253" s="73">
        <f t="shared" si="1847"/>
        <v>0</v>
      </c>
      <c r="CW253" s="73">
        <f t="shared" si="1848"/>
        <v>0</v>
      </c>
      <c r="CX253" s="73">
        <f t="shared" si="1849"/>
        <v>0</v>
      </c>
      <c r="CY253" s="73">
        <f t="shared" si="1850"/>
        <v>0</v>
      </c>
      <c r="CZ253" s="190"/>
      <c r="DA253" s="66">
        <v>2011</v>
      </c>
      <c r="DB253" s="218">
        <f t="shared" si="1819"/>
        <v>0</v>
      </c>
      <c r="DC253" s="218">
        <f t="shared" si="1820"/>
        <v>0</v>
      </c>
      <c r="DD253" s="73">
        <f t="shared" si="1821"/>
        <v>0</v>
      </c>
      <c r="DE253" s="73">
        <f t="shared" si="1822"/>
        <v>0</v>
      </c>
      <c r="DF253" s="73">
        <f t="shared" si="1823"/>
        <v>0</v>
      </c>
      <c r="DG253" s="73">
        <f t="shared" si="1824"/>
        <v>0</v>
      </c>
      <c r="DH253" s="72" t="e">
        <f t="shared" si="1851"/>
        <v>#DIV/0!</v>
      </c>
      <c r="DI253" s="72" t="e">
        <f t="shared" si="1852"/>
        <v>#DIV/0!</v>
      </c>
      <c r="DJ253" s="73">
        <f>SUM(AV246:AV253,BB246:BB253,BI246:BI253)</f>
        <v>0</v>
      </c>
      <c r="DK253" s="218">
        <f>SUM(AV252:AV253,BB252:BB253,BI252:BI253)</f>
        <v>0</v>
      </c>
      <c r="DL253" s="190"/>
    </row>
    <row r="254" spans="22:116" x14ac:dyDescent="0.25">
      <c r="V254" s="13"/>
      <c r="W254" s="66">
        <v>8</v>
      </c>
      <c r="X254" s="66">
        <v>2012</v>
      </c>
      <c r="Y254" s="69">
        <v>0</v>
      </c>
      <c r="Z254" s="69">
        <v>0</v>
      </c>
      <c r="AA254" s="69">
        <v>0</v>
      </c>
      <c r="AB254" s="69">
        <v>0</v>
      </c>
      <c r="AC254" s="69">
        <v>0</v>
      </c>
      <c r="AD254" s="69">
        <v>0</v>
      </c>
      <c r="AE254" s="69">
        <v>0</v>
      </c>
      <c r="AF254" s="69">
        <v>0</v>
      </c>
      <c r="AG254" s="69">
        <v>0</v>
      </c>
      <c r="AH254" s="69">
        <v>0</v>
      </c>
      <c r="AI254" s="69">
        <v>0</v>
      </c>
      <c r="AJ254" s="69">
        <v>0</v>
      </c>
      <c r="AK254" s="69">
        <v>0</v>
      </c>
      <c r="AL254" s="69">
        <v>0</v>
      </c>
      <c r="AM254" s="69">
        <v>0</v>
      </c>
      <c r="AN254" s="69">
        <v>0</v>
      </c>
      <c r="AO254" s="69">
        <v>0</v>
      </c>
      <c r="AP254" s="190"/>
      <c r="AQ254" s="66">
        <v>8</v>
      </c>
      <c r="AR254" s="66">
        <v>2012</v>
      </c>
      <c r="AS254" s="215">
        <f t="shared" si="1802"/>
        <v>0</v>
      </c>
      <c r="AT254" s="215">
        <f t="shared" si="1803"/>
        <v>0</v>
      </c>
      <c r="AU254" s="215">
        <f t="shared" si="1804"/>
        <v>0</v>
      </c>
      <c r="AV254" s="215">
        <f t="shared" si="1805"/>
        <v>0</v>
      </c>
      <c r="AW254" s="215">
        <f t="shared" si="1806"/>
        <v>0</v>
      </c>
      <c r="AX254" s="215">
        <f t="shared" si="1807"/>
        <v>0</v>
      </c>
      <c r="AY254" s="215">
        <f t="shared" si="1808"/>
        <v>0</v>
      </c>
      <c r="AZ254" s="215">
        <f t="shared" si="1809"/>
        <v>0</v>
      </c>
      <c r="BA254" s="215">
        <f t="shared" si="1810"/>
        <v>0</v>
      </c>
      <c r="BB254" s="215">
        <f t="shared" si="1811"/>
        <v>0</v>
      </c>
      <c r="BC254" s="215">
        <f t="shared" si="1812"/>
        <v>0</v>
      </c>
      <c r="BD254" s="215">
        <f t="shared" si="1813"/>
        <v>0</v>
      </c>
      <c r="BE254" s="215">
        <f t="shared" si="1814"/>
        <v>0</v>
      </c>
      <c r="BF254" s="215">
        <f t="shared" si="1815"/>
        <v>0</v>
      </c>
      <c r="BG254" s="215">
        <f t="shared" si="1816"/>
        <v>0</v>
      </c>
      <c r="BH254" s="215">
        <f t="shared" si="1817"/>
        <v>0</v>
      </c>
      <c r="BI254" s="215">
        <f t="shared" si="1818"/>
        <v>0</v>
      </c>
      <c r="BJ254" s="195"/>
      <c r="BK254" s="66">
        <v>8</v>
      </c>
      <c r="BL254" s="66">
        <v>2012</v>
      </c>
      <c r="BM254" s="215">
        <f t="shared" si="1825"/>
        <v>0</v>
      </c>
      <c r="BN254" s="219">
        <f t="shared" si="1826"/>
        <v>0</v>
      </c>
      <c r="BO254" s="219">
        <f t="shared" si="1827"/>
        <v>0</v>
      </c>
      <c r="BP254" s="219">
        <f t="shared" si="1853"/>
        <v>0</v>
      </c>
      <c r="BQ254" s="219">
        <f t="shared" si="1828"/>
        <v>0</v>
      </c>
      <c r="BR254" s="220">
        <f t="shared" si="1854"/>
        <v>0</v>
      </c>
      <c r="BS254" s="219">
        <f t="shared" si="1855"/>
        <v>0</v>
      </c>
      <c r="BT254" s="219">
        <f t="shared" si="1856"/>
        <v>0</v>
      </c>
      <c r="BU254" s="219">
        <f t="shared" si="1857"/>
        <v>0</v>
      </c>
      <c r="BV254" s="219">
        <f t="shared" si="1858"/>
        <v>0</v>
      </c>
      <c r="BW254" s="219">
        <f t="shared" si="1859"/>
        <v>0</v>
      </c>
      <c r="BX254" s="220">
        <f t="shared" si="1860"/>
        <v>0</v>
      </c>
      <c r="BY254" s="195"/>
      <c r="BZ254" s="192">
        <v>8</v>
      </c>
      <c r="CA254" s="66">
        <v>2012</v>
      </c>
      <c r="CB254" s="218">
        <f>pAsympt_NoCare_Asympt_Dead_2010_2012*AS253</f>
        <v>0</v>
      </c>
      <c r="CC254" s="218">
        <f t="shared" si="1829"/>
        <v>0</v>
      </c>
      <c r="CD254" s="73">
        <f t="shared" si="1830"/>
        <v>0</v>
      </c>
      <c r="CE254" s="73">
        <f>pInt_NoCare_Int_Dead_2010_2012*AW253</f>
        <v>0</v>
      </c>
      <c r="CF254" s="73">
        <f t="shared" si="1831"/>
        <v>0</v>
      </c>
      <c r="CG254" s="73">
        <f t="shared" si="1832"/>
        <v>0</v>
      </c>
      <c r="CH254" s="73">
        <f t="shared" si="1833"/>
        <v>0</v>
      </c>
      <c r="CI254" s="73">
        <f t="shared" si="1834"/>
        <v>0</v>
      </c>
      <c r="CJ254" s="73">
        <f t="shared" si="1835"/>
        <v>0</v>
      </c>
      <c r="CK254" s="73">
        <f t="shared" si="1836"/>
        <v>0</v>
      </c>
      <c r="CL254" s="73">
        <f t="shared" si="1837"/>
        <v>0</v>
      </c>
      <c r="CM254" s="73">
        <f>pAIDS_NoCare_AIDS_Dead_2010_2012*BC253</f>
        <v>0</v>
      </c>
      <c r="CN254" s="73">
        <f t="shared" si="1839"/>
        <v>0</v>
      </c>
      <c r="CO254" s="73">
        <f t="shared" si="1840"/>
        <v>0</v>
      </c>
      <c r="CP254" s="73">
        <f t="shared" si="1841"/>
        <v>0</v>
      </c>
      <c r="CQ254" s="73">
        <f t="shared" si="1842"/>
        <v>0</v>
      </c>
      <c r="CR254" s="73">
        <f t="shared" si="1843"/>
        <v>0</v>
      </c>
      <c r="CS254" s="73">
        <f t="shared" si="1844"/>
        <v>0</v>
      </c>
      <c r="CT254" s="73">
        <f t="shared" si="1845"/>
        <v>0</v>
      </c>
      <c r="CU254" s="73">
        <f t="shared" si="1846"/>
        <v>0</v>
      </c>
      <c r="CV254" s="73">
        <f t="shared" si="1847"/>
        <v>0</v>
      </c>
      <c r="CW254" s="73">
        <f t="shared" si="1848"/>
        <v>0</v>
      </c>
      <c r="CX254" s="73">
        <f t="shared" si="1849"/>
        <v>0</v>
      </c>
      <c r="CY254" s="73">
        <f t="shared" si="1850"/>
        <v>0</v>
      </c>
      <c r="CZ254" s="190"/>
      <c r="DA254" s="66">
        <v>2012</v>
      </c>
      <c r="DB254" s="218">
        <f t="shared" si="1819"/>
        <v>0</v>
      </c>
      <c r="DC254" s="218">
        <f t="shared" si="1820"/>
        <v>0</v>
      </c>
      <c r="DD254" s="73">
        <f t="shared" si="1821"/>
        <v>0</v>
      </c>
      <c r="DE254" s="73">
        <f t="shared" si="1822"/>
        <v>0</v>
      </c>
      <c r="DF254" s="73">
        <f t="shared" si="1823"/>
        <v>0</v>
      </c>
      <c r="DG254" s="73">
        <f t="shared" si="1824"/>
        <v>0</v>
      </c>
      <c r="DH254" s="72" t="e">
        <f t="shared" si="1851"/>
        <v>#DIV/0!</v>
      </c>
      <c r="DI254" s="72" t="e">
        <f t="shared" si="1852"/>
        <v>#DIV/0!</v>
      </c>
      <c r="DJ254" s="73">
        <f>SUM(AV246:AV254,BB246:BB254,BI246:BI254)</f>
        <v>0</v>
      </c>
      <c r="DK254" s="73">
        <f>SUM(AV252:AV254,BB252:BB254,BI252:BI254)</f>
        <v>0</v>
      </c>
      <c r="DL254" s="190"/>
    </row>
    <row r="255" spans="22:116" x14ac:dyDescent="0.25">
      <c r="V255" s="13"/>
      <c r="W255" s="66">
        <v>9</v>
      </c>
      <c r="X255" s="66">
        <v>2013</v>
      </c>
      <c r="Y255" s="69">
        <v>0</v>
      </c>
      <c r="Z255" s="69">
        <v>0</v>
      </c>
      <c r="AA255" s="69">
        <v>0</v>
      </c>
      <c r="AB255" s="69">
        <v>0</v>
      </c>
      <c r="AC255" s="69">
        <v>0</v>
      </c>
      <c r="AD255" s="69">
        <v>0</v>
      </c>
      <c r="AE255" s="69">
        <v>0</v>
      </c>
      <c r="AF255" s="69">
        <v>0</v>
      </c>
      <c r="AG255" s="69">
        <v>0</v>
      </c>
      <c r="AH255" s="69">
        <v>0</v>
      </c>
      <c r="AI255" s="69">
        <v>0</v>
      </c>
      <c r="AJ255" s="69">
        <v>0</v>
      </c>
      <c r="AK255" s="69">
        <v>0</v>
      </c>
      <c r="AL255" s="69">
        <v>0</v>
      </c>
      <c r="AM255" s="69">
        <v>0</v>
      </c>
      <c r="AN255" s="69">
        <v>0</v>
      </c>
      <c r="AO255" s="69">
        <v>0</v>
      </c>
      <c r="AP255" s="190"/>
      <c r="AQ255" s="66">
        <v>9</v>
      </c>
      <c r="AR255" s="66">
        <v>2013</v>
      </c>
      <c r="AS255" s="215">
        <f t="shared" si="1802"/>
        <v>0</v>
      </c>
      <c r="AT255" s="215">
        <f t="shared" si="1803"/>
        <v>0</v>
      </c>
      <c r="AU255" s="215">
        <f t="shared" si="1804"/>
        <v>0</v>
      </c>
      <c r="AV255" s="215">
        <f t="shared" si="1805"/>
        <v>0</v>
      </c>
      <c r="AW255" s="215">
        <f t="shared" si="1806"/>
        <v>0</v>
      </c>
      <c r="AX255" s="215">
        <f t="shared" si="1807"/>
        <v>0</v>
      </c>
      <c r="AY255" s="215">
        <f t="shared" si="1808"/>
        <v>0</v>
      </c>
      <c r="AZ255" s="215">
        <f t="shared" si="1809"/>
        <v>0</v>
      </c>
      <c r="BA255" s="215">
        <f t="shared" si="1810"/>
        <v>0</v>
      </c>
      <c r="BB255" s="215">
        <f t="shared" si="1811"/>
        <v>0</v>
      </c>
      <c r="BC255" s="215">
        <f t="shared" si="1812"/>
        <v>0</v>
      </c>
      <c r="BD255" s="215">
        <f t="shared" si="1813"/>
        <v>0</v>
      </c>
      <c r="BE255" s="215">
        <f t="shared" si="1814"/>
        <v>0</v>
      </c>
      <c r="BF255" s="215">
        <f t="shared" si="1815"/>
        <v>0</v>
      </c>
      <c r="BG255" s="215">
        <f t="shared" si="1816"/>
        <v>0</v>
      </c>
      <c r="BH255" s="215">
        <f t="shared" si="1817"/>
        <v>0</v>
      </c>
      <c r="BI255" s="215">
        <f t="shared" si="1818"/>
        <v>0</v>
      </c>
      <c r="BJ255" s="195"/>
      <c r="BK255" s="66">
        <v>9</v>
      </c>
      <c r="BL255" s="66">
        <v>2013</v>
      </c>
      <c r="BM255" s="215">
        <f t="shared" ref="BM255:BM265" si="1861">(AX254*pInt_InCare_Int_LTFU_2013plus_u)+(BM254*pInt_LTFU_2013plus_u)</f>
        <v>0</v>
      </c>
      <c r="BN255" s="219">
        <f t="shared" ref="BN255:BN265" si="1862">(AU254*pAsympt_LTFU_Int_LTFU_2013plus_u)+(BN254*pInt_LTFU_2013plus_u)</f>
        <v>0</v>
      </c>
      <c r="BO255" s="219">
        <f t="shared" ref="BO255:BO265" si="1863">(AY254*pInt_ART1_Int_LTFU_2013plus_u)+(BO254*pInt_LTFU_2013plus_u)</f>
        <v>0</v>
      </c>
      <c r="BP255" s="219">
        <f t="shared" ref="BP255:BP265" si="1864">(AZ254*pInt_ART2_Int_LTFU_2013plus_u)+(BP254*pInt_LTFU_2013plus_u)</f>
        <v>0</v>
      </c>
      <c r="BQ255" s="219">
        <f t="shared" ref="BQ255:BQ265" si="1865">(BD254*pAIDS_InCare_AIDS_LTFU_2013plus_u)+(BQ254*pAIDS_LTFU_2013plus_u)</f>
        <v>0</v>
      </c>
      <c r="BR255" s="220">
        <f t="shared" ref="BR255:BR265" si="1866">(BN254*pInt_LTFU_AIDS_LTFU_2013plus_u)+(BR254*pAIDS_LTFU_2013plus_u)</f>
        <v>0</v>
      </c>
      <c r="BS255" s="219">
        <f t="shared" ref="BS255:BS265" si="1867">(BM254*pInt_LTFU_AIDS_LTFU_2013plus_u)+(BS254*pAIDS_LTFU_2013plus_u)</f>
        <v>0</v>
      </c>
      <c r="BT255" s="219">
        <f t="shared" ref="BT255:BT265" si="1868">(BE254*pAIDS_ART1ear_AIDS_LTFU_2013plus_u)+(BT254*pAIDS_LTFU_2013plus_u)</f>
        <v>0</v>
      </c>
      <c r="BU255" s="219">
        <f t="shared" ref="BU255:BU265" si="1869">(BF254*pAIDS_ART1late_AIDS_LTFU_2013plus_u)+(BU254*pAIDS_LTFU_2013plus_u)</f>
        <v>0</v>
      </c>
      <c r="BV255" s="219">
        <f t="shared" ref="BV255:BV265" si="1870">(BO254*pInt_LTFU_AIDS_LTFU_2013plus_u)+(BV254*pAIDS_LTFU_2013plus_u)</f>
        <v>0</v>
      </c>
      <c r="BW255" s="219">
        <f t="shared" ref="BW255:BW265" si="1871">(BG254*pAIDS_ART2_AIDS_LTFU_2013plus_u)+(BW254*pAIDS_LTFU_2013plus_u)</f>
        <v>0</v>
      </c>
      <c r="BX255" s="220">
        <f t="shared" ref="BX255:BX265" si="1872">(BP254*pInt_LTFU_AIDS_LTFU_2013plus_u)+(BX254*pAIDS_LTFU_2013plus_u)</f>
        <v>0</v>
      </c>
      <c r="BY255" s="195"/>
      <c r="BZ255" s="192">
        <v>9</v>
      </c>
      <c r="CA255" s="66">
        <v>2013</v>
      </c>
      <c r="CB255" s="218">
        <f t="shared" ref="CB255:CB265" si="1873">pAsympt_NoCare_Asympt_Dead_2013plus_u*AS254</f>
        <v>0</v>
      </c>
      <c r="CC255" s="218">
        <f t="shared" ref="CC255:CC265" si="1874">pAsympt_InCare_Asympt_Dead_2013plus_u*AT254</f>
        <v>0</v>
      </c>
      <c r="CD255" s="73">
        <f t="shared" ref="CD255:CD265" si="1875">pAsympt_LTFU_Asympt_Dead_2013plus_u*AU254</f>
        <v>0</v>
      </c>
      <c r="CE255" s="73">
        <f t="shared" ref="CE255:CE265" si="1876">pInt_NoCare_Int_Dead_2013plus_u*AW254</f>
        <v>0</v>
      </c>
      <c r="CF255" s="73">
        <f t="shared" ref="CF255:CF265" si="1877">pInt_InCare_Int_Dead_2013plus_u*AX254</f>
        <v>0</v>
      </c>
      <c r="CG255" s="73">
        <f t="shared" ref="CG255:CG265" si="1878">pInt_ART1_Int_Dead_2013plus_u*AY254</f>
        <v>0</v>
      </c>
      <c r="CH255" s="73">
        <f t="shared" ref="CH255:CH265" si="1879">pInt_ART2_Int_Dead_2013plus_u*AZ254</f>
        <v>0</v>
      </c>
      <c r="CI255" s="73">
        <f t="shared" ref="CI255:CI265" si="1880">(BM254*pInt_LTFU_Int_Dead_2013plus_u)</f>
        <v>0</v>
      </c>
      <c r="CJ255" s="73">
        <f t="shared" ref="CJ255:CJ265" si="1881">(BN254*pInt_LTFU_Int_Dead_2013plus_u)</f>
        <v>0</v>
      </c>
      <c r="CK255" s="73">
        <f t="shared" ref="CK255:CK265" si="1882">(BO254*pInt_LTFU_Int_Dead_2013plus_u)</f>
        <v>0</v>
      </c>
      <c r="CL255" s="73">
        <f t="shared" ref="CL255:CL265" si="1883">(BP254*pInt_LTFU_Int_Dead_2013plus_u)</f>
        <v>0</v>
      </c>
      <c r="CM255" s="73">
        <f t="shared" ref="CM255:CM265" si="1884">pAIDS_NoCare_AIDS_Dead_2013plus_u*BC254</f>
        <v>0</v>
      </c>
      <c r="CN255" s="73">
        <f t="shared" ref="CN255:CN265" si="1885">pAIDS_InCare_AIDS_Dead_2013plus_u*BD254</f>
        <v>0</v>
      </c>
      <c r="CO255" s="73">
        <f t="shared" ref="CO255:CO265" si="1886">pAIDS_ART1ear_AIDS_Dead_2013plus_u*BE254</f>
        <v>0</v>
      </c>
      <c r="CP255" s="73">
        <f t="shared" ref="CP255:CP265" si="1887">pAIDS_ART1late_AIDS_Dead_2013plus_u*BF254</f>
        <v>0</v>
      </c>
      <c r="CQ255" s="73">
        <f t="shared" ref="CQ255:CQ265" si="1888">pAIDS_ART2_AIDS_Dead_2013plus_u*BG254</f>
        <v>0</v>
      </c>
      <c r="CR255" s="73">
        <f t="shared" ref="CR255:CR265" si="1889">(BQ254*pAIDS_LTFU_AIDS_Dead_2013plus_u)</f>
        <v>0</v>
      </c>
      <c r="CS255" s="73">
        <f t="shared" ref="CS255:CS265" si="1890">(BR254*pAIDS_LTFU_AIDS_Dead_2013plus_u)</f>
        <v>0</v>
      </c>
      <c r="CT255" s="73">
        <f t="shared" ref="CT255:CT265" si="1891">(BS254*pAIDS_LTFU_AIDS_Dead_2013plus_u)</f>
        <v>0</v>
      </c>
      <c r="CU255" s="73">
        <f t="shared" ref="CU255:CU265" si="1892">(BT254*pAIDS_LTFU_AIDS_Dead_2013plus_u)</f>
        <v>0</v>
      </c>
      <c r="CV255" s="73">
        <f t="shared" ref="CV255:CV265" si="1893">(BU254*pAIDS_LTFU_AIDS_Dead_2013plus_u)</f>
        <v>0</v>
      </c>
      <c r="CW255" s="73">
        <f t="shared" ref="CW255:CW265" si="1894">(BV254*pAIDS_LTFU_AIDS_Dead_2013plus_u)</f>
        <v>0</v>
      </c>
      <c r="CX255" s="73">
        <f t="shared" ref="CX255:CX265" si="1895">(BW254*pAIDS_LTFU_AIDS_Dead_2013plus_u)</f>
        <v>0</v>
      </c>
      <c r="CY255" s="73">
        <f t="shared" ref="CY255:CY265" si="1896">(BX254*pAIDS_LTFU_AIDS_Dead_2013plus_u)</f>
        <v>0</v>
      </c>
      <c r="CZ255" s="190"/>
      <c r="DA255" s="66">
        <v>2013</v>
      </c>
      <c r="DB255" s="218">
        <f t="shared" si="1819"/>
        <v>0</v>
      </c>
      <c r="DC255" s="218">
        <f t="shared" si="1820"/>
        <v>0</v>
      </c>
      <c r="DD255" s="73">
        <f t="shared" si="1821"/>
        <v>0</v>
      </c>
      <c r="DE255" s="73">
        <f t="shared" si="1822"/>
        <v>0</v>
      </c>
      <c r="DF255" s="73">
        <f t="shared" si="1823"/>
        <v>0</v>
      </c>
      <c r="DG255" s="73">
        <f t="shared" si="1824"/>
        <v>0</v>
      </c>
      <c r="DH255" s="72" t="e">
        <f t="shared" si="1851"/>
        <v>#DIV/0!</v>
      </c>
      <c r="DI255" s="72" t="e">
        <f t="shared" si="1852"/>
        <v>#DIV/0!</v>
      </c>
      <c r="DJ255" s="73">
        <f>SUM(AV246:AV255,BB246:BB255,BI246:BI255)</f>
        <v>0</v>
      </c>
      <c r="DK255" s="73">
        <f>SUM(AV252:AV255,BB252:BB255,BI252:BI255)</f>
        <v>0</v>
      </c>
      <c r="DL255" s="190"/>
    </row>
    <row r="256" spans="22:116" x14ac:dyDescent="0.25">
      <c r="V256" s="13"/>
      <c r="W256" s="66">
        <v>10</v>
      </c>
      <c r="X256" s="66">
        <v>2014</v>
      </c>
      <c r="Y256" s="69">
        <v>0</v>
      </c>
      <c r="Z256" s="69">
        <v>0</v>
      </c>
      <c r="AA256" s="69">
        <v>0</v>
      </c>
      <c r="AB256" s="69">
        <v>0</v>
      </c>
      <c r="AC256" s="69">
        <v>0</v>
      </c>
      <c r="AD256" s="69">
        <v>0</v>
      </c>
      <c r="AE256" s="69">
        <v>0</v>
      </c>
      <c r="AF256" s="69">
        <v>0</v>
      </c>
      <c r="AG256" s="69">
        <v>0</v>
      </c>
      <c r="AH256" s="69">
        <v>0</v>
      </c>
      <c r="AI256" s="69">
        <v>0</v>
      </c>
      <c r="AJ256" s="69">
        <v>0</v>
      </c>
      <c r="AK256" s="69">
        <v>0</v>
      </c>
      <c r="AL256" s="69">
        <v>0</v>
      </c>
      <c r="AM256" s="69">
        <v>0</v>
      </c>
      <c r="AN256" s="69">
        <v>0</v>
      </c>
      <c r="AO256" s="69">
        <v>0</v>
      </c>
      <c r="AP256" s="190"/>
      <c r="AQ256" s="66">
        <v>10</v>
      </c>
      <c r="AR256" s="66">
        <v>2014</v>
      </c>
      <c r="AS256" s="215">
        <f t="shared" si="1802"/>
        <v>0</v>
      </c>
      <c r="AT256" s="215">
        <f t="shared" si="1803"/>
        <v>0</v>
      </c>
      <c r="AU256" s="215">
        <f t="shared" si="1804"/>
        <v>0</v>
      </c>
      <c r="AV256" s="215">
        <f t="shared" si="1805"/>
        <v>0</v>
      </c>
      <c r="AW256" s="215">
        <f t="shared" si="1806"/>
        <v>0</v>
      </c>
      <c r="AX256" s="215">
        <f t="shared" si="1807"/>
        <v>0</v>
      </c>
      <c r="AY256" s="215">
        <f t="shared" si="1808"/>
        <v>0</v>
      </c>
      <c r="AZ256" s="215">
        <f t="shared" si="1809"/>
        <v>0</v>
      </c>
      <c r="BA256" s="215">
        <f t="shared" si="1810"/>
        <v>0</v>
      </c>
      <c r="BB256" s="215">
        <f t="shared" si="1811"/>
        <v>0</v>
      </c>
      <c r="BC256" s="215">
        <f t="shared" si="1812"/>
        <v>0</v>
      </c>
      <c r="BD256" s="215">
        <f t="shared" si="1813"/>
        <v>0</v>
      </c>
      <c r="BE256" s="215">
        <f t="shared" si="1814"/>
        <v>0</v>
      </c>
      <c r="BF256" s="215">
        <f t="shared" si="1815"/>
        <v>0</v>
      </c>
      <c r="BG256" s="215">
        <f t="shared" si="1816"/>
        <v>0</v>
      </c>
      <c r="BH256" s="215">
        <f t="shared" si="1817"/>
        <v>0</v>
      </c>
      <c r="BI256" s="215">
        <f t="shared" si="1818"/>
        <v>0</v>
      </c>
      <c r="BJ256" s="195"/>
      <c r="BK256" s="66">
        <v>10</v>
      </c>
      <c r="BL256" s="66">
        <v>2014</v>
      </c>
      <c r="BM256" s="215">
        <f t="shared" si="1861"/>
        <v>0</v>
      </c>
      <c r="BN256" s="219">
        <f t="shared" si="1862"/>
        <v>0</v>
      </c>
      <c r="BO256" s="219">
        <f t="shared" si="1863"/>
        <v>0</v>
      </c>
      <c r="BP256" s="219">
        <f t="shared" si="1864"/>
        <v>0</v>
      </c>
      <c r="BQ256" s="219">
        <f t="shared" si="1865"/>
        <v>0</v>
      </c>
      <c r="BR256" s="220">
        <f t="shared" si="1866"/>
        <v>0</v>
      </c>
      <c r="BS256" s="219">
        <f t="shared" si="1867"/>
        <v>0</v>
      </c>
      <c r="BT256" s="219">
        <f t="shared" si="1868"/>
        <v>0</v>
      </c>
      <c r="BU256" s="219">
        <f t="shared" si="1869"/>
        <v>0</v>
      </c>
      <c r="BV256" s="219">
        <f t="shared" si="1870"/>
        <v>0</v>
      </c>
      <c r="BW256" s="219">
        <f t="shared" si="1871"/>
        <v>0</v>
      </c>
      <c r="BX256" s="220">
        <f t="shared" si="1872"/>
        <v>0</v>
      </c>
      <c r="BY256" s="195"/>
      <c r="BZ256" s="66">
        <v>10</v>
      </c>
      <c r="CA256" s="66">
        <v>2014</v>
      </c>
      <c r="CB256" s="218">
        <f t="shared" si="1873"/>
        <v>0</v>
      </c>
      <c r="CC256" s="218">
        <f t="shared" si="1874"/>
        <v>0</v>
      </c>
      <c r="CD256" s="73">
        <f t="shared" si="1875"/>
        <v>0</v>
      </c>
      <c r="CE256" s="73">
        <f t="shared" si="1876"/>
        <v>0</v>
      </c>
      <c r="CF256" s="73">
        <f t="shared" si="1877"/>
        <v>0</v>
      </c>
      <c r="CG256" s="73">
        <f t="shared" si="1878"/>
        <v>0</v>
      </c>
      <c r="CH256" s="73">
        <f t="shared" si="1879"/>
        <v>0</v>
      </c>
      <c r="CI256" s="73">
        <f t="shared" si="1880"/>
        <v>0</v>
      </c>
      <c r="CJ256" s="73">
        <f t="shared" si="1881"/>
        <v>0</v>
      </c>
      <c r="CK256" s="73">
        <f t="shared" si="1882"/>
        <v>0</v>
      </c>
      <c r="CL256" s="73">
        <f t="shared" si="1883"/>
        <v>0</v>
      </c>
      <c r="CM256" s="73">
        <f t="shared" si="1884"/>
        <v>0</v>
      </c>
      <c r="CN256" s="73">
        <f t="shared" si="1885"/>
        <v>0</v>
      </c>
      <c r="CO256" s="73">
        <f t="shared" si="1886"/>
        <v>0</v>
      </c>
      <c r="CP256" s="73">
        <f t="shared" si="1887"/>
        <v>0</v>
      </c>
      <c r="CQ256" s="73">
        <f t="shared" si="1888"/>
        <v>0</v>
      </c>
      <c r="CR256" s="73">
        <f t="shared" si="1889"/>
        <v>0</v>
      </c>
      <c r="CS256" s="73">
        <f t="shared" si="1890"/>
        <v>0</v>
      </c>
      <c r="CT256" s="73">
        <f t="shared" si="1891"/>
        <v>0</v>
      </c>
      <c r="CU256" s="73">
        <f t="shared" si="1892"/>
        <v>0</v>
      </c>
      <c r="CV256" s="73">
        <f t="shared" si="1893"/>
        <v>0</v>
      </c>
      <c r="CW256" s="73">
        <f t="shared" si="1894"/>
        <v>0</v>
      </c>
      <c r="CX256" s="73">
        <f t="shared" si="1895"/>
        <v>0</v>
      </c>
      <c r="CY256" s="73">
        <f t="shared" si="1896"/>
        <v>0</v>
      </c>
      <c r="CZ256" s="190"/>
      <c r="DA256" s="66">
        <v>2014</v>
      </c>
      <c r="DB256" s="218">
        <f t="shared" si="1819"/>
        <v>0</v>
      </c>
      <c r="DC256" s="218">
        <f t="shared" si="1820"/>
        <v>0</v>
      </c>
      <c r="DD256" s="73">
        <f t="shared" si="1821"/>
        <v>0</v>
      </c>
      <c r="DE256" s="73">
        <f t="shared" si="1822"/>
        <v>0</v>
      </c>
      <c r="DF256" s="73">
        <f t="shared" si="1823"/>
        <v>0</v>
      </c>
      <c r="DG256" s="73">
        <f t="shared" si="1824"/>
        <v>0</v>
      </c>
      <c r="DH256" s="72" t="e">
        <f t="shared" si="1851"/>
        <v>#DIV/0!</v>
      </c>
      <c r="DI256" s="72" t="e">
        <f t="shared" si="1852"/>
        <v>#DIV/0!</v>
      </c>
      <c r="DJ256" s="73">
        <f>SUM(AV246:AV256,BB246:BB256,BI246:BI256)</f>
        <v>0</v>
      </c>
      <c r="DK256" s="73">
        <f>SUM(AV252:AV256,BB252:BB256,BI252:BI256)</f>
        <v>0</v>
      </c>
      <c r="DL256" s="190"/>
    </row>
    <row r="257" spans="22:116" x14ac:dyDescent="0.25">
      <c r="V257" s="13"/>
      <c r="W257" s="66">
        <v>11</v>
      </c>
      <c r="X257" s="66">
        <v>2015</v>
      </c>
      <c r="Y257" s="69">
        <v>1</v>
      </c>
      <c r="Z257" s="69">
        <v>0</v>
      </c>
      <c r="AA257" s="69">
        <v>0</v>
      </c>
      <c r="AB257" s="69">
        <v>0</v>
      </c>
      <c r="AC257" s="69">
        <v>0</v>
      </c>
      <c r="AD257" s="69">
        <v>0</v>
      </c>
      <c r="AE257" s="69">
        <v>0</v>
      </c>
      <c r="AF257" s="69">
        <v>0</v>
      </c>
      <c r="AG257" s="69">
        <v>0</v>
      </c>
      <c r="AH257" s="69">
        <v>0</v>
      </c>
      <c r="AI257" s="69">
        <v>0</v>
      </c>
      <c r="AJ257" s="69">
        <v>0</v>
      </c>
      <c r="AK257" s="69">
        <v>0</v>
      </c>
      <c r="AL257" s="69">
        <v>0</v>
      </c>
      <c r="AM257" s="69">
        <v>0</v>
      </c>
      <c r="AN257" s="69">
        <v>0</v>
      </c>
      <c r="AO257" s="69">
        <v>0</v>
      </c>
      <c r="AP257" s="190"/>
      <c r="AQ257" s="66">
        <v>11</v>
      </c>
      <c r="AR257" s="66">
        <v>2015</v>
      </c>
      <c r="AS257" s="215">
        <f t="shared" si="1802"/>
        <v>8588.0400000000009</v>
      </c>
      <c r="AT257" s="215">
        <f t="shared" si="1803"/>
        <v>0</v>
      </c>
      <c r="AU257" s="215">
        <f t="shared" si="1804"/>
        <v>0</v>
      </c>
      <c r="AV257" s="215">
        <f t="shared" si="1805"/>
        <v>0</v>
      </c>
      <c r="AW257" s="215">
        <f t="shared" si="1806"/>
        <v>0</v>
      </c>
      <c r="AX257" s="215">
        <f t="shared" si="1807"/>
        <v>0</v>
      </c>
      <c r="AY257" s="215">
        <f t="shared" si="1808"/>
        <v>0</v>
      </c>
      <c r="AZ257" s="215">
        <f t="shared" si="1809"/>
        <v>0</v>
      </c>
      <c r="BA257" s="215">
        <f t="shared" si="1810"/>
        <v>0</v>
      </c>
      <c r="BB257" s="215">
        <f t="shared" si="1811"/>
        <v>0</v>
      </c>
      <c r="BC257" s="215">
        <f t="shared" si="1812"/>
        <v>0</v>
      </c>
      <c r="BD257" s="215">
        <f t="shared" si="1813"/>
        <v>0</v>
      </c>
      <c r="BE257" s="215">
        <f t="shared" si="1814"/>
        <v>0</v>
      </c>
      <c r="BF257" s="215">
        <f t="shared" si="1815"/>
        <v>0</v>
      </c>
      <c r="BG257" s="215">
        <f t="shared" si="1816"/>
        <v>0</v>
      </c>
      <c r="BH257" s="215">
        <f t="shared" si="1817"/>
        <v>0</v>
      </c>
      <c r="BI257" s="215">
        <f t="shared" si="1818"/>
        <v>0</v>
      </c>
      <c r="BJ257" s="195"/>
      <c r="BK257" s="66">
        <v>11</v>
      </c>
      <c r="BL257" s="66">
        <v>2015</v>
      </c>
      <c r="BM257" s="215">
        <f t="shared" si="1861"/>
        <v>0</v>
      </c>
      <c r="BN257" s="219">
        <f t="shared" si="1862"/>
        <v>0</v>
      </c>
      <c r="BO257" s="219">
        <f t="shared" si="1863"/>
        <v>0</v>
      </c>
      <c r="BP257" s="219">
        <f t="shared" si="1864"/>
        <v>0</v>
      </c>
      <c r="BQ257" s="219">
        <f t="shared" si="1865"/>
        <v>0</v>
      </c>
      <c r="BR257" s="220">
        <f t="shared" si="1866"/>
        <v>0</v>
      </c>
      <c r="BS257" s="219">
        <f t="shared" si="1867"/>
        <v>0</v>
      </c>
      <c r="BT257" s="219">
        <f t="shared" si="1868"/>
        <v>0</v>
      </c>
      <c r="BU257" s="219">
        <f t="shared" si="1869"/>
        <v>0</v>
      </c>
      <c r="BV257" s="219">
        <f t="shared" si="1870"/>
        <v>0</v>
      </c>
      <c r="BW257" s="219">
        <f t="shared" si="1871"/>
        <v>0</v>
      </c>
      <c r="BX257" s="220">
        <f t="shared" si="1872"/>
        <v>0</v>
      </c>
      <c r="BY257" s="195"/>
      <c r="BZ257" s="66">
        <v>11</v>
      </c>
      <c r="CA257" s="66">
        <v>2015</v>
      </c>
      <c r="CB257" s="218">
        <f t="shared" si="1873"/>
        <v>0</v>
      </c>
      <c r="CC257" s="218">
        <f t="shared" si="1874"/>
        <v>0</v>
      </c>
      <c r="CD257" s="73">
        <f t="shared" si="1875"/>
        <v>0</v>
      </c>
      <c r="CE257" s="73">
        <f t="shared" si="1876"/>
        <v>0</v>
      </c>
      <c r="CF257" s="73">
        <f t="shared" si="1877"/>
        <v>0</v>
      </c>
      <c r="CG257" s="73">
        <f t="shared" si="1878"/>
        <v>0</v>
      </c>
      <c r="CH257" s="73">
        <f t="shared" si="1879"/>
        <v>0</v>
      </c>
      <c r="CI257" s="73">
        <f t="shared" si="1880"/>
        <v>0</v>
      </c>
      <c r="CJ257" s="73">
        <f t="shared" si="1881"/>
        <v>0</v>
      </c>
      <c r="CK257" s="73">
        <f t="shared" si="1882"/>
        <v>0</v>
      </c>
      <c r="CL257" s="73">
        <f t="shared" si="1883"/>
        <v>0</v>
      </c>
      <c r="CM257" s="73">
        <f t="shared" si="1884"/>
        <v>0</v>
      </c>
      <c r="CN257" s="73">
        <f t="shared" si="1885"/>
        <v>0</v>
      </c>
      <c r="CO257" s="73">
        <f t="shared" si="1886"/>
        <v>0</v>
      </c>
      <c r="CP257" s="73">
        <f t="shared" si="1887"/>
        <v>0</v>
      </c>
      <c r="CQ257" s="73">
        <f t="shared" si="1888"/>
        <v>0</v>
      </c>
      <c r="CR257" s="73">
        <f t="shared" si="1889"/>
        <v>0</v>
      </c>
      <c r="CS257" s="73">
        <f t="shared" si="1890"/>
        <v>0</v>
      </c>
      <c r="CT257" s="73">
        <f t="shared" si="1891"/>
        <v>0</v>
      </c>
      <c r="CU257" s="73">
        <f t="shared" si="1892"/>
        <v>0</v>
      </c>
      <c r="CV257" s="73">
        <f t="shared" si="1893"/>
        <v>0</v>
      </c>
      <c r="CW257" s="73">
        <f t="shared" si="1894"/>
        <v>0</v>
      </c>
      <c r="CX257" s="73">
        <f t="shared" si="1895"/>
        <v>0</v>
      </c>
      <c r="CY257" s="73">
        <f t="shared" si="1896"/>
        <v>0</v>
      </c>
      <c r="CZ257" s="190"/>
      <c r="DA257" s="66">
        <v>2015</v>
      </c>
      <c r="DB257" s="218">
        <f t="shared" si="1819"/>
        <v>0</v>
      </c>
      <c r="DC257" s="218">
        <f t="shared" si="1820"/>
        <v>8588.0400000000009</v>
      </c>
      <c r="DD257" s="73">
        <f t="shared" si="1821"/>
        <v>0</v>
      </c>
      <c r="DE257" s="73">
        <f t="shared" si="1822"/>
        <v>0</v>
      </c>
      <c r="DF257" s="73">
        <f t="shared" si="1823"/>
        <v>0</v>
      </c>
      <c r="DG257" s="73">
        <f t="shared" si="1824"/>
        <v>0</v>
      </c>
      <c r="DH257" s="72" t="e">
        <f t="shared" si="1851"/>
        <v>#DIV/0!</v>
      </c>
      <c r="DI257" s="72" t="e">
        <f t="shared" si="1852"/>
        <v>#DIV/0!</v>
      </c>
      <c r="DJ257" s="73">
        <f>SUM(AV246:AV257,BB246:BB257,BI246:BI257)</f>
        <v>0</v>
      </c>
      <c r="DK257" s="73">
        <f>SUM(AV252:AV257,BB252:BB257,BI252:BI257)</f>
        <v>0</v>
      </c>
      <c r="DL257" s="190"/>
    </row>
    <row r="258" spans="22:116" x14ac:dyDescent="0.25">
      <c r="V258" s="13"/>
      <c r="W258" s="66">
        <v>12</v>
      </c>
      <c r="X258" s="66">
        <v>2016</v>
      </c>
      <c r="Y258" s="70">
        <f t="shared" ref="Y258:Y265" si="1897">MMULT($Y257:$AO257,D$202:D$218)</f>
        <v>0.63376008575865694</v>
      </c>
      <c r="Z258" s="70">
        <f t="shared" ref="Z258:Z265" si="1898">MMULT($Y257:$AO257,E$202:E$218)</f>
        <v>7.4027434914144222E-2</v>
      </c>
      <c r="AA258" s="70">
        <f t="shared" ref="AA258:AA265" si="1899">MMULT($Y257:$AO257,F$202:F$218)</f>
        <v>0</v>
      </c>
      <c r="AB258" s="70">
        <f t="shared" ref="AB258:AB265" si="1900">MMULT($Y257:$AO257,G$202:G$218)</f>
        <v>1.818504441305463E-2</v>
      </c>
      <c r="AC258" s="70">
        <f t="shared" ref="AC258:AC265" si="1901">MMULT($Y257:$AO257,H$202:H$218)</f>
        <v>0.2</v>
      </c>
      <c r="AD258" s="70">
        <f t="shared" ref="AD258:AD265" si="1902">MMULT($Y257:$AO257,I$202:I$218)</f>
        <v>7.4027434914144222E-2</v>
      </c>
      <c r="AE258" s="70">
        <f t="shared" ref="AE258:AE265" si="1903">MMULT($Y257:$AO257,J$202:J$218)</f>
        <v>0</v>
      </c>
      <c r="AF258" s="70">
        <f t="shared" ref="AF258:AF265" si="1904">MMULT($Y257:$AO257,K$202:K$218)</f>
        <v>0</v>
      </c>
      <c r="AG258" s="70">
        <f t="shared" ref="AG258:AG265" si="1905">MMULT($Y257:$AO257,L$202:L$218)</f>
        <v>0</v>
      </c>
      <c r="AH258" s="70">
        <f t="shared" ref="AH258:AH265" si="1906">MMULT($Y257:$AO257,M$202:M$218)</f>
        <v>0</v>
      </c>
      <c r="AI258" s="70">
        <f t="shared" ref="AI258:AI265" si="1907">MMULT($Y257:$AO257,N$202:N$218)</f>
        <v>0</v>
      </c>
      <c r="AJ258" s="70">
        <f t="shared" ref="AJ258:AJ265" si="1908">MMULT($Y257:$AO257,O$202:O$218)</f>
        <v>0</v>
      </c>
      <c r="AK258" s="70">
        <f t="shared" ref="AK258:AK265" si="1909">MMULT($Y257:$AO257,P$202:P$218)</f>
        <v>0</v>
      </c>
      <c r="AL258" s="70">
        <f t="shared" ref="AL258:AL265" si="1910">MMULT($Y257:$AO257,Q$202:Q$218)</f>
        <v>0</v>
      </c>
      <c r="AM258" s="70">
        <f t="shared" ref="AM258:AM265" si="1911">MMULT($Y257:$AO257,R$202:R$218)</f>
        <v>0</v>
      </c>
      <c r="AN258" s="70">
        <f t="shared" ref="AN258:AN265" si="1912">MMULT($Y257:$AO257,S$202:S$218)</f>
        <v>0</v>
      </c>
      <c r="AO258" s="70">
        <f t="shared" ref="AO258:AO265" si="1913">MMULT($Y257:$AO257,T$202:T$218)</f>
        <v>0</v>
      </c>
      <c r="AP258" s="190"/>
      <c r="AQ258" s="66">
        <v>12</v>
      </c>
      <c r="AR258" s="66">
        <v>2016</v>
      </c>
      <c r="AS258" s="215">
        <f t="shared" si="1802"/>
        <v>5442.7569668987771</v>
      </c>
      <c r="AT258" s="215">
        <f t="shared" si="1803"/>
        <v>635.75057214006722</v>
      </c>
      <c r="AU258" s="215">
        <f t="shared" si="1804"/>
        <v>0</v>
      </c>
      <c r="AV258" s="215">
        <f t="shared" si="1805"/>
        <v>156.17388882108969</v>
      </c>
      <c r="AW258" s="215">
        <f t="shared" si="1806"/>
        <v>1717.6080000000002</v>
      </c>
      <c r="AX258" s="215">
        <f t="shared" si="1807"/>
        <v>635.75057214006722</v>
      </c>
      <c r="AY258" s="215">
        <f t="shared" si="1808"/>
        <v>0</v>
      </c>
      <c r="AZ258" s="215">
        <f t="shared" si="1809"/>
        <v>0</v>
      </c>
      <c r="BA258" s="215">
        <f t="shared" si="1810"/>
        <v>0</v>
      </c>
      <c r="BB258" s="215">
        <f t="shared" si="1811"/>
        <v>0</v>
      </c>
      <c r="BC258" s="215">
        <f t="shared" si="1812"/>
        <v>0</v>
      </c>
      <c r="BD258" s="215">
        <f t="shared" si="1813"/>
        <v>0</v>
      </c>
      <c r="BE258" s="215">
        <f t="shared" si="1814"/>
        <v>0</v>
      </c>
      <c r="BF258" s="215">
        <f t="shared" si="1815"/>
        <v>0</v>
      </c>
      <c r="BG258" s="215">
        <f t="shared" si="1816"/>
        <v>0</v>
      </c>
      <c r="BH258" s="215">
        <f t="shared" si="1817"/>
        <v>0</v>
      </c>
      <c r="BI258" s="215">
        <f t="shared" si="1818"/>
        <v>0</v>
      </c>
      <c r="BJ258" s="195"/>
      <c r="BK258" s="66">
        <v>12</v>
      </c>
      <c r="BL258" s="66">
        <v>2016</v>
      </c>
      <c r="BM258" s="215">
        <f t="shared" si="1861"/>
        <v>0</v>
      </c>
      <c r="BN258" s="219">
        <f t="shared" si="1862"/>
        <v>0</v>
      </c>
      <c r="BO258" s="219">
        <f t="shared" si="1863"/>
        <v>0</v>
      </c>
      <c r="BP258" s="219">
        <f t="shared" si="1864"/>
        <v>0</v>
      </c>
      <c r="BQ258" s="219">
        <f t="shared" si="1865"/>
        <v>0</v>
      </c>
      <c r="BR258" s="220">
        <f t="shared" si="1866"/>
        <v>0</v>
      </c>
      <c r="BS258" s="219">
        <f t="shared" si="1867"/>
        <v>0</v>
      </c>
      <c r="BT258" s="219">
        <f t="shared" si="1868"/>
        <v>0</v>
      </c>
      <c r="BU258" s="219">
        <f t="shared" si="1869"/>
        <v>0</v>
      </c>
      <c r="BV258" s="219">
        <f t="shared" si="1870"/>
        <v>0</v>
      </c>
      <c r="BW258" s="219">
        <f t="shared" si="1871"/>
        <v>0</v>
      </c>
      <c r="BX258" s="220">
        <f t="shared" si="1872"/>
        <v>0</v>
      </c>
      <c r="BY258" s="195"/>
      <c r="BZ258" s="66">
        <v>12</v>
      </c>
      <c r="CA258" s="66">
        <v>2016</v>
      </c>
      <c r="CB258" s="218">
        <f t="shared" si="1873"/>
        <v>156.17388882108969</v>
      </c>
      <c r="CC258" s="218">
        <f t="shared" si="1874"/>
        <v>0</v>
      </c>
      <c r="CD258" s="73">
        <f t="shared" si="1875"/>
        <v>0</v>
      </c>
      <c r="CE258" s="73">
        <f t="shared" si="1876"/>
        <v>0</v>
      </c>
      <c r="CF258" s="73">
        <f t="shared" si="1877"/>
        <v>0</v>
      </c>
      <c r="CG258" s="73">
        <f t="shared" si="1878"/>
        <v>0</v>
      </c>
      <c r="CH258" s="73">
        <f t="shared" si="1879"/>
        <v>0</v>
      </c>
      <c r="CI258" s="73">
        <f t="shared" si="1880"/>
        <v>0</v>
      </c>
      <c r="CJ258" s="73">
        <f t="shared" si="1881"/>
        <v>0</v>
      </c>
      <c r="CK258" s="73">
        <f t="shared" si="1882"/>
        <v>0</v>
      </c>
      <c r="CL258" s="73">
        <f t="shared" si="1883"/>
        <v>0</v>
      </c>
      <c r="CM258" s="73">
        <f t="shared" si="1884"/>
        <v>0</v>
      </c>
      <c r="CN258" s="73">
        <f t="shared" si="1885"/>
        <v>0</v>
      </c>
      <c r="CO258" s="73">
        <f t="shared" si="1886"/>
        <v>0</v>
      </c>
      <c r="CP258" s="73">
        <f t="shared" si="1887"/>
        <v>0</v>
      </c>
      <c r="CQ258" s="73">
        <f t="shared" si="1888"/>
        <v>0</v>
      </c>
      <c r="CR258" s="73">
        <f t="shared" si="1889"/>
        <v>0</v>
      </c>
      <c r="CS258" s="73">
        <f t="shared" si="1890"/>
        <v>0</v>
      </c>
      <c r="CT258" s="73">
        <f t="shared" si="1891"/>
        <v>0</v>
      </c>
      <c r="CU258" s="73">
        <f t="shared" si="1892"/>
        <v>0</v>
      </c>
      <c r="CV258" s="73">
        <f t="shared" si="1893"/>
        <v>0</v>
      </c>
      <c r="CW258" s="73">
        <f t="shared" si="1894"/>
        <v>0</v>
      </c>
      <c r="CX258" s="73">
        <f t="shared" si="1895"/>
        <v>0</v>
      </c>
      <c r="CY258" s="73">
        <f t="shared" si="1896"/>
        <v>0</v>
      </c>
      <c r="CZ258" s="190"/>
      <c r="DA258" s="66">
        <v>2016</v>
      </c>
      <c r="DB258" s="218">
        <f t="shared" si="1819"/>
        <v>1271.5011442801344</v>
      </c>
      <c r="DC258" s="218">
        <f t="shared" si="1820"/>
        <v>8431.8661111789115</v>
      </c>
      <c r="DD258" s="73">
        <f t="shared" si="1821"/>
        <v>0</v>
      </c>
      <c r="DE258" s="73">
        <f t="shared" si="1822"/>
        <v>0</v>
      </c>
      <c r="DF258" s="73">
        <f t="shared" si="1823"/>
        <v>0</v>
      </c>
      <c r="DG258" s="73">
        <f t="shared" si="1824"/>
        <v>2353.3585721400673</v>
      </c>
      <c r="DH258" s="72">
        <f t="shared" si="1851"/>
        <v>0</v>
      </c>
      <c r="DI258" s="72" t="e">
        <f t="shared" si="1852"/>
        <v>#DIV/0!</v>
      </c>
      <c r="DJ258" s="73">
        <f>SUM(AV246:AV258,BB246:BB258,BI246:BI258)</f>
        <v>156.17388882108969</v>
      </c>
      <c r="DK258" s="73">
        <f>SUM(AV252:AV258,BB252:BB258,BI252:BI258)</f>
        <v>156.17388882108969</v>
      </c>
      <c r="DL258" s="190"/>
    </row>
    <row r="259" spans="22:116" x14ac:dyDescent="0.25">
      <c r="V259" s="13"/>
      <c r="W259" s="66">
        <v>13</v>
      </c>
      <c r="X259" s="66">
        <v>2017</v>
      </c>
      <c r="Y259" s="70">
        <f t="shared" si="1897"/>
        <v>0.40165184630082018</v>
      </c>
      <c r="Z259" s="70">
        <f t="shared" si="1898"/>
        <v>7.9350132444030066E-2</v>
      </c>
      <c r="AA259" s="70">
        <f t="shared" si="1899"/>
        <v>2.2711269412095766E-2</v>
      </c>
      <c r="AB259" s="70">
        <f t="shared" si="1900"/>
        <v>1.2788092354875989E-2</v>
      </c>
      <c r="AC259" s="70">
        <f t="shared" si="1901"/>
        <v>0.22169301105858225</v>
      </c>
      <c r="AD259" s="70">
        <f t="shared" si="1902"/>
        <v>0.1017364552227743</v>
      </c>
      <c r="AE259" s="70">
        <f t="shared" si="1903"/>
        <v>1.2322340839651991E-2</v>
      </c>
      <c r="AF259" s="70">
        <f t="shared" si="1904"/>
        <v>0</v>
      </c>
      <c r="AG259" s="70">
        <f t="shared" si="1905"/>
        <v>1.3509635260084139E-2</v>
      </c>
      <c r="AH259" s="70">
        <f t="shared" si="1906"/>
        <v>7.5148512019901498E-3</v>
      </c>
      <c r="AI259" s="70">
        <f t="shared" si="1907"/>
        <v>0.06</v>
      </c>
      <c r="AJ259" s="70">
        <f t="shared" si="1908"/>
        <v>4.1948879784681731E-2</v>
      </c>
      <c r="AK259" s="70">
        <f t="shared" si="1909"/>
        <v>6.5884417073588351E-3</v>
      </c>
      <c r="AL259" s="70">
        <f t="shared" si="1910"/>
        <v>0</v>
      </c>
      <c r="AM259" s="70">
        <f t="shared" si="1911"/>
        <v>0</v>
      </c>
      <c r="AN259" s="70">
        <f t="shared" si="1912"/>
        <v>0</v>
      </c>
      <c r="AO259" s="70">
        <f t="shared" si="1913"/>
        <v>0</v>
      </c>
      <c r="AP259" s="190"/>
      <c r="AQ259" s="66">
        <v>13</v>
      </c>
      <c r="AR259" s="66">
        <v>2017</v>
      </c>
      <c r="AS259" s="215">
        <f t="shared" si="1802"/>
        <v>3449.4021221052963</v>
      </c>
      <c r="AT259" s="215">
        <f t="shared" si="1803"/>
        <v>681.46211143462801</v>
      </c>
      <c r="AU259" s="215">
        <f t="shared" si="1804"/>
        <v>195.04529016185495</v>
      </c>
      <c r="AV259" s="215">
        <f t="shared" si="1805"/>
        <v>109.8246486673692</v>
      </c>
      <c r="AW259" s="215">
        <f t="shared" si="1806"/>
        <v>1903.9084466915469</v>
      </c>
      <c r="AX259" s="215">
        <f t="shared" si="1807"/>
        <v>873.71674691139469</v>
      </c>
      <c r="AY259" s="215">
        <f t="shared" si="1808"/>
        <v>105.82475602456491</v>
      </c>
      <c r="AZ259" s="215">
        <f t="shared" si="1809"/>
        <v>0</v>
      </c>
      <c r="BA259" s="215">
        <f t="shared" si="1810"/>
        <v>116.021287999013</v>
      </c>
      <c r="BB259" s="215">
        <f t="shared" si="1811"/>
        <v>64.53784271673949</v>
      </c>
      <c r="BC259" s="215">
        <f t="shared" si="1812"/>
        <v>515.28240000000005</v>
      </c>
      <c r="BD259" s="215">
        <f t="shared" si="1813"/>
        <v>360.25865754603814</v>
      </c>
      <c r="BE259" s="215">
        <f t="shared" si="1814"/>
        <v>56.581800920465973</v>
      </c>
      <c r="BF259" s="215">
        <f t="shared" si="1815"/>
        <v>0</v>
      </c>
      <c r="BG259" s="215">
        <f t="shared" si="1816"/>
        <v>0</v>
      </c>
      <c r="BH259" s="215">
        <f t="shared" si="1817"/>
        <v>0</v>
      </c>
      <c r="BI259" s="215">
        <f t="shared" si="1818"/>
        <v>0</v>
      </c>
      <c r="BJ259" s="195"/>
      <c r="BK259" s="66">
        <v>13</v>
      </c>
      <c r="BL259" s="66">
        <v>2017</v>
      </c>
      <c r="BM259" s="215">
        <f t="shared" si="1861"/>
        <v>116.021287999013</v>
      </c>
      <c r="BN259" s="219">
        <f t="shared" si="1862"/>
        <v>0</v>
      </c>
      <c r="BO259" s="219">
        <f t="shared" si="1863"/>
        <v>0</v>
      </c>
      <c r="BP259" s="219">
        <f t="shared" si="1864"/>
        <v>0</v>
      </c>
      <c r="BQ259" s="219">
        <f t="shared" si="1865"/>
        <v>0</v>
      </c>
      <c r="BR259" s="220">
        <f t="shared" si="1866"/>
        <v>0</v>
      </c>
      <c r="BS259" s="219">
        <f t="shared" si="1867"/>
        <v>0</v>
      </c>
      <c r="BT259" s="219">
        <f t="shared" si="1868"/>
        <v>0</v>
      </c>
      <c r="BU259" s="219">
        <f t="shared" si="1869"/>
        <v>0</v>
      </c>
      <c r="BV259" s="219">
        <f t="shared" si="1870"/>
        <v>0</v>
      </c>
      <c r="BW259" s="219">
        <f t="shared" si="1871"/>
        <v>0</v>
      </c>
      <c r="BX259" s="220">
        <f t="shared" si="1872"/>
        <v>0</v>
      </c>
      <c r="BY259" s="195"/>
      <c r="BZ259" s="66">
        <v>13</v>
      </c>
      <c r="CA259" s="66">
        <v>2017</v>
      </c>
      <c r="CB259" s="218">
        <f t="shared" si="1873"/>
        <v>98.976777172516762</v>
      </c>
      <c r="CC259" s="218">
        <f t="shared" si="1874"/>
        <v>10.847871494852438</v>
      </c>
      <c r="CD259" s="73">
        <f t="shared" si="1875"/>
        <v>0</v>
      </c>
      <c r="CE259" s="73">
        <f t="shared" si="1876"/>
        <v>47.901574880172824</v>
      </c>
      <c r="CF259" s="73">
        <f t="shared" si="1877"/>
        <v>16.636267836566656</v>
      </c>
      <c r="CG259" s="73">
        <f t="shared" si="1878"/>
        <v>0</v>
      </c>
      <c r="CH259" s="73">
        <f t="shared" si="1879"/>
        <v>0</v>
      </c>
      <c r="CI259" s="73">
        <f t="shared" si="1880"/>
        <v>0</v>
      </c>
      <c r="CJ259" s="73">
        <f t="shared" si="1881"/>
        <v>0</v>
      </c>
      <c r="CK259" s="73">
        <f t="shared" si="1882"/>
        <v>0</v>
      </c>
      <c r="CL259" s="73">
        <f t="shared" si="1883"/>
        <v>0</v>
      </c>
      <c r="CM259" s="73">
        <f t="shared" si="1884"/>
        <v>0</v>
      </c>
      <c r="CN259" s="73">
        <f t="shared" si="1885"/>
        <v>0</v>
      </c>
      <c r="CO259" s="73">
        <f t="shared" si="1886"/>
        <v>0</v>
      </c>
      <c r="CP259" s="73">
        <f t="shared" si="1887"/>
        <v>0</v>
      </c>
      <c r="CQ259" s="73">
        <f t="shared" si="1888"/>
        <v>0</v>
      </c>
      <c r="CR259" s="73">
        <f t="shared" si="1889"/>
        <v>0</v>
      </c>
      <c r="CS259" s="73">
        <f t="shared" si="1890"/>
        <v>0</v>
      </c>
      <c r="CT259" s="73">
        <f t="shared" si="1891"/>
        <v>0</v>
      </c>
      <c r="CU259" s="73">
        <f t="shared" si="1892"/>
        <v>0</v>
      </c>
      <c r="CV259" s="73">
        <f t="shared" si="1893"/>
        <v>0</v>
      </c>
      <c r="CW259" s="73">
        <f t="shared" si="1894"/>
        <v>0</v>
      </c>
      <c r="CX259" s="73">
        <f t="shared" si="1895"/>
        <v>0</v>
      </c>
      <c r="CY259" s="73">
        <f t="shared" si="1896"/>
        <v>0</v>
      </c>
      <c r="CZ259" s="190"/>
      <c r="DA259" s="66">
        <v>2017</v>
      </c>
      <c r="DB259" s="218">
        <f t="shared" si="1819"/>
        <v>1915.4375158920609</v>
      </c>
      <c r="DC259" s="218">
        <f t="shared" si="1820"/>
        <v>8257.5036197948029</v>
      </c>
      <c r="DD259" s="73">
        <f t="shared" si="1821"/>
        <v>162.40655694503087</v>
      </c>
      <c r="DE259" s="73">
        <f t="shared" si="1822"/>
        <v>56.581800920465973</v>
      </c>
      <c r="DF259" s="73">
        <f t="shared" si="1823"/>
        <v>875.54105754603825</v>
      </c>
      <c r="DG259" s="73">
        <f t="shared" si="1824"/>
        <v>3769.187539147993</v>
      </c>
      <c r="DH259" s="72">
        <f t="shared" si="1851"/>
        <v>4.1308068171742478E-2</v>
      </c>
      <c r="DI259" s="72">
        <f t="shared" si="1852"/>
        <v>6.0702084930684311E-2</v>
      </c>
      <c r="DJ259" s="73">
        <f>SUM(AV246:AV259,BB246:BB259,BI246:BI259)</f>
        <v>330.53638020519838</v>
      </c>
      <c r="DK259" s="73">
        <f>SUM(AV252:AV259,BB252:BB259,BI252:BI259)</f>
        <v>330.53638020519838</v>
      </c>
      <c r="DL259" s="190"/>
    </row>
    <row r="260" spans="22:116" x14ac:dyDescent="0.25">
      <c r="V260" s="13"/>
      <c r="W260" s="66">
        <v>14</v>
      </c>
      <c r="X260" s="66">
        <v>2018</v>
      </c>
      <c r="Y260" s="70">
        <f t="shared" si="1897"/>
        <v>0.25455090855673068</v>
      </c>
      <c r="Z260" s="70">
        <f t="shared" si="1898"/>
        <v>6.4499850078608451E-2</v>
      </c>
      <c r="AA260" s="70">
        <f t="shared" si="1899"/>
        <v>3.9118268432763954E-2</v>
      </c>
      <c r="AB260" s="70">
        <f t="shared" si="1900"/>
        <v>9.0710208405925634E-3</v>
      </c>
      <c r="AC260" s="70">
        <f t="shared" si="1901"/>
        <v>0.18556914332068541</v>
      </c>
      <c r="AD260" s="70">
        <f t="shared" si="1902"/>
        <v>9.5348753537974687E-2</v>
      </c>
      <c r="AE260" s="70">
        <f t="shared" si="1903"/>
        <v>3.3225173226078444E-2</v>
      </c>
      <c r="AF260" s="70">
        <f t="shared" si="1904"/>
        <v>2.4263437499190883E-3</v>
      </c>
      <c r="AG260" s="70">
        <f t="shared" si="1905"/>
        <v>2.8668531751787067E-2</v>
      </c>
      <c r="AH260" s="70">
        <f t="shared" si="1906"/>
        <v>9.2840050097176517E-3</v>
      </c>
      <c r="AI260" s="70">
        <f t="shared" si="1907"/>
        <v>7.0651352353037836E-2</v>
      </c>
      <c r="AJ260" s="70">
        <f t="shared" si="1908"/>
        <v>8.569708969366624E-2</v>
      </c>
      <c r="AK260" s="70">
        <f t="shared" si="1909"/>
        <v>3.0309750692456512E-2</v>
      </c>
      <c r="AL260" s="70">
        <f t="shared" si="1910"/>
        <v>5.4057491247627015E-3</v>
      </c>
      <c r="AM260" s="70">
        <f t="shared" si="1911"/>
        <v>0</v>
      </c>
      <c r="AN260" s="70">
        <f t="shared" si="1912"/>
        <v>5.9232001121558263E-3</v>
      </c>
      <c r="AO260" s="70">
        <f t="shared" si="1913"/>
        <v>4.1762871549142107E-2</v>
      </c>
      <c r="AP260" s="190"/>
      <c r="AQ260" s="66">
        <v>14</v>
      </c>
      <c r="AR260" s="66">
        <v>2018</v>
      </c>
      <c r="AS260" s="215">
        <f t="shared" si="1802"/>
        <v>2186.0933847215456</v>
      </c>
      <c r="AT260" s="215">
        <f t="shared" si="1803"/>
        <v>553.92729246909255</v>
      </c>
      <c r="AU260" s="215">
        <f t="shared" si="1804"/>
        <v>335.94925403131418</v>
      </c>
      <c r="AV260" s="215">
        <f t="shared" si="1805"/>
        <v>77.902289819842565</v>
      </c>
      <c r="AW260" s="215">
        <f t="shared" si="1806"/>
        <v>1593.6752256037794</v>
      </c>
      <c r="AX260" s="215">
        <f t="shared" si="1807"/>
        <v>818.85890933426822</v>
      </c>
      <c r="AY260" s="215">
        <f t="shared" si="1808"/>
        <v>285.33911667249077</v>
      </c>
      <c r="AZ260" s="215">
        <f t="shared" si="1809"/>
        <v>20.837537178055129</v>
      </c>
      <c r="BA260" s="215">
        <f t="shared" si="1810"/>
        <v>246.20649742561744</v>
      </c>
      <c r="BB260" s="215">
        <f t="shared" si="1811"/>
        <v>79.731406383655596</v>
      </c>
      <c r="BC260" s="215">
        <f t="shared" si="1812"/>
        <v>606.75664006198315</v>
      </c>
      <c r="BD260" s="215">
        <f t="shared" si="1813"/>
        <v>735.97003417279348</v>
      </c>
      <c r="BE260" s="215">
        <f t="shared" si="1814"/>
        <v>260.30135133684428</v>
      </c>
      <c r="BF260" s="215">
        <f t="shared" si="1815"/>
        <v>46.424789713427074</v>
      </c>
      <c r="BG260" s="215">
        <f t="shared" si="1816"/>
        <v>0</v>
      </c>
      <c r="BH260" s="215">
        <f t="shared" si="1817"/>
        <v>50.868679491198726</v>
      </c>
      <c r="BI260" s="215">
        <f t="shared" si="1818"/>
        <v>358.66121137889439</v>
      </c>
      <c r="BJ260" s="195"/>
      <c r="BK260" s="66">
        <v>14</v>
      </c>
      <c r="BL260" s="66">
        <v>2018</v>
      </c>
      <c r="BM260" s="215">
        <f t="shared" si="1861"/>
        <v>205.67509470161843</v>
      </c>
      <c r="BN260" s="219">
        <f t="shared" si="1862"/>
        <v>39.009058032370994</v>
      </c>
      <c r="BO260" s="219">
        <f t="shared" si="1863"/>
        <v>1.5223446916279959</v>
      </c>
      <c r="BP260" s="219">
        <f t="shared" si="1864"/>
        <v>0</v>
      </c>
      <c r="BQ260" s="219">
        <f t="shared" si="1865"/>
        <v>21.185182166464188</v>
      </c>
      <c r="BR260" s="220">
        <f t="shared" si="1866"/>
        <v>0</v>
      </c>
      <c r="BS260" s="219">
        <f t="shared" si="1867"/>
        <v>27.889554306043259</v>
      </c>
      <c r="BT260" s="219">
        <f t="shared" si="1868"/>
        <v>1.7939430186912875</v>
      </c>
      <c r="BU260" s="219">
        <f t="shared" si="1869"/>
        <v>0</v>
      </c>
      <c r="BV260" s="219">
        <f t="shared" si="1870"/>
        <v>0</v>
      </c>
      <c r="BW260" s="219">
        <f t="shared" si="1871"/>
        <v>0</v>
      </c>
      <c r="BX260" s="220">
        <f t="shared" si="1872"/>
        <v>0</v>
      </c>
      <c r="BY260" s="195"/>
      <c r="BZ260" s="66">
        <v>14</v>
      </c>
      <c r="CA260" s="66">
        <v>2018</v>
      </c>
      <c r="CB260" s="218">
        <f t="shared" si="1873"/>
        <v>62.727530788969702</v>
      </c>
      <c r="CC260" s="218">
        <f t="shared" si="1874"/>
        <v>11.627851766722399</v>
      </c>
      <c r="CD260" s="73">
        <f t="shared" si="1875"/>
        <v>3.5469072641504593</v>
      </c>
      <c r="CE260" s="73">
        <f t="shared" si="1876"/>
        <v>53.097221848168303</v>
      </c>
      <c r="CF260" s="73">
        <f t="shared" si="1877"/>
        <v>22.863346809083612</v>
      </c>
      <c r="CG260" s="73">
        <f t="shared" si="1878"/>
        <v>0.53517370132995767</v>
      </c>
      <c r="CH260" s="73">
        <f t="shared" si="1879"/>
        <v>0</v>
      </c>
      <c r="CI260" s="73">
        <f t="shared" si="1880"/>
        <v>3.2356640250737172</v>
      </c>
      <c r="CJ260" s="73">
        <f t="shared" si="1881"/>
        <v>0</v>
      </c>
      <c r="CK260" s="73">
        <f t="shared" si="1882"/>
        <v>0</v>
      </c>
      <c r="CL260" s="73">
        <f t="shared" si="1883"/>
        <v>0</v>
      </c>
      <c r="CM260" s="73">
        <f t="shared" si="1884"/>
        <v>211.53101958806502</v>
      </c>
      <c r="CN260" s="73">
        <f t="shared" si="1885"/>
        <v>138.76712360248183</v>
      </c>
      <c r="CO260" s="73">
        <f t="shared" si="1886"/>
        <v>8.3630681883476132</v>
      </c>
      <c r="CP260" s="73">
        <f t="shared" si="1887"/>
        <v>0</v>
      </c>
      <c r="CQ260" s="73">
        <f t="shared" si="1888"/>
        <v>0</v>
      </c>
      <c r="CR260" s="73">
        <f t="shared" si="1889"/>
        <v>0</v>
      </c>
      <c r="CS260" s="73">
        <f t="shared" si="1890"/>
        <v>0</v>
      </c>
      <c r="CT260" s="73">
        <f t="shared" si="1891"/>
        <v>0</v>
      </c>
      <c r="CU260" s="73">
        <f t="shared" si="1892"/>
        <v>0</v>
      </c>
      <c r="CV260" s="73">
        <f t="shared" si="1893"/>
        <v>0</v>
      </c>
      <c r="CW260" s="73">
        <f t="shared" si="1894"/>
        <v>0</v>
      </c>
      <c r="CX260" s="73">
        <f t="shared" si="1895"/>
        <v>0</v>
      </c>
      <c r="CY260" s="73">
        <f t="shared" si="1896"/>
        <v>0</v>
      </c>
      <c r="CZ260" s="190"/>
      <c r="DA260" s="66">
        <v>2018</v>
      </c>
      <c r="DB260" s="218">
        <f t="shared" si="1819"/>
        <v>2108.7562359761541</v>
      </c>
      <c r="DC260" s="218">
        <f t="shared" si="1820"/>
        <v>7741.2087122124094</v>
      </c>
      <c r="DD260" s="73">
        <f t="shared" si="1821"/>
        <v>612.9027949008173</v>
      </c>
      <c r="DE260" s="73">
        <f t="shared" si="1822"/>
        <v>306.72614105027134</v>
      </c>
      <c r="DF260" s="73">
        <f t="shared" si="1823"/>
        <v>1393.5953537259752</v>
      </c>
      <c r="DG260" s="73">
        <f t="shared" si="1824"/>
        <v>4052.3359860896398</v>
      </c>
      <c r="DH260" s="72">
        <f t="shared" si="1851"/>
        <v>0.13137651118699961</v>
      </c>
      <c r="DI260" s="72">
        <f t="shared" si="1852"/>
        <v>0.18039302684380573</v>
      </c>
      <c r="DJ260" s="73">
        <f>SUM(AV246:AV260,BB246:BB260,BI246:BI260)</f>
        <v>846.83128778759101</v>
      </c>
      <c r="DK260" s="73">
        <f>SUM(AV252:AV260,BB252:BB260,BI252:BI260)</f>
        <v>846.83128778759101</v>
      </c>
      <c r="DL260" s="190"/>
    </row>
    <row r="261" spans="22:116" x14ac:dyDescent="0.25">
      <c r="V261" s="13"/>
      <c r="W261" s="66">
        <v>15</v>
      </c>
      <c r="X261" s="66">
        <v>2019</v>
      </c>
      <c r="Y261" s="70">
        <f t="shared" si="1897"/>
        <v>0.16132420563685768</v>
      </c>
      <c r="Z261" s="70">
        <f t="shared" si="1898"/>
        <v>4.71038184743756E-2</v>
      </c>
      <c r="AA261" s="70">
        <f t="shared" si="1899"/>
        <v>4.5235269776561449E-2</v>
      </c>
      <c r="AB261" s="70">
        <f t="shared" si="1900"/>
        <v>6.4409540029590553E-3</v>
      </c>
      <c r="AC261" s="70">
        <f t="shared" si="1901"/>
        <v>0.13900077623788976</v>
      </c>
      <c r="AD261" s="70">
        <f t="shared" si="1902"/>
        <v>7.6174180760404872E-2</v>
      </c>
      <c r="AE261" s="70">
        <f t="shared" si="1903"/>
        <v>5.6759597073604617E-2</v>
      </c>
      <c r="AF261" s="70">
        <f t="shared" si="1904"/>
        <v>7.5893612305730114E-3</v>
      </c>
      <c r="AG261" s="70">
        <f t="shared" si="1905"/>
        <v>3.7159545159019869E-2</v>
      </c>
      <c r="AH261" s="70">
        <f t="shared" si="1906"/>
        <v>8.6501493740506214E-3</v>
      </c>
      <c r="AI261" s="70">
        <f t="shared" si="1907"/>
        <v>6.0549747625561666E-2</v>
      </c>
      <c r="AJ261" s="70">
        <f t="shared" si="1908"/>
        <v>9.0594426191087832E-2</v>
      </c>
      <c r="AK261" s="70">
        <f t="shared" si="1909"/>
        <v>5.0485938529922988E-2</v>
      </c>
      <c r="AL261" s="70">
        <f t="shared" si="1910"/>
        <v>2.9911611370230826E-2</v>
      </c>
      <c r="AM261" s="70">
        <f t="shared" si="1911"/>
        <v>1.5413424508965083E-3</v>
      </c>
      <c r="AN261" s="70">
        <f t="shared" si="1912"/>
        <v>1.3809606340603651E-2</v>
      </c>
      <c r="AO261" s="70">
        <f t="shared" si="1913"/>
        <v>6.9063584396026889E-2</v>
      </c>
      <c r="AP261" s="190"/>
      <c r="AQ261" s="66">
        <v>15</v>
      </c>
      <c r="AR261" s="66">
        <v>2019</v>
      </c>
      <c r="AS261" s="215">
        <f t="shared" si="1802"/>
        <v>1385.4587309775593</v>
      </c>
      <c r="AT261" s="215">
        <f t="shared" si="1803"/>
        <v>404.52947721067665</v>
      </c>
      <c r="AU261" s="215">
        <f t="shared" si="1804"/>
        <v>388.48230625190081</v>
      </c>
      <c r="AV261" s="215">
        <f t="shared" si="1805"/>
        <v>55.315170615572491</v>
      </c>
      <c r="AW261" s="215">
        <f t="shared" si="1806"/>
        <v>1193.7442263620469</v>
      </c>
      <c r="AX261" s="215">
        <f t="shared" si="1807"/>
        <v>654.1869113375875</v>
      </c>
      <c r="AY261" s="215">
        <f t="shared" si="1808"/>
        <v>487.45369005199944</v>
      </c>
      <c r="AZ261" s="215">
        <f t="shared" si="1809"/>
        <v>65.177737822610254</v>
      </c>
      <c r="BA261" s="215">
        <f t="shared" si="1810"/>
        <v>319.12766020746903</v>
      </c>
      <c r="BB261" s="215">
        <f t="shared" si="1811"/>
        <v>74.2878288303217</v>
      </c>
      <c r="BC261" s="215">
        <f t="shared" si="1812"/>
        <v>520.00365459822865</v>
      </c>
      <c r="BD261" s="215">
        <f t="shared" si="1813"/>
        <v>778.02855590611</v>
      </c>
      <c r="BE261" s="215">
        <f t="shared" si="1814"/>
        <v>433.57525953251985</v>
      </c>
      <c r="BF261" s="215">
        <f t="shared" si="1815"/>
        <v>256.88211491199718</v>
      </c>
      <c r="BG261" s="215">
        <f t="shared" si="1816"/>
        <v>13.23711062199725</v>
      </c>
      <c r="BH261" s="215">
        <f t="shared" si="1817"/>
        <v>118.59745163735779</v>
      </c>
      <c r="BI261" s="215">
        <f t="shared" si="1818"/>
        <v>593.1208253364548</v>
      </c>
      <c r="BJ261" s="195"/>
      <c r="BK261" s="66">
        <v>15</v>
      </c>
      <c r="BL261" s="66">
        <v>2019</v>
      </c>
      <c r="BM261" s="215">
        <f t="shared" si="1861"/>
        <v>231.38443611982507</v>
      </c>
      <c r="BN261" s="219">
        <f t="shared" si="1862"/>
        <v>82.732166789984859</v>
      </c>
      <c r="BO261" s="219">
        <f t="shared" si="1863"/>
        <v>4.711298382058585</v>
      </c>
      <c r="BP261" s="219">
        <f t="shared" si="1864"/>
        <v>0.29975891560052059</v>
      </c>
      <c r="BQ261" s="219">
        <f t="shared" si="1865"/>
        <v>46.352726546685659</v>
      </c>
      <c r="BR261" s="220">
        <f t="shared" si="1866"/>
        <v>9.3771174340924315</v>
      </c>
      <c r="BS261" s="219">
        <f t="shared" si="1867"/>
        <v>53.487175587849435</v>
      </c>
      <c r="BT261" s="219">
        <f t="shared" si="1868"/>
        <v>8.5132073383481472</v>
      </c>
      <c r="BU261" s="219">
        <f t="shared" si="1869"/>
        <v>0.50127882785052602</v>
      </c>
      <c r="BV261" s="219">
        <f t="shared" si="1870"/>
        <v>0.36594590253158416</v>
      </c>
      <c r="BW261" s="219">
        <f t="shared" si="1871"/>
        <v>0</v>
      </c>
      <c r="BX261" s="220">
        <f t="shared" si="1872"/>
        <v>0</v>
      </c>
      <c r="BY261" s="195"/>
      <c r="BZ261" s="66">
        <v>15</v>
      </c>
      <c r="CA261" s="66">
        <v>2019</v>
      </c>
      <c r="CB261" s="218">
        <f t="shared" si="1873"/>
        <v>39.754205292246226</v>
      </c>
      <c r="CC261" s="218">
        <f t="shared" si="1874"/>
        <v>9.4517132182342465</v>
      </c>
      <c r="CD261" s="73">
        <f t="shared" si="1875"/>
        <v>6.1092521050920201</v>
      </c>
      <c r="CE261" s="73">
        <f t="shared" si="1876"/>
        <v>44.445271071126676</v>
      </c>
      <c r="CF261" s="73">
        <f t="shared" si="1877"/>
        <v>21.427831500311104</v>
      </c>
      <c r="CG261" s="73">
        <f t="shared" si="1878"/>
        <v>1.443008204700138</v>
      </c>
      <c r="CH261" s="73">
        <f t="shared" si="1879"/>
        <v>0.10537895211959421</v>
      </c>
      <c r="CI261" s="73">
        <f t="shared" si="1880"/>
        <v>5.7359775628875811</v>
      </c>
      <c r="CJ261" s="73">
        <f t="shared" si="1881"/>
        <v>1.0879055723672841</v>
      </c>
      <c r="CK261" s="73">
        <f t="shared" si="1882"/>
        <v>4.2455966809337199E-2</v>
      </c>
      <c r="CL261" s="73">
        <f t="shared" si="1883"/>
        <v>0</v>
      </c>
      <c r="CM261" s="73">
        <f t="shared" si="1884"/>
        <v>249.08254330856218</v>
      </c>
      <c r="CN261" s="73">
        <f t="shared" si="1885"/>
        <v>283.48644109053123</v>
      </c>
      <c r="CO261" s="73">
        <f t="shared" si="1886"/>
        <v>38.473818707344357</v>
      </c>
      <c r="CP261" s="73">
        <f t="shared" si="1887"/>
        <v>1.1956795808759493</v>
      </c>
      <c r="CQ261" s="73">
        <f t="shared" si="1888"/>
        <v>0</v>
      </c>
      <c r="CR261" s="73">
        <f t="shared" si="1889"/>
        <v>8.696829512964273</v>
      </c>
      <c r="CS261" s="73">
        <f t="shared" si="1890"/>
        <v>0</v>
      </c>
      <c r="CT261" s="73">
        <f t="shared" si="1891"/>
        <v>11.4490730873285</v>
      </c>
      <c r="CU261" s="73">
        <f t="shared" si="1892"/>
        <v>0.7364400488482804</v>
      </c>
      <c r="CV261" s="73">
        <f t="shared" si="1893"/>
        <v>0</v>
      </c>
      <c r="CW261" s="73">
        <f t="shared" si="1894"/>
        <v>0</v>
      </c>
      <c r="CX261" s="73">
        <f t="shared" si="1895"/>
        <v>0</v>
      </c>
      <c r="CY261" s="73">
        <f t="shared" si="1896"/>
        <v>0</v>
      </c>
      <c r="CZ261" s="190"/>
      <c r="DA261" s="66">
        <v>2019</v>
      </c>
      <c r="DB261" s="218">
        <f t="shared" si="1819"/>
        <v>1836.744944454374</v>
      </c>
      <c r="DC261" s="218">
        <f t="shared" si="1820"/>
        <v>7018.4848874300624</v>
      </c>
      <c r="DD261" s="73">
        <f t="shared" si="1821"/>
        <v>1256.325912941124</v>
      </c>
      <c r="DE261" s="73">
        <f t="shared" si="1822"/>
        <v>703.69448506651418</v>
      </c>
      <c r="DF261" s="73">
        <f t="shared" si="1823"/>
        <v>1416.6296621416966</v>
      </c>
      <c r="DG261" s="73">
        <f t="shared" si="1824"/>
        <v>3583.6884600488002</v>
      </c>
      <c r="DH261" s="72">
        <f t="shared" si="1851"/>
        <v>0.25957069878803424</v>
      </c>
      <c r="DI261" s="72">
        <f t="shared" si="1852"/>
        <v>0.33188061645812733</v>
      </c>
      <c r="DJ261" s="73">
        <f>SUM(AV246:AV261,BB246:BB261,BI246:BI261)</f>
        <v>1569.5551125699399</v>
      </c>
      <c r="DK261" s="73">
        <f>SUM(AV252:AV261,BB252:BB261,BI252:BI261)</f>
        <v>1569.5551125699399</v>
      </c>
      <c r="DL261" s="190"/>
    </row>
    <row r="262" spans="22:116" x14ac:dyDescent="0.25">
      <c r="V262" s="13"/>
      <c r="W262" s="66">
        <v>16</v>
      </c>
      <c r="X262" s="66">
        <v>2020</v>
      </c>
      <c r="Y262" s="70">
        <f t="shared" si="1897"/>
        <v>0.10224084239936213</v>
      </c>
      <c r="Z262" s="70">
        <f t="shared" si="1898"/>
        <v>3.2580559631701374E-2</v>
      </c>
      <c r="AA262" s="70">
        <f t="shared" si="1899"/>
        <v>4.3877449826514398E-2</v>
      </c>
      <c r="AB262" s="70">
        <f t="shared" si="1900"/>
        <v>4.5600300961105844E-3</v>
      </c>
      <c r="AC262" s="70">
        <f t="shared" si="1901"/>
        <v>9.8249200376616691E-2</v>
      </c>
      <c r="AD262" s="70">
        <f t="shared" si="1902"/>
        <v>5.594564639296358E-2</v>
      </c>
      <c r="AE262" s="70">
        <f t="shared" si="1903"/>
        <v>7.8683751021691631E-2</v>
      </c>
      <c r="AF262" s="70">
        <f t="shared" si="1904"/>
        <v>1.431376414662134E-2</v>
      </c>
      <c r="AG262" s="70">
        <f t="shared" si="1905"/>
        <v>3.8679570672292926E-2</v>
      </c>
      <c r="AH262" s="70">
        <f t="shared" si="1906"/>
        <v>7.2315968732316049E-3</v>
      </c>
      <c r="AI262" s="70">
        <f t="shared" si="1907"/>
        <v>4.588164609464479E-2</v>
      </c>
      <c r="AJ262" s="70">
        <f t="shared" si="1908"/>
        <v>7.6112426945225728E-2</v>
      </c>
      <c r="AK262" s="70">
        <f t="shared" si="1909"/>
        <v>5.2051084604865697E-2</v>
      </c>
      <c r="AL262" s="70">
        <f t="shared" si="1910"/>
        <v>6.9326340098585723E-2</v>
      </c>
      <c r="AM262" s="70">
        <f t="shared" si="1911"/>
        <v>5.4769104364028025E-3</v>
      </c>
      <c r="AN262" s="70">
        <f t="shared" si="1912"/>
        <v>1.8229495521526532E-2</v>
      </c>
      <c r="AO262" s="70">
        <f t="shared" si="1913"/>
        <v>7.3799111719232813E-2</v>
      </c>
      <c r="AP262" s="190"/>
      <c r="AQ262" s="66">
        <v>16</v>
      </c>
      <c r="AR262" s="66">
        <v>2020</v>
      </c>
      <c r="AS262" s="215">
        <f t="shared" si="1802"/>
        <v>878.04844415941795</v>
      </c>
      <c r="AT262" s="215">
        <f t="shared" si="1803"/>
        <v>279.80314933943669</v>
      </c>
      <c r="AU262" s="215">
        <f t="shared" si="1804"/>
        <v>376.82129420809872</v>
      </c>
      <c r="AV262" s="215">
        <f t="shared" si="1805"/>
        <v>39.161720866601549</v>
      </c>
      <c r="AW262" s="215">
        <f t="shared" si="1806"/>
        <v>843.7680628023993</v>
      </c>
      <c r="AX262" s="215">
        <f t="shared" si="1807"/>
        <v>480.46344904862701</v>
      </c>
      <c r="AY262" s="215">
        <f t="shared" si="1808"/>
        <v>675.7392011243287</v>
      </c>
      <c r="AZ262" s="215">
        <f t="shared" si="1809"/>
        <v>122.92717904174994</v>
      </c>
      <c r="BA262" s="215">
        <f t="shared" si="1810"/>
        <v>332.18170011647857</v>
      </c>
      <c r="BB262" s="215">
        <f t="shared" si="1811"/>
        <v>62.105243211187961</v>
      </c>
      <c r="BC262" s="215">
        <f t="shared" si="1812"/>
        <v>394.03341192665329</v>
      </c>
      <c r="BD262" s="215">
        <f t="shared" si="1813"/>
        <v>653.65656710267638</v>
      </c>
      <c r="BE262" s="215">
        <f t="shared" si="1814"/>
        <v>447.01679662997083</v>
      </c>
      <c r="BF262" s="215">
        <f t="shared" si="1815"/>
        <v>595.37738182025817</v>
      </c>
      <c r="BG262" s="215">
        <f t="shared" si="1816"/>
        <v>47.035925904244728</v>
      </c>
      <c r="BH262" s="215">
        <f t="shared" si="1817"/>
        <v>156.55563671869072</v>
      </c>
      <c r="BI262" s="215">
        <f t="shared" si="1818"/>
        <v>633.7897234092402</v>
      </c>
      <c r="BJ262" s="195"/>
      <c r="BK262" s="66">
        <v>16</v>
      </c>
      <c r="BL262" s="66">
        <v>2020</v>
      </c>
      <c r="BM262" s="215">
        <f t="shared" si="1861"/>
        <v>211.57595450064349</v>
      </c>
      <c r="BN262" s="219">
        <f t="shared" si="1862"/>
        <v>110.65930483406522</v>
      </c>
      <c r="BO262" s="219">
        <f t="shared" si="1863"/>
        <v>8.889392333092097</v>
      </c>
      <c r="BP262" s="219">
        <f t="shared" si="1864"/>
        <v>1.0570484486777949</v>
      </c>
      <c r="BQ262" s="219">
        <f t="shared" si="1865"/>
        <v>52.477437737848376</v>
      </c>
      <c r="BR262" s="220">
        <f t="shared" si="1866"/>
        <v>21.24789442757919</v>
      </c>
      <c r="BS262" s="219">
        <f t="shared" si="1867"/>
        <v>63.381103790109165</v>
      </c>
      <c r="BT262" s="219">
        <f t="shared" si="1868"/>
        <v>14.981774942863737</v>
      </c>
      <c r="BU262" s="219">
        <f t="shared" si="1869"/>
        <v>2.8464524291748958</v>
      </c>
      <c r="BV262" s="219">
        <f t="shared" si="1870"/>
        <v>1.1856097628139688</v>
      </c>
      <c r="BW262" s="219">
        <f t="shared" si="1871"/>
        <v>0.36330665755449837</v>
      </c>
      <c r="BX262" s="220">
        <f t="shared" si="1872"/>
        <v>7.2056970746889798E-2</v>
      </c>
      <c r="BY262" s="195"/>
      <c r="BZ262" s="66">
        <v>16</v>
      </c>
      <c r="CA262" s="66">
        <v>2020</v>
      </c>
      <c r="CB262" s="218">
        <f t="shared" si="1873"/>
        <v>25.194628555281223</v>
      </c>
      <c r="CC262" s="218">
        <f t="shared" si="1874"/>
        <v>6.9025243184436187</v>
      </c>
      <c r="CD262" s="73">
        <f t="shared" si="1875"/>
        <v>7.0645679928767064</v>
      </c>
      <c r="CE262" s="73">
        <f t="shared" si="1876"/>
        <v>33.291780456807118</v>
      </c>
      <c r="CF262" s="73">
        <f t="shared" si="1877"/>
        <v>17.118708419802445</v>
      </c>
      <c r="CG262" s="73">
        <f t="shared" si="1878"/>
        <v>2.4651358087848432</v>
      </c>
      <c r="CH262" s="73">
        <f t="shared" si="1879"/>
        <v>0.32961485105378319</v>
      </c>
      <c r="CI262" s="73">
        <f t="shared" si="1880"/>
        <v>6.4529734915652259</v>
      </c>
      <c r="CJ262" s="73">
        <f t="shared" si="1881"/>
        <v>2.307279124508856</v>
      </c>
      <c r="CK262" s="73">
        <f t="shared" si="1882"/>
        <v>0.13139122094856123</v>
      </c>
      <c r="CL262" s="73">
        <f t="shared" si="1883"/>
        <v>8.3598377171262249E-3</v>
      </c>
      <c r="CM262" s="73">
        <f t="shared" si="1884"/>
        <v>213.46916418391797</v>
      </c>
      <c r="CN262" s="73">
        <f t="shared" si="1885"/>
        <v>299.68685699076246</v>
      </c>
      <c r="CO262" s="73">
        <f t="shared" si="1886"/>
        <v>64.084553712736707</v>
      </c>
      <c r="CP262" s="73">
        <f t="shared" si="1887"/>
        <v>6.6160493432169503</v>
      </c>
      <c r="CQ262" s="73">
        <f t="shared" si="1888"/>
        <v>1.2470973563110965</v>
      </c>
      <c r="CR262" s="73">
        <f t="shared" si="1889"/>
        <v>19.028477407936279</v>
      </c>
      <c r="CS262" s="73">
        <f t="shared" si="1890"/>
        <v>3.8494449094915564</v>
      </c>
      <c r="CT262" s="73">
        <f t="shared" si="1891"/>
        <v>21.957273889004654</v>
      </c>
      <c r="CU262" s="73">
        <f t="shared" si="1892"/>
        <v>3.4947970826199004</v>
      </c>
      <c r="CV262" s="73">
        <f t="shared" si="1893"/>
        <v>0.20578234683181859</v>
      </c>
      <c r="CW262" s="73">
        <f t="shared" si="1894"/>
        <v>0.15022618641075389</v>
      </c>
      <c r="CX262" s="73">
        <f t="shared" si="1895"/>
        <v>0</v>
      </c>
      <c r="CY262" s="73">
        <f t="shared" si="1896"/>
        <v>0</v>
      </c>
      <c r="CZ262" s="190"/>
      <c r="DA262" s="66">
        <v>2020</v>
      </c>
      <c r="DB262" s="218">
        <f t="shared" si="1819"/>
        <v>1413.9231654907401</v>
      </c>
      <c r="DC262" s="218">
        <f t="shared" si="1820"/>
        <v>6283.4281999430304</v>
      </c>
      <c r="DD262" s="73">
        <f t="shared" si="1821"/>
        <v>1888.0964845205522</v>
      </c>
      <c r="DE262" s="73">
        <f t="shared" si="1822"/>
        <v>1089.4301043544738</v>
      </c>
      <c r="DF262" s="73">
        <f t="shared" si="1823"/>
        <v>1204.2456157480203</v>
      </c>
      <c r="DG262" s="73">
        <f t="shared" si="1824"/>
        <v>2860.6588277155251</v>
      </c>
      <c r="DH262" s="72">
        <f t="shared" si="1851"/>
        <v>0.39759818318191931</v>
      </c>
      <c r="DI262" s="72">
        <f t="shared" si="1852"/>
        <v>0.47497128508898029</v>
      </c>
      <c r="DJ262" s="73">
        <f>SUM(AV246:AV262,BB246:BB262,BI246:BI262)</f>
        <v>2304.6118000569695</v>
      </c>
      <c r="DK262" s="73">
        <f>SUM(AV252:AV262,BB252:BB262,BI252:BI262)</f>
        <v>2304.6118000569695</v>
      </c>
      <c r="DL262" s="190"/>
    </row>
    <row r="263" spans="22:116" x14ac:dyDescent="0.25">
      <c r="V263" s="63"/>
      <c r="W263" s="66">
        <v>17</v>
      </c>
      <c r="X263" s="66">
        <v>2021</v>
      </c>
      <c r="Y263" s="70">
        <f t="shared" si="1897"/>
        <v>6.4796165047057069E-2</v>
      </c>
      <c r="Z263" s="70">
        <f t="shared" si="1898"/>
        <v>2.1843525905788905E-2</v>
      </c>
      <c r="AA263" s="70">
        <f t="shared" si="1899"/>
        <v>3.8538500027702011E-2</v>
      </c>
      <c r="AB263" s="70">
        <f t="shared" si="1900"/>
        <v>3.2130927710022853E-3</v>
      </c>
      <c r="AC263" s="70">
        <f t="shared" si="1901"/>
        <v>6.708755215141908E-2</v>
      </c>
      <c r="AD263" s="70">
        <f t="shared" si="1902"/>
        <v>3.9104686877750108E-2</v>
      </c>
      <c r="AE263" s="70">
        <f t="shared" si="1903"/>
        <v>9.6908713206105154E-2</v>
      </c>
      <c r="AF263" s="70">
        <f t="shared" si="1904"/>
        <v>2.1358327752981344E-2</v>
      </c>
      <c r="AG263" s="70">
        <f t="shared" si="1905"/>
        <v>3.573414655183127E-2</v>
      </c>
      <c r="AH263" s="70">
        <f t="shared" si="1906"/>
        <v>5.7530283195878947E-3</v>
      </c>
      <c r="AI263" s="70">
        <f t="shared" si="1907"/>
        <v>3.2643231150590313E-2</v>
      </c>
      <c r="AJ263" s="70">
        <f t="shared" si="1908"/>
        <v>5.7361820503332731E-2</v>
      </c>
      <c r="AK263" s="70">
        <f t="shared" si="1909"/>
        <v>4.4162155736806041E-2</v>
      </c>
      <c r="AL263" s="70">
        <f t="shared" si="1910"/>
        <v>0.10737868337860562</v>
      </c>
      <c r="AM263" s="70">
        <f t="shared" si="1911"/>
        <v>1.1166275395504594E-2</v>
      </c>
      <c r="AN263" s="70">
        <f t="shared" si="1912"/>
        <v>1.8967749751596541E-2</v>
      </c>
      <c r="AO263" s="70">
        <f t="shared" si="1913"/>
        <v>6.5631033641354378E-2</v>
      </c>
      <c r="AP263" s="190"/>
      <c r="AQ263" s="66">
        <v>17</v>
      </c>
      <c r="AR263" s="66">
        <v>2021</v>
      </c>
      <c r="AS263" s="215">
        <f t="shared" si="1802"/>
        <v>556.4720572707281</v>
      </c>
      <c r="AT263" s="215">
        <f t="shared" si="1803"/>
        <v>187.59307421995138</v>
      </c>
      <c r="AU263" s="215">
        <f t="shared" si="1804"/>
        <v>330.97017977790603</v>
      </c>
      <c r="AV263" s="215">
        <f t="shared" si="1805"/>
        <v>27.594169241078468</v>
      </c>
      <c r="AW263" s="215">
        <f t="shared" si="1806"/>
        <v>576.15058137847313</v>
      </c>
      <c r="AX263" s="215">
        <f t="shared" si="1807"/>
        <v>335.83261509359306</v>
      </c>
      <c r="AY263" s="215">
        <f t="shared" si="1808"/>
        <v>832.25590536255936</v>
      </c>
      <c r="AZ263" s="215">
        <f t="shared" si="1809"/>
        <v>183.4261730757139</v>
      </c>
      <c r="BA263" s="215">
        <f t="shared" si="1810"/>
        <v>306.88627995298907</v>
      </c>
      <c r="BB263" s="215">
        <f t="shared" si="1811"/>
        <v>49.407237329753627</v>
      </c>
      <c r="BC263" s="215">
        <f t="shared" si="1812"/>
        <v>280.34137485051565</v>
      </c>
      <c r="BD263" s="215">
        <f t="shared" si="1813"/>
        <v>492.62560895544169</v>
      </c>
      <c r="BE263" s="215">
        <f t="shared" si="1814"/>
        <v>379.26635995391979</v>
      </c>
      <c r="BF263" s="215">
        <f t="shared" si="1815"/>
        <v>922.1724280028003</v>
      </c>
      <c r="BG263" s="215">
        <f t="shared" si="1816"/>
        <v>95.896419747609286</v>
      </c>
      <c r="BH263" s="215">
        <f t="shared" si="1817"/>
        <v>162.89579357670118</v>
      </c>
      <c r="BI263" s="215">
        <f t="shared" si="1818"/>
        <v>563.64194215329712</v>
      </c>
      <c r="BJ263" s="195"/>
      <c r="BK263" s="66">
        <v>17</v>
      </c>
      <c r="BL263" s="66">
        <v>2021</v>
      </c>
      <c r="BM263" s="215">
        <f t="shared" si="1861"/>
        <v>171.98003337414139</v>
      </c>
      <c r="BN263" s="219">
        <f t="shared" si="1862"/>
        <v>119.45406692780395</v>
      </c>
      <c r="BO263" s="219">
        <f t="shared" si="1863"/>
        <v>13.262649516553754</v>
      </c>
      <c r="BP263" s="219">
        <f t="shared" si="1864"/>
        <v>2.1895301344899436</v>
      </c>
      <c r="BQ263" s="219">
        <f t="shared" si="1865"/>
        <v>46.05228894851993</v>
      </c>
      <c r="BR263" s="220">
        <f t="shared" si="1866"/>
        <v>29.683380612978709</v>
      </c>
      <c r="BS263" s="219">
        <f t="shared" si="1867"/>
        <v>60.054943173270004</v>
      </c>
      <c r="BT263" s="219">
        <f t="shared" si="1868"/>
        <v>16.346436743626438</v>
      </c>
      <c r="BU263" s="219">
        <f t="shared" si="1869"/>
        <v>6.8416574114267474</v>
      </c>
      <c r="BV263" s="219">
        <f t="shared" si="1870"/>
        <v>2.3088739920085377</v>
      </c>
      <c r="BW263" s="219">
        <f t="shared" si="1871"/>
        <v>1.3436617308766126</v>
      </c>
      <c r="BX263" s="220">
        <f t="shared" si="1872"/>
        <v>0.2645509639942053</v>
      </c>
      <c r="BY263" s="195"/>
      <c r="BZ263" s="66">
        <v>17</v>
      </c>
      <c r="CA263" s="66">
        <v>2021</v>
      </c>
      <c r="CB263" s="218">
        <f t="shared" si="1873"/>
        <v>15.967349953852533</v>
      </c>
      <c r="CC263" s="218">
        <f t="shared" si="1874"/>
        <v>4.7743073162669383</v>
      </c>
      <c r="CD263" s="73">
        <f t="shared" si="1875"/>
        <v>6.8525119709590001</v>
      </c>
      <c r="CE263" s="73">
        <f t="shared" si="1876"/>
        <v>23.531457143788042</v>
      </c>
      <c r="CF263" s="73">
        <f t="shared" si="1877"/>
        <v>12.572727378202861</v>
      </c>
      <c r="CG263" s="73">
        <f t="shared" si="1878"/>
        <v>3.4173275043082487</v>
      </c>
      <c r="CH263" s="73">
        <f t="shared" si="1879"/>
        <v>0.6216635489955924</v>
      </c>
      <c r="CI263" s="73">
        <f t="shared" si="1880"/>
        <v>5.900543911856845</v>
      </c>
      <c r="CJ263" s="73">
        <f t="shared" si="1881"/>
        <v>3.0861261572470817</v>
      </c>
      <c r="CK263" s="73">
        <f t="shared" si="1882"/>
        <v>0.24791215020123641</v>
      </c>
      <c r="CL263" s="73">
        <f t="shared" si="1883"/>
        <v>2.9479535153719538E-2</v>
      </c>
      <c r="CM263" s="73">
        <f t="shared" si="1884"/>
        <v>161.75652297964956</v>
      </c>
      <c r="CN263" s="73">
        <f t="shared" si="1885"/>
        <v>251.78032433299552</v>
      </c>
      <c r="CO263" s="73">
        <f t="shared" si="1886"/>
        <v>66.071278940168028</v>
      </c>
      <c r="CP263" s="73">
        <f t="shared" si="1887"/>
        <v>15.334061451913797</v>
      </c>
      <c r="CQ263" s="73">
        <f t="shared" si="1888"/>
        <v>4.4313582111605632</v>
      </c>
      <c r="CR263" s="73">
        <f t="shared" si="1889"/>
        <v>21.542761619756984</v>
      </c>
      <c r="CS263" s="73">
        <f t="shared" si="1890"/>
        <v>8.7225738204242784</v>
      </c>
      <c r="CT263" s="73">
        <f t="shared" si="1891"/>
        <v>26.018877235742501</v>
      </c>
      <c r="CU263" s="73">
        <f t="shared" si="1892"/>
        <v>6.1502394199819177</v>
      </c>
      <c r="CV263" s="73">
        <f t="shared" si="1893"/>
        <v>1.168510674054247</v>
      </c>
      <c r="CW263" s="73">
        <f t="shared" si="1894"/>
        <v>0.48671028151088164</v>
      </c>
      <c r="CX263" s="73">
        <f t="shared" si="1895"/>
        <v>0.14914273744966841</v>
      </c>
      <c r="CY263" s="73">
        <f t="shared" si="1896"/>
        <v>2.9580448489055656E-2</v>
      </c>
      <c r="CZ263" s="190"/>
      <c r="DA263" s="66">
        <v>2021</v>
      </c>
      <c r="DB263" s="218">
        <f t="shared" si="1819"/>
        <v>1016.0512982689861</v>
      </c>
      <c r="DC263" s="218">
        <f t="shared" si="1820"/>
        <v>5642.7848512189021</v>
      </c>
      <c r="DD263" s="73">
        <f t="shared" si="1821"/>
        <v>2413.0172861426026</v>
      </c>
      <c r="DE263" s="73">
        <f t="shared" si="1822"/>
        <v>1397.3352077043294</v>
      </c>
      <c r="DF263" s="73">
        <f t="shared" si="1823"/>
        <v>935.86277738265858</v>
      </c>
      <c r="DG263" s="73">
        <f t="shared" si="1824"/>
        <v>2154.7322538077142</v>
      </c>
      <c r="DH263" s="72">
        <f t="shared" si="1851"/>
        <v>0.52827267892819907</v>
      </c>
      <c r="DI263" s="72">
        <f t="shared" si="1852"/>
        <v>0.5988926857624699</v>
      </c>
      <c r="DJ263" s="73">
        <f>SUM(AV246:AV263,BB246:BB263,BI246:BI263)</f>
        <v>2945.2551487810988</v>
      </c>
      <c r="DK263" s="73">
        <f>SUM(AV252:AV263,BB252:BB263,BI252:BI263)</f>
        <v>2945.2551487810988</v>
      </c>
      <c r="DL263" s="190"/>
    </row>
    <row r="264" spans="22:116" x14ac:dyDescent="0.25">
      <c r="V264" s="63"/>
      <c r="W264" s="66">
        <v>18</v>
      </c>
      <c r="X264" s="66">
        <v>2022</v>
      </c>
      <c r="Y264" s="70">
        <f t="shared" si="1897"/>
        <v>4.1065223117054975E-2</v>
      </c>
      <c r="Z264" s="70">
        <f t="shared" si="1898"/>
        <v>1.4367251330038267E-2</v>
      </c>
      <c r="AA264" s="70">
        <f t="shared" si="1899"/>
        <v>3.1771361808522275E-2</v>
      </c>
      <c r="AB264" s="70">
        <f t="shared" si="1900"/>
        <v>2.2518636000584537E-3</v>
      </c>
      <c r="AC264" s="70">
        <f t="shared" si="1901"/>
        <v>4.4806027409578501E-2</v>
      </c>
      <c r="AD264" s="70">
        <f t="shared" si="1902"/>
        <v>2.6497177148528745E-2</v>
      </c>
      <c r="AE264" s="70">
        <f t="shared" si="1903"/>
        <v>0.11087314249807359</v>
      </c>
      <c r="AF264" s="70">
        <f t="shared" si="1904"/>
        <v>2.7918066183536934E-2</v>
      </c>
      <c r="AG264" s="70">
        <f t="shared" si="1905"/>
        <v>3.0782940845336247E-2</v>
      </c>
      <c r="AH264" s="70">
        <f t="shared" si="1906"/>
        <v>4.4889314057581838E-3</v>
      </c>
      <c r="AI264" s="70">
        <f t="shared" si="1907"/>
        <v>2.2380525055847634E-2</v>
      </c>
      <c r="AJ264" s="70">
        <f t="shared" si="1908"/>
        <v>4.0718872740305043E-2</v>
      </c>
      <c r="AK264" s="70">
        <f t="shared" si="1909"/>
        <v>3.4019689964297564E-2</v>
      </c>
      <c r="AL264" s="70">
        <f t="shared" si="1910"/>
        <v>0.1364031490715473</v>
      </c>
      <c r="AM264" s="70">
        <f t="shared" si="1911"/>
        <v>1.7499148905059603E-2</v>
      </c>
      <c r="AN264" s="70">
        <f t="shared" si="1912"/>
        <v>1.7581096979051532E-2</v>
      </c>
      <c r="AO264" s="70">
        <f t="shared" si="1913"/>
        <v>5.3627065374475952E-2</v>
      </c>
      <c r="AP264" s="190"/>
      <c r="AQ264" s="66">
        <v>18</v>
      </c>
      <c r="AR264" s="66">
        <v>2022</v>
      </c>
      <c r="AS264" s="215">
        <f t="shared" si="1802"/>
        <v>352.66977873819286</v>
      </c>
      <c r="AT264" s="215">
        <f t="shared" si="1803"/>
        <v>123.38652911242185</v>
      </c>
      <c r="AU264" s="215">
        <f t="shared" si="1804"/>
        <v>272.85372606606165</v>
      </c>
      <c r="AV264" s="215">
        <f t="shared" si="1805"/>
        <v>19.339094671846006</v>
      </c>
      <c r="AW264" s="215">
        <f t="shared" si="1806"/>
        <v>384.79595563455661</v>
      </c>
      <c r="AX264" s="215">
        <f t="shared" si="1807"/>
        <v>227.55881723865082</v>
      </c>
      <c r="AY264" s="215">
        <f t="shared" si="1808"/>
        <v>952.18298269915601</v>
      </c>
      <c r="AZ264" s="215">
        <f t="shared" si="1809"/>
        <v>239.76146910686256</v>
      </c>
      <c r="BA264" s="215">
        <f t="shared" si="1810"/>
        <v>264.36512729738155</v>
      </c>
      <c r="BB264" s="215">
        <f t="shared" si="1811"/>
        <v>38.551122469907519</v>
      </c>
      <c r="BC264" s="215">
        <f t="shared" si="1812"/>
        <v>192.20484440062174</v>
      </c>
      <c r="BD264" s="215">
        <f t="shared" si="1813"/>
        <v>349.69530784864935</v>
      </c>
      <c r="BE264" s="215">
        <f t="shared" si="1814"/>
        <v>292.16245820098607</v>
      </c>
      <c r="BF264" s="215">
        <f t="shared" si="1815"/>
        <v>1171.4357003524112</v>
      </c>
      <c r="BG264" s="215">
        <f t="shared" si="1816"/>
        <v>150.28339076260809</v>
      </c>
      <c r="BH264" s="215">
        <f t="shared" si="1817"/>
        <v>150.98716409997374</v>
      </c>
      <c r="BI264" s="215">
        <f t="shared" si="1818"/>
        <v>460.5513825186145</v>
      </c>
      <c r="BJ264" s="195"/>
      <c r="BK264" s="66">
        <v>18</v>
      </c>
      <c r="BL264" s="66">
        <v>2022</v>
      </c>
      <c r="BM264" s="215">
        <f t="shared" si="1861"/>
        <v>129.80949331405327</v>
      </c>
      <c r="BN264" s="219">
        <f t="shared" si="1862"/>
        <v>113.78792689731958</v>
      </c>
      <c r="BO264" s="219">
        <f t="shared" si="1863"/>
        <v>17.256654301079585</v>
      </c>
      <c r="BP264" s="219">
        <f t="shared" si="1864"/>
        <v>3.5110527849291051</v>
      </c>
      <c r="BQ264" s="219">
        <f t="shared" si="1865"/>
        <v>35.650592264519354</v>
      </c>
      <c r="BR264" s="220">
        <f t="shared" si="1866"/>
        <v>33.021357314836031</v>
      </c>
      <c r="BS264" s="219">
        <f t="shared" si="1867"/>
        <v>50.054176898789258</v>
      </c>
      <c r="BT264" s="219">
        <f t="shared" si="1868"/>
        <v>14.396381083131843</v>
      </c>
      <c r="BU264" s="219">
        <f t="shared" si="1869"/>
        <v>10.949922690370189</v>
      </c>
      <c r="BV264" s="219">
        <f t="shared" si="1870"/>
        <v>3.5231000986735244</v>
      </c>
      <c r="BW264" s="219">
        <f t="shared" si="1871"/>
        <v>2.826925311022594</v>
      </c>
      <c r="BX264" s="220">
        <f t="shared" si="1872"/>
        <v>0.56470843863092279</v>
      </c>
      <c r="BY264" s="195"/>
      <c r="BZ264" s="66">
        <v>18</v>
      </c>
      <c r="CA264" s="66">
        <v>2022</v>
      </c>
      <c r="CB264" s="218">
        <f t="shared" si="1873"/>
        <v>10.11946907609207</v>
      </c>
      <c r="CC264" s="218">
        <f t="shared" si="1874"/>
        <v>3.2009181770960398</v>
      </c>
      <c r="CD264" s="73">
        <f t="shared" si="1875"/>
        <v>6.0187074186578959</v>
      </c>
      <c r="CE264" s="73">
        <f t="shared" si="1876"/>
        <v>16.067997014543501</v>
      </c>
      <c r="CF264" s="73">
        <f t="shared" si="1877"/>
        <v>8.7880398033219489</v>
      </c>
      <c r="CG264" s="73">
        <f t="shared" si="1878"/>
        <v>4.2088589670190748</v>
      </c>
      <c r="CH264" s="73">
        <f t="shared" si="1879"/>
        <v>0.92761720086491295</v>
      </c>
      <c r="CI264" s="73">
        <f t="shared" si="1880"/>
        <v>4.7962715861628817</v>
      </c>
      <c r="CJ264" s="73">
        <f t="shared" si="1881"/>
        <v>3.3313992084825972</v>
      </c>
      <c r="CK264" s="73">
        <f t="shared" si="1882"/>
        <v>0.36987589655304792</v>
      </c>
      <c r="CL264" s="73">
        <f t="shared" si="1883"/>
        <v>6.1062792959548917E-2</v>
      </c>
      <c r="CM264" s="73">
        <f t="shared" si="1884"/>
        <v>115.08426613222089</v>
      </c>
      <c r="CN264" s="73">
        <f t="shared" si="1885"/>
        <v>189.75321574036502</v>
      </c>
      <c r="CO264" s="73">
        <f t="shared" si="1886"/>
        <v>56.057431510522171</v>
      </c>
      <c r="CP264" s="73">
        <f t="shared" si="1887"/>
        <v>23.750732076893865</v>
      </c>
      <c r="CQ264" s="73">
        <f t="shared" si="1888"/>
        <v>9.0346129878378534</v>
      </c>
      <c r="CR264" s="73">
        <f t="shared" si="1889"/>
        <v>18.905143345948936</v>
      </c>
      <c r="CS264" s="73">
        <f t="shared" si="1890"/>
        <v>12.185465224280875</v>
      </c>
      <c r="CT264" s="73">
        <f t="shared" si="1891"/>
        <v>24.653439280567525</v>
      </c>
      <c r="CU264" s="73">
        <f t="shared" si="1892"/>
        <v>6.7104532019939152</v>
      </c>
      <c r="CV264" s="73">
        <f t="shared" si="1893"/>
        <v>2.8086012018096125</v>
      </c>
      <c r="CW264" s="73">
        <f t="shared" si="1894"/>
        <v>0.94782680260364383</v>
      </c>
      <c r="CX264" s="73">
        <f t="shared" si="1895"/>
        <v>0.55159294381836843</v>
      </c>
      <c r="CY264" s="73">
        <f t="shared" si="1896"/>
        <v>0.10860206975184815</v>
      </c>
      <c r="CZ264" s="190"/>
      <c r="DA264" s="66">
        <v>2022</v>
      </c>
      <c r="DB264" s="218">
        <f t="shared" si="1819"/>
        <v>700.64065419972201</v>
      </c>
      <c r="DC264" s="218">
        <f t="shared" si="1820"/>
        <v>5124.3432515585337</v>
      </c>
      <c r="DD264" s="73">
        <f t="shared" si="1821"/>
        <v>2805.8260011220241</v>
      </c>
      <c r="DE264" s="73">
        <f t="shared" si="1822"/>
        <v>1613.8815493160055</v>
      </c>
      <c r="DF264" s="73">
        <f t="shared" si="1823"/>
        <v>692.88731634924477</v>
      </c>
      <c r="DG264" s="73">
        <f t="shared" si="1824"/>
        <v>1569.6072165198339</v>
      </c>
      <c r="DH264" s="72">
        <f t="shared" si="1851"/>
        <v>0.64126815827261685</v>
      </c>
      <c r="DI264" s="72">
        <f t="shared" si="1852"/>
        <v>0.6996286335131271</v>
      </c>
      <c r="DJ264" s="73">
        <f>SUM(AV246:AV264,BB246:BB264,BI246:BI264)</f>
        <v>3463.6967484414672</v>
      </c>
      <c r="DK264" s="73">
        <f>SUM(AV252:AV264,BB252:BB264,BI252:BI264)</f>
        <v>3463.6967484414672</v>
      </c>
      <c r="DL264" s="190"/>
    </row>
    <row r="265" spans="22:116" x14ac:dyDescent="0.25">
      <c r="V265" s="63"/>
      <c r="W265" s="66">
        <v>19</v>
      </c>
      <c r="X265" s="66">
        <v>2023</v>
      </c>
      <c r="Y265" s="70">
        <f t="shared" si="1897"/>
        <v>2.6025499324363141E-2</v>
      </c>
      <c r="Z265" s="70">
        <f t="shared" si="1898"/>
        <v>9.3348436493219857E-3</v>
      </c>
      <c r="AA265" s="70">
        <f t="shared" si="1899"/>
        <v>2.5075551257826709E-2</v>
      </c>
      <c r="AB265" s="70">
        <f t="shared" si="1900"/>
        <v>1.5696862854475498E-3</v>
      </c>
      <c r="AC265" s="70">
        <f t="shared" si="1901"/>
        <v>2.9482688499825917E-2</v>
      </c>
      <c r="AD265" s="70">
        <f t="shared" si="1902"/>
        <v>1.7592969099059799E-2</v>
      </c>
      <c r="AE265" s="70">
        <f t="shared" si="1903"/>
        <v>0.12085284815233331</v>
      </c>
      <c r="AF265" s="70">
        <f t="shared" si="1904"/>
        <v>3.3621107184826873E-2</v>
      </c>
      <c r="AG265" s="70">
        <f t="shared" si="1905"/>
        <v>2.5451256003643848E-2</v>
      </c>
      <c r="AH265" s="70">
        <f t="shared" si="1906"/>
        <v>3.5033323140700183E-3</v>
      </c>
      <c r="AI265" s="70">
        <f t="shared" si="1907"/>
        <v>1.4987350972137069E-2</v>
      </c>
      <c r="AJ265" s="70">
        <f t="shared" si="1908"/>
        <v>2.7877042345714864E-2</v>
      </c>
      <c r="AK265" s="70">
        <f t="shared" si="1909"/>
        <v>2.486923765102184E-2</v>
      </c>
      <c r="AL265" s="70">
        <f t="shared" si="1910"/>
        <v>0.15515692600642345</v>
      </c>
      <c r="AM265" s="70">
        <f t="shared" si="1911"/>
        <v>2.3627428750644566E-2</v>
      </c>
      <c r="AN265" s="70">
        <f t="shared" si="1912"/>
        <v>1.5376670254706268E-2</v>
      </c>
      <c r="AO265" s="70">
        <f t="shared" si="1913"/>
        <v>4.2279235305411E-2</v>
      </c>
      <c r="AP265" s="190"/>
      <c r="AQ265" s="66">
        <v>19</v>
      </c>
      <c r="AR265" s="66">
        <v>2023</v>
      </c>
      <c r="AS265" s="215">
        <f t="shared" si="1802"/>
        <v>223.50802921760365</v>
      </c>
      <c r="AT265" s="215">
        <f t="shared" si="1803"/>
        <v>80.168010654123194</v>
      </c>
      <c r="AU265" s="215">
        <f t="shared" si="1804"/>
        <v>215.34983722426611</v>
      </c>
      <c r="AV265" s="215">
        <f t="shared" si="1805"/>
        <v>13.480528606874977</v>
      </c>
      <c r="AW265" s="215">
        <f t="shared" si="1806"/>
        <v>253.19850814404498</v>
      </c>
      <c r="AX265" s="215">
        <f t="shared" si="1807"/>
        <v>151.08912234148951</v>
      </c>
      <c r="AY265" s="215">
        <f t="shared" si="1808"/>
        <v>1037.8890940461647</v>
      </c>
      <c r="AZ265" s="215">
        <f t="shared" si="1809"/>
        <v>288.73941334758064</v>
      </c>
      <c r="BA265" s="215">
        <f t="shared" si="1810"/>
        <v>218.57640460953354</v>
      </c>
      <c r="BB265" s="215">
        <f t="shared" si="1811"/>
        <v>30.086758046525883</v>
      </c>
      <c r="BC265" s="215">
        <f t="shared" si="1812"/>
        <v>128.71196964275205</v>
      </c>
      <c r="BD265" s="215">
        <f t="shared" si="1813"/>
        <v>239.4091547466931</v>
      </c>
      <c r="BE265" s="215">
        <f t="shared" si="1814"/>
        <v>213.57800771648161</v>
      </c>
      <c r="BF265" s="215">
        <f t="shared" si="1815"/>
        <v>1332.493886820205</v>
      </c>
      <c r="BG265" s="215">
        <f t="shared" si="1816"/>
        <v>202.91330320768557</v>
      </c>
      <c r="BH265" s="215">
        <f t="shared" si="1817"/>
        <v>132.05545921422762</v>
      </c>
      <c r="BI265" s="215">
        <f t="shared" si="1818"/>
        <v>363.09576397228193</v>
      </c>
      <c r="BJ265" s="195"/>
      <c r="BK265" s="66">
        <v>19</v>
      </c>
      <c r="BL265" s="66">
        <v>2023</v>
      </c>
      <c r="BM265" s="215">
        <f t="shared" si="1861"/>
        <v>93.248128569706736</v>
      </c>
      <c r="BN265" s="219">
        <f t="shared" si="1862"/>
        <v>99.907085134653684</v>
      </c>
      <c r="BO265" s="219">
        <f t="shared" si="1863"/>
        <v>20.573193166039523</v>
      </c>
      <c r="BP265" s="219">
        <f t="shared" si="1864"/>
        <v>4.847997739133592</v>
      </c>
      <c r="BQ265" s="219">
        <f t="shared" si="1865"/>
        <v>25.736374858141879</v>
      </c>
      <c r="BR265" s="220">
        <f t="shared" si="1866"/>
        <v>32.143604358071933</v>
      </c>
      <c r="BS265" s="219">
        <f t="shared" si="1867"/>
        <v>38.46612889218207</v>
      </c>
      <c r="BT265" s="219">
        <f t="shared" si="1868"/>
        <v>11.35180134029358</v>
      </c>
      <c r="BU265" s="219">
        <f t="shared" si="1869"/>
        <v>14.237430064983212</v>
      </c>
      <c r="BV265" s="219">
        <f t="shared" si="1870"/>
        <v>4.6593575741952291</v>
      </c>
      <c r="BW265" s="219">
        <f t="shared" si="1871"/>
        <v>4.5348335798015356</v>
      </c>
      <c r="BX265" s="220">
        <f t="shared" si="1872"/>
        <v>0.92592854655819412</v>
      </c>
      <c r="BY265" s="195"/>
      <c r="BZ265" s="66">
        <v>19</v>
      </c>
      <c r="CA265" s="66">
        <v>2023</v>
      </c>
      <c r="CB265" s="218">
        <f t="shared" si="1873"/>
        <v>6.4133155894961869</v>
      </c>
      <c r="CC265" s="218">
        <f t="shared" si="1874"/>
        <v>2.1053558906000167</v>
      </c>
      <c r="CD265" s="73">
        <f t="shared" si="1875"/>
        <v>4.9618571267787726</v>
      </c>
      <c r="CE265" s="73">
        <f t="shared" si="1876"/>
        <v>10.731396385215003</v>
      </c>
      <c r="CF265" s="73">
        <f t="shared" si="1877"/>
        <v>5.9547401104350923</v>
      </c>
      <c r="CG265" s="73">
        <f t="shared" si="1878"/>
        <v>4.8153504939450817</v>
      </c>
      <c r="CH265" s="73">
        <f t="shared" si="1879"/>
        <v>1.2125143272566832</v>
      </c>
      <c r="CI265" s="73">
        <f t="shared" si="1880"/>
        <v>3.6201969041483366</v>
      </c>
      <c r="CJ265" s="73">
        <f t="shared" si="1881"/>
        <v>3.1733788505477296</v>
      </c>
      <c r="CK265" s="73">
        <f t="shared" si="1882"/>
        <v>0.48126284820775178</v>
      </c>
      <c r="CL265" s="73">
        <f t="shared" si="1883"/>
        <v>9.7918126770206504E-2</v>
      </c>
      <c r="CM265" s="73">
        <f t="shared" si="1884"/>
        <v>78.902921399661437</v>
      </c>
      <c r="CN265" s="73">
        <f t="shared" si="1885"/>
        <v>134.69825357698781</v>
      </c>
      <c r="CO265" s="73">
        <f t="shared" si="1886"/>
        <v>43.183046850075122</v>
      </c>
      <c r="CP265" s="73">
        <f t="shared" si="1887"/>
        <v>30.170556632923052</v>
      </c>
      <c r="CQ265" s="73">
        <f t="shared" si="1888"/>
        <v>14.158529355044243</v>
      </c>
      <c r="CR265" s="73">
        <f t="shared" si="1889"/>
        <v>14.635093553810806</v>
      </c>
      <c r="CS265" s="73">
        <f t="shared" si="1890"/>
        <v>13.555753856504849</v>
      </c>
      <c r="CT265" s="73">
        <f t="shared" si="1891"/>
        <v>20.547977330571083</v>
      </c>
      <c r="CU265" s="73">
        <f t="shared" si="1892"/>
        <v>5.9099266128499828</v>
      </c>
      <c r="CV265" s="73">
        <f t="shared" si="1893"/>
        <v>4.4951046476737684</v>
      </c>
      <c r="CW265" s="73">
        <f t="shared" si="1894"/>
        <v>1.4462845150217105</v>
      </c>
      <c r="CX265" s="73">
        <f t="shared" si="1895"/>
        <v>1.1604945042561459</v>
      </c>
      <c r="CY265" s="73">
        <f t="shared" si="1896"/>
        <v>0.23182113690198486</v>
      </c>
      <c r="CZ265" s="190"/>
      <c r="DA265" s="66">
        <v>2023</v>
      </c>
      <c r="DB265" s="218">
        <f t="shared" si="1819"/>
        <v>470.66628774230583</v>
      </c>
      <c r="DC265" s="218">
        <f t="shared" si="1820"/>
        <v>4717.6802009328521</v>
      </c>
      <c r="DD265" s="73">
        <f t="shared" si="1821"/>
        <v>3075.6137051381179</v>
      </c>
      <c r="DE265" s="73">
        <f t="shared" si="1822"/>
        <v>1748.9851977443723</v>
      </c>
      <c r="DF265" s="73">
        <f t="shared" si="1823"/>
        <v>500.17658360367284</v>
      </c>
      <c r="DG265" s="73">
        <f t="shared" si="1824"/>
        <v>1123.0406186987409</v>
      </c>
      <c r="DH265" s="72">
        <f t="shared" si="1851"/>
        <v>0.73252367733086632</v>
      </c>
      <c r="DI265" s="72">
        <f t="shared" si="1852"/>
        <v>0.77761644904712468</v>
      </c>
      <c r="DJ265" s="73">
        <f>SUM(AV246:AV265,BB246:BB265,BI246:BI265)</f>
        <v>3870.3597990671497</v>
      </c>
      <c r="DK265" s="73">
        <f>SUM(AV252:AV265,BB252:BB265,BI252:BI265)</f>
        <v>3870.3597990671497</v>
      </c>
      <c r="DL265" s="190"/>
    </row>
    <row r="266" spans="22:116" x14ac:dyDescent="0.25">
      <c r="V266" s="13"/>
      <c r="W266" s="197" t="s">
        <v>587</v>
      </c>
      <c r="X266" s="190"/>
      <c r="Y266" s="190"/>
      <c r="Z266" s="190"/>
      <c r="AA266" s="190"/>
      <c r="AB266" s="190"/>
      <c r="AC266" s="190"/>
      <c r="AD266" s="190"/>
      <c r="AE266" s="190"/>
      <c r="AF266" s="190"/>
      <c r="AG266" s="190"/>
      <c r="AH266" s="190"/>
      <c r="AI266" s="190"/>
      <c r="AJ266" s="190"/>
      <c r="AK266" s="190"/>
      <c r="AL266" s="190"/>
      <c r="AM266" s="190"/>
      <c r="AN266" s="190"/>
      <c r="AO266" s="190"/>
      <c r="AP266" s="190"/>
      <c r="AQ266" s="193" t="s">
        <v>90</v>
      </c>
      <c r="AR266" s="25"/>
      <c r="AS266" s="213"/>
      <c r="AT266" s="213"/>
      <c r="AU266" s="213"/>
      <c r="AV266" s="213"/>
      <c r="AW266" s="213"/>
      <c r="AX266" s="213"/>
      <c r="AY266" s="213"/>
      <c r="AZ266" s="213"/>
      <c r="BA266" s="213"/>
      <c r="BB266" s="213"/>
      <c r="BC266" s="213"/>
      <c r="BD266" s="213"/>
      <c r="BE266" s="213"/>
      <c r="BF266" s="213"/>
      <c r="BG266" s="213"/>
      <c r="BH266" s="213"/>
      <c r="BI266" s="213"/>
      <c r="BJ266" s="25"/>
      <c r="BK266" s="25"/>
      <c r="BL266" s="25"/>
      <c r="BM266" s="348" t="s">
        <v>570</v>
      </c>
      <c r="BN266" s="349"/>
      <c r="BO266" s="349"/>
      <c r="BP266" s="349"/>
      <c r="BQ266" s="350" t="s">
        <v>570</v>
      </c>
      <c r="BR266" s="350"/>
      <c r="BS266" s="350"/>
      <c r="BT266" s="350"/>
      <c r="BU266" s="350"/>
      <c r="BV266" s="350"/>
      <c r="BW266" s="350"/>
      <c r="BX266" s="351"/>
      <c r="BY266" s="199"/>
      <c r="BZ266" s="25"/>
      <c r="CA266" s="25"/>
      <c r="CB266" s="350" t="s">
        <v>302</v>
      </c>
      <c r="CC266" s="350"/>
      <c r="CD266" s="350"/>
      <c r="CE266" s="350" t="s">
        <v>302</v>
      </c>
      <c r="CF266" s="350"/>
      <c r="CG266" s="350"/>
      <c r="CH266" s="350"/>
      <c r="CI266" s="350"/>
      <c r="CJ266" s="350"/>
      <c r="CK266" s="350"/>
      <c r="CL266" s="350"/>
      <c r="CM266" s="350" t="s">
        <v>302</v>
      </c>
      <c r="CN266" s="350"/>
      <c r="CO266" s="350"/>
      <c r="CP266" s="350"/>
      <c r="CQ266" s="350"/>
      <c r="CR266" s="350"/>
      <c r="CS266" s="350"/>
      <c r="CT266" s="350"/>
      <c r="CU266" s="350"/>
      <c r="CV266" s="350"/>
      <c r="CW266" s="350"/>
      <c r="CX266" s="350"/>
      <c r="CY266" s="350"/>
      <c r="CZ266" s="190"/>
      <c r="DA266" s="190" t="s">
        <v>100</v>
      </c>
      <c r="DB266" s="217"/>
      <c r="DC266" s="217"/>
      <c r="DD266" s="217"/>
      <c r="DE266" s="217"/>
      <c r="DF266" s="217"/>
      <c r="DG266" s="217"/>
      <c r="DH266" s="222"/>
      <c r="DI266" s="222"/>
      <c r="DJ266" s="217"/>
      <c r="DK266" s="217"/>
      <c r="DL266" s="190"/>
    </row>
    <row r="267" spans="22:116" x14ac:dyDescent="0.25">
      <c r="V267" s="13"/>
      <c r="W267" s="66" t="s">
        <v>88</v>
      </c>
      <c r="X267" s="66" t="s">
        <v>89</v>
      </c>
      <c r="Y267" s="61" t="s">
        <v>320</v>
      </c>
      <c r="Z267" s="61" t="s">
        <v>319</v>
      </c>
      <c r="AA267" s="61" t="s">
        <v>318</v>
      </c>
      <c r="AB267" s="61" t="s">
        <v>317</v>
      </c>
      <c r="AC267" s="61" t="s">
        <v>321</v>
      </c>
      <c r="AD267" s="61" t="s">
        <v>322</v>
      </c>
      <c r="AE267" s="61" t="s">
        <v>323</v>
      </c>
      <c r="AF267" s="61" t="s">
        <v>324</v>
      </c>
      <c r="AG267" s="61" t="s">
        <v>325</v>
      </c>
      <c r="AH267" s="61" t="s">
        <v>326</v>
      </c>
      <c r="AI267" s="61" t="s">
        <v>327</v>
      </c>
      <c r="AJ267" s="61" t="s">
        <v>328</v>
      </c>
      <c r="AK267" s="61" t="s">
        <v>329</v>
      </c>
      <c r="AL267" s="61" t="s">
        <v>330</v>
      </c>
      <c r="AM267" s="61" t="s">
        <v>331</v>
      </c>
      <c r="AN267" s="61" t="s">
        <v>332</v>
      </c>
      <c r="AO267" s="61" t="s">
        <v>333</v>
      </c>
      <c r="AP267" s="190"/>
      <c r="AQ267" s="66" t="s">
        <v>88</v>
      </c>
      <c r="AR267" s="66" t="s">
        <v>89</v>
      </c>
      <c r="AS267" s="214" t="s">
        <v>320</v>
      </c>
      <c r="AT267" s="214" t="s">
        <v>319</v>
      </c>
      <c r="AU267" s="214" t="s">
        <v>318</v>
      </c>
      <c r="AV267" s="214" t="s">
        <v>317</v>
      </c>
      <c r="AW267" s="214" t="s">
        <v>321</v>
      </c>
      <c r="AX267" s="214" t="s">
        <v>322</v>
      </c>
      <c r="AY267" s="214" t="s">
        <v>323</v>
      </c>
      <c r="AZ267" s="214" t="s">
        <v>324</v>
      </c>
      <c r="BA267" s="214" t="s">
        <v>325</v>
      </c>
      <c r="BB267" s="214" t="s">
        <v>326</v>
      </c>
      <c r="BC267" s="214" t="s">
        <v>327</v>
      </c>
      <c r="BD267" s="214" t="s">
        <v>328</v>
      </c>
      <c r="BE267" s="214" t="s">
        <v>329</v>
      </c>
      <c r="BF267" s="214" t="s">
        <v>330</v>
      </c>
      <c r="BG267" s="214" t="s">
        <v>331</v>
      </c>
      <c r="BH267" s="214" t="s">
        <v>332</v>
      </c>
      <c r="BI267" s="214" t="s">
        <v>333</v>
      </c>
      <c r="BJ267" s="182"/>
      <c r="BK267" s="66" t="s">
        <v>88</v>
      </c>
      <c r="BL267" s="66" t="s">
        <v>89</v>
      </c>
      <c r="BM267" s="122" t="s">
        <v>627</v>
      </c>
      <c r="BN267" s="122" t="s">
        <v>715</v>
      </c>
      <c r="BO267" s="122" t="s">
        <v>628</v>
      </c>
      <c r="BP267" s="122" t="s">
        <v>629</v>
      </c>
      <c r="BQ267" s="122" t="s">
        <v>627</v>
      </c>
      <c r="BR267" s="122" t="s">
        <v>716</v>
      </c>
      <c r="BS267" s="122" t="s">
        <v>717</v>
      </c>
      <c r="BT267" s="122" t="s">
        <v>721</v>
      </c>
      <c r="BU267" s="122" t="s">
        <v>720</v>
      </c>
      <c r="BV267" s="122" t="s">
        <v>719</v>
      </c>
      <c r="BW267" s="122" t="s">
        <v>629</v>
      </c>
      <c r="BX267" s="122" t="s">
        <v>722</v>
      </c>
      <c r="BY267" s="182"/>
      <c r="BZ267" s="192" t="s">
        <v>88</v>
      </c>
      <c r="CA267" s="66" t="s">
        <v>89</v>
      </c>
      <c r="CB267" s="218" t="s">
        <v>124</v>
      </c>
      <c r="CC267" s="218" t="s">
        <v>630</v>
      </c>
      <c r="CD267" s="218" t="s">
        <v>570</v>
      </c>
      <c r="CE267" s="218" t="s">
        <v>124</v>
      </c>
      <c r="CF267" s="218" t="s">
        <v>630</v>
      </c>
      <c r="CG267" s="218" t="s">
        <v>631</v>
      </c>
      <c r="CH267" s="218" t="s">
        <v>632</v>
      </c>
      <c r="CI267" s="227" t="s">
        <v>624</v>
      </c>
      <c r="CJ267" s="227" t="s">
        <v>725</v>
      </c>
      <c r="CK267" s="227" t="s">
        <v>625</v>
      </c>
      <c r="CL267" s="227" t="s">
        <v>626</v>
      </c>
      <c r="CM267" s="218" t="s">
        <v>124</v>
      </c>
      <c r="CN267" s="218" t="s">
        <v>633</v>
      </c>
      <c r="CO267" s="218" t="s">
        <v>634</v>
      </c>
      <c r="CP267" s="218" t="s">
        <v>635</v>
      </c>
      <c r="CQ267" s="218" t="s">
        <v>632</v>
      </c>
      <c r="CR267" s="122" t="s">
        <v>624</v>
      </c>
      <c r="CS267" s="122" t="s">
        <v>726</v>
      </c>
      <c r="CT267" s="122" t="s">
        <v>727</v>
      </c>
      <c r="CU267" s="122" t="s">
        <v>637</v>
      </c>
      <c r="CV267" s="122" t="s">
        <v>638</v>
      </c>
      <c r="CW267" s="122" t="s">
        <v>728</v>
      </c>
      <c r="CX267" s="122" t="s">
        <v>626</v>
      </c>
      <c r="CY267" s="122" t="s">
        <v>729</v>
      </c>
      <c r="CZ267" s="190"/>
      <c r="DA267" s="67" t="s">
        <v>89</v>
      </c>
      <c r="DB267" s="219" t="s">
        <v>91</v>
      </c>
      <c r="DC267" s="219" t="s">
        <v>99</v>
      </c>
      <c r="DD267" s="215" t="s">
        <v>92</v>
      </c>
      <c r="DE267" s="215" t="s">
        <v>97</v>
      </c>
      <c r="DF267" s="215" t="s">
        <v>93</v>
      </c>
      <c r="DG267" s="215" t="s">
        <v>94</v>
      </c>
      <c r="DH267" s="223" t="s">
        <v>96</v>
      </c>
      <c r="DI267" s="223" t="s">
        <v>98</v>
      </c>
      <c r="DJ267" s="219" t="s">
        <v>95</v>
      </c>
      <c r="DK267" s="219" t="s">
        <v>102</v>
      </c>
      <c r="DL267" s="190"/>
    </row>
    <row r="268" spans="22:116" x14ac:dyDescent="0.25">
      <c r="V268" s="13"/>
      <c r="W268" s="66">
        <v>0</v>
      </c>
      <c r="X268" s="66">
        <v>2004</v>
      </c>
      <c r="Y268" s="69">
        <v>0</v>
      </c>
      <c r="Z268" s="69">
        <v>0</v>
      </c>
      <c r="AA268" s="69">
        <v>0</v>
      </c>
      <c r="AB268" s="69">
        <v>0</v>
      </c>
      <c r="AC268" s="69">
        <v>0</v>
      </c>
      <c r="AD268" s="69">
        <v>0</v>
      </c>
      <c r="AE268" s="69">
        <v>0</v>
      </c>
      <c r="AF268" s="69">
        <v>0</v>
      </c>
      <c r="AG268" s="69">
        <v>0</v>
      </c>
      <c r="AH268" s="69">
        <v>0</v>
      </c>
      <c r="AI268" s="69">
        <v>0</v>
      </c>
      <c r="AJ268" s="69">
        <v>0</v>
      </c>
      <c r="AK268" s="69">
        <v>0</v>
      </c>
      <c r="AL268" s="69">
        <v>0</v>
      </c>
      <c r="AM268" s="69">
        <v>0</v>
      </c>
      <c r="AN268" s="69">
        <v>0</v>
      </c>
      <c r="AO268" s="69">
        <v>0</v>
      </c>
      <c r="AP268" s="190"/>
      <c r="AQ268" s="66">
        <v>0</v>
      </c>
      <c r="AR268" s="66">
        <v>2004</v>
      </c>
      <c r="AS268" s="215">
        <f t="shared" ref="AS268:AS287" si="1914">Inc_2016*Y268</f>
        <v>0</v>
      </c>
      <c r="AT268" s="215">
        <f t="shared" ref="AT268:AT287" si="1915">Inc_2016*Z268</f>
        <v>0</v>
      </c>
      <c r="AU268" s="215">
        <f t="shared" ref="AU268:AU287" si="1916">Inc_2016*AA268</f>
        <v>0</v>
      </c>
      <c r="AV268" s="215">
        <f t="shared" ref="AV268:AV287" si="1917">Inc_2016*AB268</f>
        <v>0</v>
      </c>
      <c r="AW268" s="215">
        <f t="shared" ref="AW268:AW287" si="1918">Inc_2016*AC268</f>
        <v>0</v>
      </c>
      <c r="AX268" s="215">
        <f t="shared" ref="AX268:AX287" si="1919">Inc_2016*AD268</f>
        <v>0</v>
      </c>
      <c r="AY268" s="215">
        <f t="shared" ref="AY268:AY287" si="1920">Inc_2016*AE268</f>
        <v>0</v>
      </c>
      <c r="AZ268" s="215">
        <f t="shared" ref="AZ268:AZ287" si="1921">Inc_2016*AF268</f>
        <v>0</v>
      </c>
      <c r="BA268" s="215">
        <f t="shared" ref="BA268:BA287" si="1922">Inc_2016*AG268</f>
        <v>0</v>
      </c>
      <c r="BB268" s="215">
        <f t="shared" ref="BB268:BB287" si="1923">Inc_2016*AH268</f>
        <v>0</v>
      </c>
      <c r="BC268" s="215">
        <f t="shared" ref="BC268:BC287" si="1924">Inc_2016*AI268</f>
        <v>0</v>
      </c>
      <c r="BD268" s="215">
        <f t="shared" ref="BD268:BD287" si="1925">Inc_2016*AJ268</f>
        <v>0</v>
      </c>
      <c r="BE268" s="215">
        <f t="shared" ref="BE268:BE287" si="1926">Inc_2016*AK268</f>
        <v>0</v>
      </c>
      <c r="BF268" s="215">
        <f t="shared" ref="BF268:BF287" si="1927">Inc_2016*AL268</f>
        <v>0</v>
      </c>
      <c r="BG268" s="215">
        <f t="shared" ref="BG268:BG287" si="1928">Inc_2016*AM268</f>
        <v>0</v>
      </c>
      <c r="BH268" s="215">
        <f t="shared" ref="BH268:BH287" si="1929">Inc_2016*AN268</f>
        <v>0</v>
      </c>
      <c r="BI268" s="215">
        <f t="shared" ref="BI268:BI287" si="1930">Inc_2016*AO268</f>
        <v>0</v>
      </c>
      <c r="BJ268" s="195"/>
      <c r="BK268" s="66">
        <v>0</v>
      </c>
      <c r="BL268" s="66">
        <v>2004</v>
      </c>
      <c r="BM268" s="215">
        <f>BA268</f>
        <v>0</v>
      </c>
      <c r="BN268" s="219">
        <v>0</v>
      </c>
      <c r="BO268" s="219">
        <v>0</v>
      </c>
      <c r="BP268" s="219">
        <v>0</v>
      </c>
      <c r="BQ268" s="219">
        <f>BH268</f>
        <v>0</v>
      </c>
      <c r="BR268" s="219">
        <v>0</v>
      </c>
      <c r="BS268" s="219">
        <v>0</v>
      </c>
      <c r="BT268" s="219">
        <v>0</v>
      </c>
      <c r="BU268" s="219">
        <v>0</v>
      </c>
      <c r="BV268" s="219">
        <v>0</v>
      </c>
      <c r="BW268" s="219">
        <v>0</v>
      </c>
      <c r="BX268" s="219">
        <v>0</v>
      </c>
      <c r="BY268" s="195"/>
      <c r="BZ268" s="66">
        <v>0</v>
      </c>
      <c r="CA268" s="66">
        <v>2004</v>
      </c>
      <c r="CB268" s="218">
        <v>0</v>
      </c>
      <c r="CC268" s="218">
        <v>0</v>
      </c>
      <c r="CD268" s="218">
        <v>0</v>
      </c>
      <c r="CE268" s="218">
        <v>0</v>
      </c>
      <c r="CF268" s="218">
        <v>0</v>
      </c>
      <c r="CG268" s="218">
        <v>0</v>
      </c>
      <c r="CH268" s="218">
        <v>0</v>
      </c>
      <c r="CI268" s="218">
        <v>0</v>
      </c>
      <c r="CJ268" s="218">
        <v>0</v>
      </c>
      <c r="CK268" s="218">
        <v>0</v>
      </c>
      <c r="CL268" s="218">
        <v>0</v>
      </c>
      <c r="CM268" s="218">
        <v>0</v>
      </c>
      <c r="CN268" s="218">
        <v>0</v>
      </c>
      <c r="CO268" s="218">
        <v>0</v>
      </c>
      <c r="CP268" s="218">
        <v>0</v>
      </c>
      <c r="CQ268" s="218">
        <v>0</v>
      </c>
      <c r="CR268" s="218">
        <v>0</v>
      </c>
      <c r="CS268" s="218">
        <v>0</v>
      </c>
      <c r="CT268" s="218">
        <v>0</v>
      </c>
      <c r="CU268" s="218">
        <v>0</v>
      </c>
      <c r="CV268" s="218">
        <v>0</v>
      </c>
      <c r="CW268" s="218">
        <v>0</v>
      </c>
      <c r="CX268" s="218">
        <v>0</v>
      </c>
      <c r="CY268" s="218">
        <v>0</v>
      </c>
      <c r="CZ268" s="190"/>
      <c r="DA268" s="67">
        <v>2004</v>
      </c>
      <c r="DB268" s="218">
        <f t="shared" ref="DB268:DB287" si="1931">SUM(AT268,AX268,BD268)</f>
        <v>0</v>
      </c>
      <c r="DC268" s="218">
        <f t="shared" ref="DC268:DC287" si="1932">SUM(AS268:AU268,AW268:BA268,BC268:BH268)</f>
        <v>0</v>
      </c>
      <c r="DD268" s="73">
        <f t="shared" ref="DD268:DD287" si="1933">SUM(AY268:AZ268,BE268:BG268)</f>
        <v>0</v>
      </c>
      <c r="DE268" s="73">
        <f t="shared" ref="DE268:DE287" si="1934">SUM(BE268:BG268)</f>
        <v>0</v>
      </c>
      <c r="DF268" s="73">
        <f t="shared" ref="DF268:DF287" si="1935">SUM(BC268,BD268,BH268)</f>
        <v>0</v>
      </c>
      <c r="DG268" s="73">
        <f t="shared" ref="DG268:DG287" si="1936">SUM(BC268,BD268,BH268,AW268,AX268,BA268)</f>
        <v>0</v>
      </c>
      <c r="DH268" s="72" t="e">
        <f>DD268/(DD268+DG268)</f>
        <v>#DIV/0!</v>
      </c>
      <c r="DI268" s="72" t="e">
        <f>DE268/(DE268+DF268)</f>
        <v>#DIV/0!</v>
      </c>
      <c r="DJ268" s="73">
        <f>SUM(AV268,BB268,BI268)</f>
        <v>0</v>
      </c>
      <c r="DK268" s="73">
        <v>0</v>
      </c>
      <c r="DL268" s="190"/>
    </row>
    <row r="269" spans="22:116" x14ac:dyDescent="0.25">
      <c r="V269" s="13"/>
      <c r="W269" s="66">
        <v>1</v>
      </c>
      <c r="X269" s="66">
        <v>2005</v>
      </c>
      <c r="Y269" s="69">
        <v>0</v>
      </c>
      <c r="Z269" s="69">
        <v>0</v>
      </c>
      <c r="AA269" s="69">
        <v>0</v>
      </c>
      <c r="AB269" s="69">
        <v>0</v>
      </c>
      <c r="AC269" s="69">
        <v>0</v>
      </c>
      <c r="AD269" s="69">
        <v>0</v>
      </c>
      <c r="AE269" s="69">
        <v>0</v>
      </c>
      <c r="AF269" s="69">
        <v>0</v>
      </c>
      <c r="AG269" s="69">
        <v>0</v>
      </c>
      <c r="AH269" s="69">
        <v>0</v>
      </c>
      <c r="AI269" s="69">
        <v>0</v>
      </c>
      <c r="AJ269" s="69">
        <v>0</v>
      </c>
      <c r="AK269" s="69">
        <v>0</v>
      </c>
      <c r="AL269" s="69">
        <v>0</v>
      </c>
      <c r="AM269" s="69">
        <v>0</v>
      </c>
      <c r="AN269" s="69">
        <v>0</v>
      </c>
      <c r="AO269" s="69">
        <v>0</v>
      </c>
      <c r="AP269" s="190"/>
      <c r="AQ269" s="66">
        <v>1</v>
      </c>
      <c r="AR269" s="66">
        <v>2005</v>
      </c>
      <c r="AS269" s="215">
        <f t="shared" si="1914"/>
        <v>0</v>
      </c>
      <c r="AT269" s="215">
        <f t="shared" si="1915"/>
        <v>0</v>
      </c>
      <c r="AU269" s="215">
        <f t="shared" si="1916"/>
        <v>0</v>
      </c>
      <c r="AV269" s="215">
        <f t="shared" si="1917"/>
        <v>0</v>
      </c>
      <c r="AW269" s="215">
        <f t="shared" si="1918"/>
        <v>0</v>
      </c>
      <c r="AX269" s="215">
        <f t="shared" si="1919"/>
        <v>0</v>
      </c>
      <c r="AY269" s="215">
        <f t="shared" si="1920"/>
        <v>0</v>
      </c>
      <c r="AZ269" s="215">
        <f t="shared" si="1921"/>
        <v>0</v>
      </c>
      <c r="BA269" s="215">
        <f t="shared" si="1922"/>
        <v>0</v>
      </c>
      <c r="BB269" s="215">
        <f t="shared" si="1923"/>
        <v>0</v>
      </c>
      <c r="BC269" s="215">
        <f t="shared" si="1924"/>
        <v>0</v>
      </c>
      <c r="BD269" s="215">
        <f t="shared" si="1925"/>
        <v>0</v>
      </c>
      <c r="BE269" s="215">
        <f t="shared" si="1926"/>
        <v>0</v>
      </c>
      <c r="BF269" s="215">
        <f t="shared" si="1927"/>
        <v>0</v>
      </c>
      <c r="BG269" s="215">
        <f t="shared" si="1928"/>
        <v>0</v>
      </c>
      <c r="BH269" s="215">
        <f t="shared" si="1929"/>
        <v>0</v>
      </c>
      <c r="BI269" s="215">
        <f t="shared" si="1930"/>
        <v>0</v>
      </c>
      <c r="BJ269" s="195"/>
      <c r="BK269" s="66">
        <v>1</v>
      </c>
      <c r="BL269" s="66">
        <v>2005</v>
      </c>
      <c r="BM269" s="215">
        <f t="shared" ref="BM269:BM276" si="1937">(AX268*pInt_InCare_Int_LTFU_2004_2012)+(BM268*pInt_LTFU_2004_2012)</f>
        <v>0</v>
      </c>
      <c r="BN269" s="219">
        <f t="shared" ref="BN269:BN276" si="1938">(AU268*pAsympt_LTFU_Int_LTFU_2004_2012)+(BN268*pInt_LTFU_2004_2012)</f>
        <v>0</v>
      </c>
      <c r="BO269" s="219">
        <f t="shared" ref="BO269:BO276" si="1939">(AY268*pInt_ART1_Int_LTFU_2004_2012)+(BO268*pInt_LTFU_2004_2012)</f>
        <v>0</v>
      </c>
      <c r="BP269" s="219">
        <v>0</v>
      </c>
      <c r="BQ269" s="219">
        <f t="shared" ref="BQ269:BQ276" si="1940">(BD268*pAIDS_InCare_AIDS_LTFU_2004_2012)+(BQ268*pAIDS_LTFU_2004_2012)</f>
        <v>0</v>
      </c>
      <c r="BR269" s="220">
        <f>(BN268*pInt_LTFU_AIDS_LTFU_2004_2012)</f>
        <v>0</v>
      </c>
      <c r="BS269" s="219">
        <f>(BM268*pInt_LTFU_AIDS_LTFU_2004_2012)</f>
        <v>0</v>
      </c>
      <c r="BT269" s="219">
        <f>(BE268*pAIDS_ART1ear_AIDS_LTFU_2004_2012)</f>
        <v>0</v>
      </c>
      <c r="BU269" s="219">
        <f>(BF268*pAIDS_ART1late_AIDS_LTFU_2004_2012)</f>
        <v>0</v>
      </c>
      <c r="BV269" s="219">
        <f>(BO268*pInt_LTFU_AIDS_LTFU_2004_2012)</f>
        <v>0</v>
      </c>
      <c r="BW269" s="219">
        <f>(BG268*pAIDS_ART2_AIDS_LTFU_2004_2012)</f>
        <v>0</v>
      </c>
      <c r="BX269" s="220">
        <f>(BP268*pInt_LTFU_AIDS_LTFU_2004_2012)</f>
        <v>0</v>
      </c>
      <c r="BY269" s="195"/>
      <c r="BZ269" s="66">
        <v>1</v>
      </c>
      <c r="CA269" s="66">
        <v>2005</v>
      </c>
      <c r="CB269" s="218">
        <f>pAsympt_NoCare_Asympt_Dead_2004_2006*AS268</f>
        <v>0</v>
      </c>
      <c r="CC269" s="218">
        <f t="shared" ref="CC269:CC276" si="1941">pAsympt_InCare_Asympt_Dead_2004_2012*AT268</f>
        <v>0</v>
      </c>
      <c r="CD269" s="73">
        <f t="shared" ref="CD269:CD276" si="1942">pAsympt_LTFU_Asympt_Dead_2004_2012*AU268</f>
        <v>0</v>
      </c>
      <c r="CE269" s="73">
        <f>pInt_NoCare_Int_Dead_2004_2006*AW268</f>
        <v>0</v>
      </c>
      <c r="CF269" s="73">
        <f t="shared" ref="CF269:CF276" si="1943">pInt_InCare_Int_Dead_2004_2012*AX268</f>
        <v>0</v>
      </c>
      <c r="CG269" s="73">
        <f t="shared" ref="CG269:CG276" si="1944">pInt_ART1_Int_Dead_2004_2012*AY268</f>
        <v>0</v>
      </c>
      <c r="CH269" s="73">
        <f t="shared" ref="CH269:CH276" si="1945">pInt_ART2_Int_Dead_2004_2012*AZ268</f>
        <v>0</v>
      </c>
      <c r="CI269" s="73">
        <f t="shared" ref="CI269:CI276" si="1946">(BM268*pInt_LTFU_Int_Dead_2004_2012)</f>
        <v>0</v>
      </c>
      <c r="CJ269" s="73">
        <f t="shared" ref="CJ269:CJ276" si="1947">(BN268*pInt_LTFU_Int_Dead_2004_2012)</f>
        <v>0</v>
      </c>
      <c r="CK269" s="73">
        <f t="shared" ref="CK269:CK276" si="1948">(BO268*pInt_LTFU_Int_Dead_2004_2012)</f>
        <v>0</v>
      </c>
      <c r="CL269" s="73">
        <f t="shared" ref="CL269:CL276" si="1949">(BP268*pInt_LTFU_Int_Dead_2004_2012)</f>
        <v>0</v>
      </c>
      <c r="CM269" s="73">
        <f t="shared" ref="CM269:CM270" si="1950">pAIDS_NoCare_AIDS_Dead_2004_2006*BC268</f>
        <v>0</v>
      </c>
      <c r="CN269" s="73">
        <f t="shared" ref="CN269:CN276" si="1951">pAIDS_InCare_AIDS_Dead_2004_2012*BD268</f>
        <v>0</v>
      </c>
      <c r="CO269" s="73">
        <f t="shared" ref="CO269:CO276" si="1952">pAIDS_ART1ear_AIDS_Dead_2004_2012*BE268</f>
        <v>0</v>
      </c>
      <c r="CP269" s="73">
        <f t="shared" ref="CP269:CP276" si="1953">pAIDS_ART1late_AIDS_Dead_2004_2012*BF268</f>
        <v>0</v>
      </c>
      <c r="CQ269" s="73">
        <f t="shared" ref="CQ269:CQ276" si="1954">pAIDS_ART2_AIDS_Dead_2004_2012*BG268</f>
        <v>0</v>
      </c>
      <c r="CR269" s="73">
        <f t="shared" ref="CR269:CR276" si="1955">(BQ268*pAIDS_LTFU_AIDS_Dead_2004_2012)</f>
        <v>0</v>
      </c>
      <c r="CS269" s="73">
        <f t="shared" ref="CS269:CS276" si="1956">(BR268*pAIDS_LTFU_AIDS_Dead_2004_2012)</f>
        <v>0</v>
      </c>
      <c r="CT269" s="73">
        <f t="shared" ref="CT269:CT276" si="1957">(BS268*pAIDS_LTFU_AIDS_Dead_2004_2012)</f>
        <v>0</v>
      </c>
      <c r="CU269" s="73">
        <f t="shared" ref="CU269:CU276" si="1958">(BT268*pAIDS_LTFU_AIDS_Dead_2004_2012)</f>
        <v>0</v>
      </c>
      <c r="CV269" s="73">
        <f t="shared" ref="CV269:CV276" si="1959">(BU268*pAIDS_LTFU_AIDS_Dead_2004_2012)</f>
        <v>0</v>
      </c>
      <c r="CW269" s="73">
        <f t="shared" ref="CW269:CW276" si="1960">(BV268*pAIDS_LTFU_AIDS_Dead_2004_2012)</f>
        <v>0</v>
      </c>
      <c r="CX269" s="73">
        <f t="shared" ref="CX269:CX276" si="1961">(BW268*pAIDS_LTFU_AIDS_Dead_2004_2012)</f>
        <v>0</v>
      </c>
      <c r="CY269" s="73">
        <f t="shared" ref="CY269:CY276" si="1962">(BX268*pAIDS_LTFU_AIDS_Dead_2004_2012)</f>
        <v>0</v>
      </c>
      <c r="CZ269" s="190"/>
      <c r="DA269" s="67">
        <v>2005</v>
      </c>
      <c r="DB269" s="218">
        <f t="shared" si="1931"/>
        <v>0</v>
      </c>
      <c r="DC269" s="218">
        <f t="shared" si="1932"/>
        <v>0</v>
      </c>
      <c r="DD269" s="73">
        <f t="shared" si="1933"/>
        <v>0</v>
      </c>
      <c r="DE269" s="73">
        <f t="shared" si="1934"/>
        <v>0</v>
      </c>
      <c r="DF269" s="73">
        <f t="shared" si="1935"/>
        <v>0</v>
      </c>
      <c r="DG269" s="73">
        <f t="shared" si="1936"/>
        <v>0</v>
      </c>
      <c r="DH269" s="72" t="e">
        <f t="shared" ref="DH269:DH287" si="1963">DD269/(DD269+DG269)</f>
        <v>#DIV/0!</v>
      </c>
      <c r="DI269" s="72" t="e">
        <f t="shared" ref="DI269:DI287" si="1964">DE269/(DE269+DF269)</f>
        <v>#DIV/0!</v>
      </c>
      <c r="DJ269" s="73">
        <f>SUM(AV268:AV269,BB268:BB269,BI268:BI269)</f>
        <v>0</v>
      </c>
      <c r="DK269" s="73">
        <v>0</v>
      </c>
      <c r="DL269" s="190"/>
    </row>
    <row r="270" spans="22:116" x14ac:dyDescent="0.25">
      <c r="V270" s="13"/>
      <c r="W270" s="66">
        <v>2</v>
      </c>
      <c r="X270" s="66">
        <v>2006</v>
      </c>
      <c r="Y270" s="69">
        <v>0</v>
      </c>
      <c r="Z270" s="69">
        <v>0</v>
      </c>
      <c r="AA270" s="69">
        <v>0</v>
      </c>
      <c r="AB270" s="69">
        <v>0</v>
      </c>
      <c r="AC270" s="69">
        <v>0</v>
      </c>
      <c r="AD270" s="69">
        <v>0</v>
      </c>
      <c r="AE270" s="69">
        <v>0</v>
      </c>
      <c r="AF270" s="69">
        <v>0</v>
      </c>
      <c r="AG270" s="69">
        <v>0</v>
      </c>
      <c r="AH270" s="69">
        <v>0</v>
      </c>
      <c r="AI270" s="69">
        <v>0</v>
      </c>
      <c r="AJ270" s="69">
        <v>0</v>
      </c>
      <c r="AK270" s="69">
        <v>0</v>
      </c>
      <c r="AL270" s="69">
        <v>0</v>
      </c>
      <c r="AM270" s="69">
        <v>0</v>
      </c>
      <c r="AN270" s="69">
        <v>0</v>
      </c>
      <c r="AO270" s="69">
        <v>0</v>
      </c>
      <c r="AP270" s="190"/>
      <c r="AQ270" s="66">
        <v>2</v>
      </c>
      <c r="AR270" s="66">
        <v>2006</v>
      </c>
      <c r="AS270" s="215">
        <f t="shared" si="1914"/>
        <v>0</v>
      </c>
      <c r="AT270" s="215">
        <f t="shared" si="1915"/>
        <v>0</v>
      </c>
      <c r="AU270" s="215">
        <f t="shared" si="1916"/>
        <v>0</v>
      </c>
      <c r="AV270" s="215">
        <f t="shared" si="1917"/>
        <v>0</v>
      </c>
      <c r="AW270" s="215">
        <f t="shared" si="1918"/>
        <v>0</v>
      </c>
      <c r="AX270" s="215">
        <f t="shared" si="1919"/>
        <v>0</v>
      </c>
      <c r="AY270" s="215">
        <f t="shared" si="1920"/>
        <v>0</v>
      </c>
      <c r="AZ270" s="215">
        <f t="shared" si="1921"/>
        <v>0</v>
      </c>
      <c r="BA270" s="215">
        <f t="shared" si="1922"/>
        <v>0</v>
      </c>
      <c r="BB270" s="215">
        <f t="shared" si="1923"/>
        <v>0</v>
      </c>
      <c r="BC270" s="215">
        <f t="shared" si="1924"/>
        <v>0</v>
      </c>
      <c r="BD270" s="215">
        <f t="shared" si="1925"/>
        <v>0</v>
      </c>
      <c r="BE270" s="215">
        <f t="shared" si="1926"/>
        <v>0</v>
      </c>
      <c r="BF270" s="215">
        <f t="shared" si="1927"/>
        <v>0</v>
      </c>
      <c r="BG270" s="215">
        <f t="shared" si="1928"/>
        <v>0</v>
      </c>
      <c r="BH270" s="215">
        <f t="shared" si="1929"/>
        <v>0</v>
      </c>
      <c r="BI270" s="215">
        <f t="shared" si="1930"/>
        <v>0</v>
      </c>
      <c r="BJ270" s="195"/>
      <c r="BK270" s="66">
        <v>2</v>
      </c>
      <c r="BL270" s="66">
        <v>2006</v>
      </c>
      <c r="BM270" s="215">
        <f t="shared" si="1937"/>
        <v>0</v>
      </c>
      <c r="BN270" s="219">
        <f t="shared" si="1938"/>
        <v>0</v>
      </c>
      <c r="BO270" s="219">
        <f t="shared" si="1939"/>
        <v>0</v>
      </c>
      <c r="BP270" s="219">
        <f t="shared" ref="BP270:BP276" si="1965">(AZ269*pInt_ART2_Int_LTFU_2004_2012)+(BP269*pInt_LTFU_2004_2012)</f>
        <v>0</v>
      </c>
      <c r="BQ270" s="219">
        <f t="shared" si="1940"/>
        <v>0</v>
      </c>
      <c r="BR270" s="220">
        <f t="shared" ref="BR270:BR276" si="1966">(BN269*pInt_LTFU_AIDS_LTFU_2004_2012)+(BR269*pAIDS_LTFU_2004_2012)</f>
        <v>0</v>
      </c>
      <c r="BS270" s="219">
        <f t="shared" ref="BS270:BS276" si="1967">(BM269*pInt_LTFU_AIDS_LTFU_2004_2012)+(BS269*pAIDS_LTFU_2004_2012)</f>
        <v>0</v>
      </c>
      <c r="BT270" s="219">
        <f t="shared" ref="BT270:BT276" si="1968">(BE269*pAIDS_ART1ear_AIDS_LTFU_2004_2012)+(BT269*pAIDS_LTFU_2004_2012)</f>
        <v>0</v>
      </c>
      <c r="BU270" s="219">
        <f t="shared" ref="BU270:BU276" si="1969">(BF269*pAIDS_ART1late_AIDS_LTFU_2004_2012)+(BU269*pAIDS_LTFU_2004_2012)</f>
        <v>0</v>
      </c>
      <c r="BV270" s="219">
        <f t="shared" ref="BV270:BV276" si="1970">(BO269*pInt_LTFU_AIDS_LTFU_2004_2012)+(BV269*pAIDS_LTFU_2004_2012)</f>
        <v>0</v>
      </c>
      <c r="BW270" s="219">
        <f t="shared" ref="BW270:BW276" si="1971">(BG269*pAIDS_ART2_AIDS_LTFU_2004_2012)+(BW269*pAIDS_LTFU_2004_2012)</f>
        <v>0</v>
      </c>
      <c r="BX270" s="220">
        <f t="shared" ref="BX270:BX276" si="1972">(BP269*pInt_LTFU_AIDS_LTFU_2004_2012)+(BX269*pAIDS_LTFU_2004_2012)</f>
        <v>0</v>
      </c>
      <c r="BY270" s="195"/>
      <c r="BZ270" s="66">
        <v>2</v>
      </c>
      <c r="CA270" s="66">
        <v>2006</v>
      </c>
      <c r="CB270" s="218">
        <f>pAsympt_NoCare_Asympt_Dead_2004_2006*AS269</f>
        <v>0</v>
      </c>
      <c r="CC270" s="218">
        <f t="shared" si="1941"/>
        <v>0</v>
      </c>
      <c r="CD270" s="73">
        <f t="shared" si="1942"/>
        <v>0</v>
      </c>
      <c r="CE270" s="73">
        <f>pInt_NoCare_Int_Dead_2004_2006*AW269</f>
        <v>0</v>
      </c>
      <c r="CF270" s="73">
        <f t="shared" si="1943"/>
        <v>0</v>
      </c>
      <c r="CG270" s="73">
        <f t="shared" si="1944"/>
        <v>0</v>
      </c>
      <c r="CH270" s="73">
        <f t="shared" si="1945"/>
        <v>0</v>
      </c>
      <c r="CI270" s="73">
        <f t="shared" si="1946"/>
        <v>0</v>
      </c>
      <c r="CJ270" s="73">
        <f t="shared" si="1947"/>
        <v>0</v>
      </c>
      <c r="CK270" s="73">
        <f t="shared" si="1948"/>
        <v>0</v>
      </c>
      <c r="CL270" s="73">
        <f t="shared" si="1949"/>
        <v>0</v>
      </c>
      <c r="CM270" s="73">
        <f t="shared" si="1950"/>
        <v>0</v>
      </c>
      <c r="CN270" s="73">
        <f t="shared" si="1951"/>
        <v>0</v>
      </c>
      <c r="CO270" s="73">
        <f t="shared" si="1952"/>
        <v>0</v>
      </c>
      <c r="CP270" s="73">
        <f t="shared" si="1953"/>
        <v>0</v>
      </c>
      <c r="CQ270" s="73">
        <f t="shared" si="1954"/>
        <v>0</v>
      </c>
      <c r="CR270" s="73">
        <f t="shared" si="1955"/>
        <v>0</v>
      </c>
      <c r="CS270" s="73">
        <f t="shared" si="1956"/>
        <v>0</v>
      </c>
      <c r="CT270" s="73">
        <f t="shared" si="1957"/>
        <v>0</v>
      </c>
      <c r="CU270" s="73">
        <f t="shared" si="1958"/>
        <v>0</v>
      </c>
      <c r="CV270" s="73">
        <f t="shared" si="1959"/>
        <v>0</v>
      </c>
      <c r="CW270" s="73">
        <f t="shared" si="1960"/>
        <v>0</v>
      </c>
      <c r="CX270" s="73">
        <f t="shared" si="1961"/>
        <v>0</v>
      </c>
      <c r="CY270" s="73">
        <f t="shared" si="1962"/>
        <v>0</v>
      </c>
      <c r="CZ270" s="190"/>
      <c r="DA270" s="66">
        <v>2006</v>
      </c>
      <c r="DB270" s="218">
        <f t="shared" si="1931"/>
        <v>0</v>
      </c>
      <c r="DC270" s="218">
        <f t="shared" si="1932"/>
        <v>0</v>
      </c>
      <c r="DD270" s="73">
        <f t="shared" si="1933"/>
        <v>0</v>
      </c>
      <c r="DE270" s="73">
        <f t="shared" si="1934"/>
        <v>0</v>
      </c>
      <c r="DF270" s="73">
        <f t="shared" si="1935"/>
        <v>0</v>
      </c>
      <c r="DG270" s="73">
        <f t="shared" si="1936"/>
        <v>0</v>
      </c>
      <c r="DH270" s="72" t="e">
        <f t="shared" si="1963"/>
        <v>#DIV/0!</v>
      </c>
      <c r="DI270" s="72" t="e">
        <f t="shared" si="1964"/>
        <v>#DIV/0!</v>
      </c>
      <c r="DJ270" s="73">
        <f>SUM(AV268:AV270,BB268:BB270,BI268:BI270)</f>
        <v>0</v>
      </c>
      <c r="DK270" s="73">
        <v>0</v>
      </c>
      <c r="DL270" s="190"/>
    </row>
    <row r="271" spans="22:116" x14ac:dyDescent="0.25">
      <c r="V271" s="13"/>
      <c r="W271" s="66">
        <v>3</v>
      </c>
      <c r="X271" s="66">
        <v>2007</v>
      </c>
      <c r="Y271" s="69">
        <v>0</v>
      </c>
      <c r="Z271" s="69">
        <v>0</v>
      </c>
      <c r="AA271" s="69">
        <v>0</v>
      </c>
      <c r="AB271" s="69">
        <v>0</v>
      </c>
      <c r="AC271" s="69">
        <v>0</v>
      </c>
      <c r="AD271" s="69">
        <v>0</v>
      </c>
      <c r="AE271" s="69">
        <v>0</v>
      </c>
      <c r="AF271" s="69">
        <v>0</v>
      </c>
      <c r="AG271" s="69">
        <v>0</v>
      </c>
      <c r="AH271" s="69">
        <v>0</v>
      </c>
      <c r="AI271" s="69">
        <v>0</v>
      </c>
      <c r="AJ271" s="69">
        <v>0</v>
      </c>
      <c r="AK271" s="69">
        <v>0</v>
      </c>
      <c r="AL271" s="69">
        <v>0</v>
      </c>
      <c r="AM271" s="69">
        <v>0</v>
      </c>
      <c r="AN271" s="69">
        <v>0</v>
      </c>
      <c r="AO271" s="69">
        <v>0</v>
      </c>
      <c r="AP271" s="190"/>
      <c r="AQ271" s="66">
        <v>3</v>
      </c>
      <c r="AR271" s="66">
        <v>2007</v>
      </c>
      <c r="AS271" s="215">
        <f t="shared" si="1914"/>
        <v>0</v>
      </c>
      <c r="AT271" s="215">
        <f t="shared" si="1915"/>
        <v>0</v>
      </c>
      <c r="AU271" s="215">
        <f t="shared" si="1916"/>
        <v>0</v>
      </c>
      <c r="AV271" s="215">
        <f t="shared" si="1917"/>
        <v>0</v>
      </c>
      <c r="AW271" s="215">
        <f t="shared" si="1918"/>
        <v>0</v>
      </c>
      <c r="AX271" s="215">
        <f t="shared" si="1919"/>
        <v>0</v>
      </c>
      <c r="AY271" s="215">
        <f t="shared" si="1920"/>
        <v>0</v>
      </c>
      <c r="AZ271" s="215">
        <f t="shared" si="1921"/>
        <v>0</v>
      </c>
      <c r="BA271" s="215">
        <f t="shared" si="1922"/>
        <v>0</v>
      </c>
      <c r="BB271" s="215">
        <f t="shared" si="1923"/>
        <v>0</v>
      </c>
      <c r="BC271" s="215">
        <f t="shared" si="1924"/>
        <v>0</v>
      </c>
      <c r="BD271" s="215">
        <f t="shared" si="1925"/>
        <v>0</v>
      </c>
      <c r="BE271" s="215">
        <f t="shared" si="1926"/>
        <v>0</v>
      </c>
      <c r="BF271" s="215">
        <f t="shared" si="1927"/>
        <v>0</v>
      </c>
      <c r="BG271" s="215">
        <f t="shared" si="1928"/>
        <v>0</v>
      </c>
      <c r="BH271" s="215">
        <f t="shared" si="1929"/>
        <v>0</v>
      </c>
      <c r="BI271" s="215">
        <f t="shared" si="1930"/>
        <v>0</v>
      </c>
      <c r="BJ271" s="195"/>
      <c r="BK271" s="66">
        <v>3</v>
      </c>
      <c r="BL271" s="66">
        <v>2007</v>
      </c>
      <c r="BM271" s="215">
        <f t="shared" si="1937"/>
        <v>0</v>
      </c>
      <c r="BN271" s="219">
        <f t="shared" si="1938"/>
        <v>0</v>
      </c>
      <c r="BO271" s="219">
        <f t="shared" si="1939"/>
        <v>0</v>
      </c>
      <c r="BP271" s="219">
        <f t="shared" si="1965"/>
        <v>0</v>
      </c>
      <c r="BQ271" s="219">
        <f t="shared" si="1940"/>
        <v>0</v>
      </c>
      <c r="BR271" s="220">
        <f t="shared" si="1966"/>
        <v>0</v>
      </c>
      <c r="BS271" s="219">
        <f t="shared" si="1967"/>
        <v>0</v>
      </c>
      <c r="BT271" s="219">
        <f t="shared" si="1968"/>
        <v>0</v>
      </c>
      <c r="BU271" s="219">
        <f t="shared" si="1969"/>
        <v>0</v>
      </c>
      <c r="BV271" s="219">
        <f t="shared" si="1970"/>
        <v>0</v>
      </c>
      <c r="BW271" s="219">
        <f t="shared" si="1971"/>
        <v>0</v>
      </c>
      <c r="BX271" s="220">
        <f t="shared" si="1972"/>
        <v>0</v>
      </c>
      <c r="BY271" s="195"/>
      <c r="BZ271" s="66">
        <v>3</v>
      </c>
      <c r="CA271" s="66">
        <v>2007</v>
      </c>
      <c r="CB271" s="218">
        <f>pAsympt_NoCare_Asympt_Dead_2007_2009*AS270</f>
        <v>0</v>
      </c>
      <c r="CC271" s="218">
        <f t="shared" si="1941"/>
        <v>0</v>
      </c>
      <c r="CD271" s="73">
        <f t="shared" si="1942"/>
        <v>0</v>
      </c>
      <c r="CE271" s="73">
        <f>pInt_NoCare_Int_Dead_2007_2009*AW270</f>
        <v>0</v>
      </c>
      <c r="CF271" s="73">
        <f t="shared" si="1943"/>
        <v>0</v>
      </c>
      <c r="CG271" s="73">
        <f t="shared" si="1944"/>
        <v>0</v>
      </c>
      <c r="CH271" s="73">
        <f t="shared" si="1945"/>
        <v>0</v>
      </c>
      <c r="CI271" s="73">
        <f t="shared" si="1946"/>
        <v>0</v>
      </c>
      <c r="CJ271" s="73">
        <f t="shared" si="1947"/>
        <v>0</v>
      </c>
      <c r="CK271" s="73">
        <f t="shared" si="1948"/>
        <v>0</v>
      </c>
      <c r="CL271" s="73">
        <f t="shared" si="1949"/>
        <v>0</v>
      </c>
      <c r="CM271" s="73">
        <f>pAIDS_NoCare_AIDS_Dead_2007_2009*BC270</f>
        <v>0</v>
      </c>
      <c r="CN271" s="73">
        <f t="shared" si="1951"/>
        <v>0</v>
      </c>
      <c r="CO271" s="73">
        <f t="shared" si="1952"/>
        <v>0</v>
      </c>
      <c r="CP271" s="73">
        <f t="shared" si="1953"/>
        <v>0</v>
      </c>
      <c r="CQ271" s="73">
        <f t="shared" si="1954"/>
        <v>0</v>
      </c>
      <c r="CR271" s="73">
        <f t="shared" si="1955"/>
        <v>0</v>
      </c>
      <c r="CS271" s="73">
        <f t="shared" si="1956"/>
        <v>0</v>
      </c>
      <c r="CT271" s="73">
        <f t="shared" si="1957"/>
        <v>0</v>
      </c>
      <c r="CU271" s="73">
        <f t="shared" si="1958"/>
        <v>0</v>
      </c>
      <c r="CV271" s="73">
        <f t="shared" si="1959"/>
        <v>0</v>
      </c>
      <c r="CW271" s="73">
        <f t="shared" si="1960"/>
        <v>0</v>
      </c>
      <c r="CX271" s="73">
        <f t="shared" si="1961"/>
        <v>0</v>
      </c>
      <c r="CY271" s="73">
        <f t="shared" si="1962"/>
        <v>0</v>
      </c>
      <c r="CZ271" s="190"/>
      <c r="DA271" s="66">
        <v>2007</v>
      </c>
      <c r="DB271" s="218">
        <f t="shared" si="1931"/>
        <v>0</v>
      </c>
      <c r="DC271" s="218">
        <f t="shared" si="1932"/>
        <v>0</v>
      </c>
      <c r="DD271" s="73">
        <f t="shared" si="1933"/>
        <v>0</v>
      </c>
      <c r="DE271" s="73">
        <f t="shared" si="1934"/>
        <v>0</v>
      </c>
      <c r="DF271" s="73">
        <f t="shared" si="1935"/>
        <v>0</v>
      </c>
      <c r="DG271" s="73">
        <f t="shared" si="1936"/>
        <v>0</v>
      </c>
      <c r="DH271" s="72" t="e">
        <f t="shared" si="1963"/>
        <v>#DIV/0!</v>
      </c>
      <c r="DI271" s="72" t="e">
        <f t="shared" si="1964"/>
        <v>#DIV/0!</v>
      </c>
      <c r="DJ271" s="73">
        <f>SUM(AV268:AV271,BB268:BB271,BI268:BI271)</f>
        <v>0</v>
      </c>
      <c r="DK271" s="218">
        <v>0</v>
      </c>
      <c r="DL271" s="190"/>
    </row>
    <row r="272" spans="22:116" x14ac:dyDescent="0.25">
      <c r="V272" s="13"/>
      <c r="W272" s="66">
        <v>4</v>
      </c>
      <c r="X272" s="66">
        <v>2008</v>
      </c>
      <c r="Y272" s="69">
        <v>0</v>
      </c>
      <c r="Z272" s="69">
        <v>0</v>
      </c>
      <c r="AA272" s="69">
        <v>0</v>
      </c>
      <c r="AB272" s="69">
        <v>0</v>
      </c>
      <c r="AC272" s="69">
        <v>0</v>
      </c>
      <c r="AD272" s="69">
        <v>0</v>
      </c>
      <c r="AE272" s="69">
        <v>0</v>
      </c>
      <c r="AF272" s="69">
        <v>0</v>
      </c>
      <c r="AG272" s="69">
        <v>0</v>
      </c>
      <c r="AH272" s="69">
        <v>0</v>
      </c>
      <c r="AI272" s="69">
        <v>0</v>
      </c>
      <c r="AJ272" s="69">
        <v>0</v>
      </c>
      <c r="AK272" s="69">
        <v>0</v>
      </c>
      <c r="AL272" s="69">
        <v>0</v>
      </c>
      <c r="AM272" s="69">
        <v>0</v>
      </c>
      <c r="AN272" s="69">
        <v>0</v>
      </c>
      <c r="AO272" s="69">
        <v>0</v>
      </c>
      <c r="AP272" s="190"/>
      <c r="AQ272" s="66">
        <v>4</v>
      </c>
      <c r="AR272" s="66">
        <v>2008</v>
      </c>
      <c r="AS272" s="215">
        <f t="shared" si="1914"/>
        <v>0</v>
      </c>
      <c r="AT272" s="215">
        <f t="shared" si="1915"/>
        <v>0</v>
      </c>
      <c r="AU272" s="215">
        <f t="shared" si="1916"/>
        <v>0</v>
      </c>
      <c r="AV272" s="215">
        <f t="shared" si="1917"/>
        <v>0</v>
      </c>
      <c r="AW272" s="215">
        <f t="shared" si="1918"/>
        <v>0</v>
      </c>
      <c r="AX272" s="215">
        <f t="shared" si="1919"/>
        <v>0</v>
      </c>
      <c r="AY272" s="215">
        <f t="shared" si="1920"/>
        <v>0</v>
      </c>
      <c r="AZ272" s="215">
        <f t="shared" si="1921"/>
        <v>0</v>
      </c>
      <c r="BA272" s="215">
        <f t="shared" si="1922"/>
        <v>0</v>
      </c>
      <c r="BB272" s="215">
        <f t="shared" si="1923"/>
        <v>0</v>
      </c>
      <c r="BC272" s="215">
        <f t="shared" si="1924"/>
        <v>0</v>
      </c>
      <c r="BD272" s="215">
        <f t="shared" si="1925"/>
        <v>0</v>
      </c>
      <c r="BE272" s="215">
        <f t="shared" si="1926"/>
        <v>0</v>
      </c>
      <c r="BF272" s="215">
        <f t="shared" si="1927"/>
        <v>0</v>
      </c>
      <c r="BG272" s="215">
        <f t="shared" si="1928"/>
        <v>0</v>
      </c>
      <c r="BH272" s="215">
        <f t="shared" si="1929"/>
        <v>0</v>
      </c>
      <c r="BI272" s="215">
        <f t="shared" si="1930"/>
        <v>0</v>
      </c>
      <c r="BJ272" s="195"/>
      <c r="BK272" s="66">
        <v>4</v>
      </c>
      <c r="BL272" s="66">
        <v>2008</v>
      </c>
      <c r="BM272" s="215">
        <f t="shared" si="1937"/>
        <v>0</v>
      </c>
      <c r="BN272" s="219">
        <f t="shared" si="1938"/>
        <v>0</v>
      </c>
      <c r="BO272" s="219">
        <f t="shared" si="1939"/>
        <v>0</v>
      </c>
      <c r="BP272" s="219">
        <f t="shared" si="1965"/>
        <v>0</v>
      </c>
      <c r="BQ272" s="219">
        <f t="shared" si="1940"/>
        <v>0</v>
      </c>
      <c r="BR272" s="220">
        <f t="shared" si="1966"/>
        <v>0</v>
      </c>
      <c r="BS272" s="219">
        <f t="shared" si="1967"/>
        <v>0</v>
      </c>
      <c r="BT272" s="219">
        <f t="shared" si="1968"/>
        <v>0</v>
      </c>
      <c r="BU272" s="219">
        <f t="shared" si="1969"/>
        <v>0</v>
      </c>
      <c r="BV272" s="219">
        <f t="shared" si="1970"/>
        <v>0</v>
      </c>
      <c r="BW272" s="219">
        <f t="shared" si="1971"/>
        <v>0</v>
      </c>
      <c r="BX272" s="220">
        <f t="shared" si="1972"/>
        <v>0</v>
      </c>
      <c r="BY272" s="195"/>
      <c r="BZ272" s="66">
        <v>4</v>
      </c>
      <c r="CA272" s="66">
        <v>2008</v>
      </c>
      <c r="CB272" s="218">
        <f>pAsympt_NoCare_Asympt_Dead_2007_2009*AS271</f>
        <v>0</v>
      </c>
      <c r="CC272" s="218">
        <f t="shared" si="1941"/>
        <v>0</v>
      </c>
      <c r="CD272" s="73">
        <f t="shared" si="1942"/>
        <v>0</v>
      </c>
      <c r="CE272" s="73">
        <f>pInt_NoCare_Int_Dead_2007_2009*AW271</f>
        <v>0</v>
      </c>
      <c r="CF272" s="73">
        <f t="shared" si="1943"/>
        <v>0</v>
      </c>
      <c r="CG272" s="73">
        <f t="shared" si="1944"/>
        <v>0</v>
      </c>
      <c r="CH272" s="73">
        <f t="shared" si="1945"/>
        <v>0</v>
      </c>
      <c r="CI272" s="73">
        <f t="shared" si="1946"/>
        <v>0</v>
      </c>
      <c r="CJ272" s="73">
        <f t="shared" si="1947"/>
        <v>0</v>
      </c>
      <c r="CK272" s="73">
        <f t="shared" si="1948"/>
        <v>0</v>
      </c>
      <c r="CL272" s="73">
        <f t="shared" si="1949"/>
        <v>0</v>
      </c>
      <c r="CM272" s="73">
        <f>pAIDS_NoCare_AIDS_Dead_2007_2009*BC271</f>
        <v>0</v>
      </c>
      <c r="CN272" s="73">
        <f t="shared" si="1951"/>
        <v>0</v>
      </c>
      <c r="CO272" s="73">
        <f t="shared" si="1952"/>
        <v>0</v>
      </c>
      <c r="CP272" s="73">
        <f t="shared" si="1953"/>
        <v>0</v>
      </c>
      <c r="CQ272" s="73">
        <f t="shared" si="1954"/>
        <v>0</v>
      </c>
      <c r="CR272" s="73">
        <f t="shared" si="1955"/>
        <v>0</v>
      </c>
      <c r="CS272" s="73">
        <f t="shared" si="1956"/>
        <v>0</v>
      </c>
      <c r="CT272" s="73">
        <f t="shared" si="1957"/>
        <v>0</v>
      </c>
      <c r="CU272" s="73">
        <f t="shared" si="1958"/>
        <v>0</v>
      </c>
      <c r="CV272" s="73">
        <f t="shared" si="1959"/>
        <v>0</v>
      </c>
      <c r="CW272" s="73">
        <f t="shared" si="1960"/>
        <v>0</v>
      </c>
      <c r="CX272" s="73">
        <f t="shared" si="1961"/>
        <v>0</v>
      </c>
      <c r="CY272" s="73">
        <f t="shared" si="1962"/>
        <v>0</v>
      </c>
      <c r="CZ272" s="190"/>
      <c r="DA272" s="66">
        <v>2008</v>
      </c>
      <c r="DB272" s="218">
        <f t="shared" si="1931"/>
        <v>0</v>
      </c>
      <c r="DC272" s="218">
        <f t="shared" si="1932"/>
        <v>0</v>
      </c>
      <c r="DD272" s="73">
        <f t="shared" si="1933"/>
        <v>0</v>
      </c>
      <c r="DE272" s="73">
        <f t="shared" si="1934"/>
        <v>0</v>
      </c>
      <c r="DF272" s="73">
        <f t="shared" si="1935"/>
        <v>0</v>
      </c>
      <c r="DG272" s="73">
        <f t="shared" si="1936"/>
        <v>0</v>
      </c>
      <c r="DH272" s="72" t="e">
        <f t="shared" si="1963"/>
        <v>#DIV/0!</v>
      </c>
      <c r="DI272" s="72" t="e">
        <f t="shared" si="1964"/>
        <v>#DIV/0!</v>
      </c>
      <c r="DJ272" s="73">
        <f>SUM(AV268:AV272,BB268:BB272,BI268:BI272)</f>
        <v>0</v>
      </c>
      <c r="DK272" s="218">
        <v>0</v>
      </c>
      <c r="DL272" s="190"/>
    </row>
    <row r="273" spans="22:116" x14ac:dyDescent="0.25">
      <c r="V273" s="13"/>
      <c r="W273" s="66">
        <v>5</v>
      </c>
      <c r="X273" s="66">
        <v>2009</v>
      </c>
      <c r="Y273" s="69">
        <v>0</v>
      </c>
      <c r="Z273" s="69">
        <v>0</v>
      </c>
      <c r="AA273" s="69">
        <v>0</v>
      </c>
      <c r="AB273" s="69">
        <v>0</v>
      </c>
      <c r="AC273" s="69">
        <v>0</v>
      </c>
      <c r="AD273" s="69">
        <v>0</v>
      </c>
      <c r="AE273" s="69">
        <v>0</v>
      </c>
      <c r="AF273" s="69">
        <v>0</v>
      </c>
      <c r="AG273" s="69">
        <v>0</v>
      </c>
      <c r="AH273" s="69">
        <v>0</v>
      </c>
      <c r="AI273" s="69">
        <v>0</v>
      </c>
      <c r="AJ273" s="69">
        <v>0</v>
      </c>
      <c r="AK273" s="69">
        <v>0</v>
      </c>
      <c r="AL273" s="69">
        <v>0</v>
      </c>
      <c r="AM273" s="69">
        <v>0</v>
      </c>
      <c r="AN273" s="69">
        <v>0</v>
      </c>
      <c r="AO273" s="69">
        <v>0</v>
      </c>
      <c r="AP273" s="190"/>
      <c r="AQ273" s="66">
        <v>5</v>
      </c>
      <c r="AR273" s="66">
        <v>2009</v>
      </c>
      <c r="AS273" s="215">
        <f t="shared" si="1914"/>
        <v>0</v>
      </c>
      <c r="AT273" s="215">
        <f t="shared" si="1915"/>
        <v>0</v>
      </c>
      <c r="AU273" s="215">
        <f t="shared" si="1916"/>
        <v>0</v>
      </c>
      <c r="AV273" s="215">
        <f t="shared" si="1917"/>
        <v>0</v>
      </c>
      <c r="AW273" s="215">
        <f t="shared" si="1918"/>
        <v>0</v>
      </c>
      <c r="AX273" s="215">
        <f t="shared" si="1919"/>
        <v>0</v>
      </c>
      <c r="AY273" s="215">
        <f t="shared" si="1920"/>
        <v>0</v>
      </c>
      <c r="AZ273" s="215">
        <f t="shared" si="1921"/>
        <v>0</v>
      </c>
      <c r="BA273" s="215">
        <f t="shared" si="1922"/>
        <v>0</v>
      </c>
      <c r="BB273" s="215">
        <f t="shared" si="1923"/>
        <v>0</v>
      </c>
      <c r="BC273" s="215">
        <f t="shared" si="1924"/>
        <v>0</v>
      </c>
      <c r="BD273" s="215">
        <f t="shared" si="1925"/>
        <v>0</v>
      </c>
      <c r="BE273" s="215">
        <f t="shared" si="1926"/>
        <v>0</v>
      </c>
      <c r="BF273" s="215">
        <f t="shared" si="1927"/>
        <v>0</v>
      </c>
      <c r="BG273" s="215">
        <f t="shared" si="1928"/>
        <v>0</v>
      </c>
      <c r="BH273" s="215">
        <f t="shared" si="1929"/>
        <v>0</v>
      </c>
      <c r="BI273" s="215">
        <f t="shared" si="1930"/>
        <v>0</v>
      </c>
      <c r="BJ273" s="195"/>
      <c r="BK273" s="66">
        <v>5</v>
      </c>
      <c r="BL273" s="66">
        <v>2009</v>
      </c>
      <c r="BM273" s="215">
        <f t="shared" si="1937"/>
        <v>0</v>
      </c>
      <c r="BN273" s="219">
        <f t="shared" si="1938"/>
        <v>0</v>
      </c>
      <c r="BO273" s="219">
        <f t="shared" si="1939"/>
        <v>0</v>
      </c>
      <c r="BP273" s="219">
        <f t="shared" si="1965"/>
        <v>0</v>
      </c>
      <c r="BQ273" s="219">
        <f t="shared" si="1940"/>
        <v>0</v>
      </c>
      <c r="BR273" s="220">
        <f t="shared" si="1966"/>
        <v>0</v>
      </c>
      <c r="BS273" s="219">
        <f t="shared" si="1967"/>
        <v>0</v>
      </c>
      <c r="BT273" s="219">
        <f t="shared" si="1968"/>
        <v>0</v>
      </c>
      <c r="BU273" s="219">
        <f t="shared" si="1969"/>
        <v>0</v>
      </c>
      <c r="BV273" s="219">
        <f t="shared" si="1970"/>
        <v>0</v>
      </c>
      <c r="BW273" s="219">
        <f t="shared" si="1971"/>
        <v>0</v>
      </c>
      <c r="BX273" s="220">
        <f t="shared" si="1972"/>
        <v>0</v>
      </c>
      <c r="BY273" s="195"/>
      <c r="BZ273" s="66">
        <v>5</v>
      </c>
      <c r="CA273" s="66">
        <v>2009</v>
      </c>
      <c r="CB273" s="218">
        <f>pAsympt_NoCare_Asympt_Dead_2007_2009*AS272</f>
        <v>0</v>
      </c>
      <c r="CC273" s="218">
        <f t="shared" si="1941"/>
        <v>0</v>
      </c>
      <c r="CD273" s="73">
        <f t="shared" si="1942"/>
        <v>0</v>
      </c>
      <c r="CE273" s="73">
        <f>pInt_NoCare_Int_Dead_2007_2009*AW272</f>
        <v>0</v>
      </c>
      <c r="CF273" s="73">
        <f t="shared" si="1943"/>
        <v>0</v>
      </c>
      <c r="CG273" s="73">
        <f t="shared" si="1944"/>
        <v>0</v>
      </c>
      <c r="CH273" s="73">
        <f t="shared" si="1945"/>
        <v>0</v>
      </c>
      <c r="CI273" s="73">
        <f t="shared" si="1946"/>
        <v>0</v>
      </c>
      <c r="CJ273" s="73">
        <f t="shared" si="1947"/>
        <v>0</v>
      </c>
      <c r="CK273" s="73">
        <f t="shared" si="1948"/>
        <v>0</v>
      </c>
      <c r="CL273" s="73">
        <f t="shared" si="1949"/>
        <v>0</v>
      </c>
      <c r="CM273" s="73">
        <f>pAIDS_NoCare_AIDS_Dead_2007_2009*BC272</f>
        <v>0</v>
      </c>
      <c r="CN273" s="73">
        <f t="shared" si="1951"/>
        <v>0</v>
      </c>
      <c r="CO273" s="73">
        <f t="shared" si="1952"/>
        <v>0</v>
      </c>
      <c r="CP273" s="73">
        <f t="shared" si="1953"/>
        <v>0</v>
      </c>
      <c r="CQ273" s="73">
        <f t="shared" si="1954"/>
        <v>0</v>
      </c>
      <c r="CR273" s="73">
        <f t="shared" si="1955"/>
        <v>0</v>
      </c>
      <c r="CS273" s="73">
        <f t="shared" si="1956"/>
        <v>0</v>
      </c>
      <c r="CT273" s="73">
        <f t="shared" si="1957"/>
        <v>0</v>
      </c>
      <c r="CU273" s="73">
        <f t="shared" si="1958"/>
        <v>0</v>
      </c>
      <c r="CV273" s="73">
        <f t="shared" si="1959"/>
        <v>0</v>
      </c>
      <c r="CW273" s="73">
        <f t="shared" si="1960"/>
        <v>0</v>
      </c>
      <c r="CX273" s="73">
        <f t="shared" si="1961"/>
        <v>0</v>
      </c>
      <c r="CY273" s="73">
        <f t="shared" si="1962"/>
        <v>0</v>
      </c>
      <c r="CZ273" s="190"/>
      <c r="DA273" s="66">
        <v>2009</v>
      </c>
      <c r="DB273" s="218">
        <f t="shared" si="1931"/>
        <v>0</v>
      </c>
      <c r="DC273" s="218">
        <f t="shared" si="1932"/>
        <v>0</v>
      </c>
      <c r="DD273" s="73">
        <f t="shared" si="1933"/>
        <v>0</v>
      </c>
      <c r="DE273" s="73">
        <f t="shared" si="1934"/>
        <v>0</v>
      </c>
      <c r="DF273" s="73">
        <f t="shared" si="1935"/>
        <v>0</v>
      </c>
      <c r="DG273" s="73">
        <f t="shared" si="1936"/>
        <v>0</v>
      </c>
      <c r="DH273" s="72" t="e">
        <f t="shared" si="1963"/>
        <v>#DIV/0!</v>
      </c>
      <c r="DI273" s="72" t="e">
        <f t="shared" si="1964"/>
        <v>#DIV/0!</v>
      </c>
      <c r="DJ273" s="73">
        <f>SUM(AV268:AV273,BB268:BB273,BI268:BI273)</f>
        <v>0</v>
      </c>
      <c r="DK273" s="218">
        <v>0</v>
      </c>
      <c r="DL273" s="190"/>
    </row>
    <row r="274" spans="22:116" x14ac:dyDescent="0.25">
      <c r="V274" s="13"/>
      <c r="W274" s="66">
        <v>6</v>
      </c>
      <c r="X274" s="66">
        <v>2010</v>
      </c>
      <c r="Y274" s="69">
        <v>0</v>
      </c>
      <c r="Z274" s="69">
        <v>0</v>
      </c>
      <c r="AA274" s="69">
        <v>0</v>
      </c>
      <c r="AB274" s="69">
        <v>0</v>
      </c>
      <c r="AC274" s="69">
        <v>0</v>
      </c>
      <c r="AD274" s="69">
        <v>0</v>
      </c>
      <c r="AE274" s="69">
        <v>0</v>
      </c>
      <c r="AF274" s="69">
        <v>0</v>
      </c>
      <c r="AG274" s="69">
        <v>0</v>
      </c>
      <c r="AH274" s="69">
        <v>0</v>
      </c>
      <c r="AI274" s="69">
        <v>0</v>
      </c>
      <c r="AJ274" s="69">
        <v>0</v>
      </c>
      <c r="AK274" s="69">
        <v>0</v>
      </c>
      <c r="AL274" s="69">
        <v>0</v>
      </c>
      <c r="AM274" s="69">
        <v>0</v>
      </c>
      <c r="AN274" s="69">
        <v>0</v>
      </c>
      <c r="AO274" s="69">
        <v>0</v>
      </c>
      <c r="AP274" s="190"/>
      <c r="AQ274" s="66">
        <v>6</v>
      </c>
      <c r="AR274" s="66">
        <v>2010</v>
      </c>
      <c r="AS274" s="215">
        <f t="shared" si="1914"/>
        <v>0</v>
      </c>
      <c r="AT274" s="215">
        <f t="shared" si="1915"/>
        <v>0</v>
      </c>
      <c r="AU274" s="215">
        <f t="shared" si="1916"/>
        <v>0</v>
      </c>
      <c r="AV274" s="215">
        <f t="shared" si="1917"/>
        <v>0</v>
      </c>
      <c r="AW274" s="215">
        <f t="shared" si="1918"/>
        <v>0</v>
      </c>
      <c r="AX274" s="215">
        <f t="shared" si="1919"/>
        <v>0</v>
      </c>
      <c r="AY274" s="215">
        <f t="shared" si="1920"/>
        <v>0</v>
      </c>
      <c r="AZ274" s="215">
        <f t="shared" si="1921"/>
        <v>0</v>
      </c>
      <c r="BA274" s="215">
        <f t="shared" si="1922"/>
        <v>0</v>
      </c>
      <c r="BB274" s="215">
        <f t="shared" si="1923"/>
        <v>0</v>
      </c>
      <c r="BC274" s="215">
        <f t="shared" si="1924"/>
        <v>0</v>
      </c>
      <c r="BD274" s="215">
        <f t="shared" si="1925"/>
        <v>0</v>
      </c>
      <c r="BE274" s="215">
        <f t="shared" si="1926"/>
        <v>0</v>
      </c>
      <c r="BF274" s="215">
        <f t="shared" si="1927"/>
        <v>0</v>
      </c>
      <c r="BG274" s="215">
        <f t="shared" si="1928"/>
        <v>0</v>
      </c>
      <c r="BH274" s="215">
        <f t="shared" si="1929"/>
        <v>0</v>
      </c>
      <c r="BI274" s="215">
        <f t="shared" si="1930"/>
        <v>0</v>
      </c>
      <c r="BJ274" s="195"/>
      <c r="BK274" s="66">
        <v>6</v>
      </c>
      <c r="BL274" s="66">
        <v>2010</v>
      </c>
      <c r="BM274" s="215">
        <f t="shared" si="1937"/>
        <v>0</v>
      </c>
      <c r="BN274" s="219">
        <f t="shared" si="1938"/>
        <v>0</v>
      </c>
      <c r="BO274" s="219">
        <f t="shared" si="1939"/>
        <v>0</v>
      </c>
      <c r="BP274" s="219">
        <f t="shared" si="1965"/>
        <v>0</v>
      </c>
      <c r="BQ274" s="219">
        <f t="shared" si="1940"/>
        <v>0</v>
      </c>
      <c r="BR274" s="220">
        <f t="shared" si="1966"/>
        <v>0</v>
      </c>
      <c r="BS274" s="219">
        <f t="shared" si="1967"/>
        <v>0</v>
      </c>
      <c r="BT274" s="219">
        <f t="shared" si="1968"/>
        <v>0</v>
      </c>
      <c r="BU274" s="219">
        <f t="shared" si="1969"/>
        <v>0</v>
      </c>
      <c r="BV274" s="219">
        <f t="shared" si="1970"/>
        <v>0</v>
      </c>
      <c r="BW274" s="219">
        <f t="shared" si="1971"/>
        <v>0</v>
      </c>
      <c r="BX274" s="220">
        <f t="shared" si="1972"/>
        <v>0</v>
      </c>
      <c r="BY274" s="195"/>
      <c r="BZ274" s="66">
        <v>6</v>
      </c>
      <c r="CA274" s="66">
        <v>2010</v>
      </c>
      <c r="CB274" s="218">
        <f>pAsympt_NoCare_Asympt_Dead_2010_2012*AS273</f>
        <v>0</v>
      </c>
      <c r="CC274" s="218">
        <f t="shared" si="1941"/>
        <v>0</v>
      </c>
      <c r="CD274" s="73">
        <f t="shared" si="1942"/>
        <v>0</v>
      </c>
      <c r="CE274" s="73">
        <f>pInt_NoCare_Int_Dead_2010_2012*AW273</f>
        <v>0</v>
      </c>
      <c r="CF274" s="73">
        <f t="shared" si="1943"/>
        <v>0</v>
      </c>
      <c r="CG274" s="73">
        <f t="shared" si="1944"/>
        <v>0</v>
      </c>
      <c r="CH274" s="73">
        <f t="shared" si="1945"/>
        <v>0</v>
      </c>
      <c r="CI274" s="73">
        <f t="shared" si="1946"/>
        <v>0</v>
      </c>
      <c r="CJ274" s="73">
        <f t="shared" si="1947"/>
        <v>0</v>
      </c>
      <c r="CK274" s="73">
        <f t="shared" si="1948"/>
        <v>0</v>
      </c>
      <c r="CL274" s="73">
        <f t="shared" si="1949"/>
        <v>0</v>
      </c>
      <c r="CM274" s="73">
        <f>pAIDS_NoCare_AIDS_Dead_2010_2012*BC273</f>
        <v>0</v>
      </c>
      <c r="CN274" s="73">
        <f t="shared" si="1951"/>
        <v>0</v>
      </c>
      <c r="CO274" s="73">
        <f t="shared" si="1952"/>
        <v>0</v>
      </c>
      <c r="CP274" s="73">
        <f t="shared" si="1953"/>
        <v>0</v>
      </c>
      <c r="CQ274" s="73">
        <f t="shared" si="1954"/>
        <v>0</v>
      </c>
      <c r="CR274" s="73">
        <f t="shared" si="1955"/>
        <v>0</v>
      </c>
      <c r="CS274" s="73">
        <f t="shared" si="1956"/>
        <v>0</v>
      </c>
      <c r="CT274" s="73">
        <f t="shared" si="1957"/>
        <v>0</v>
      </c>
      <c r="CU274" s="73">
        <f t="shared" si="1958"/>
        <v>0</v>
      </c>
      <c r="CV274" s="73">
        <f t="shared" si="1959"/>
        <v>0</v>
      </c>
      <c r="CW274" s="73">
        <f t="shared" si="1960"/>
        <v>0</v>
      </c>
      <c r="CX274" s="73">
        <f t="shared" si="1961"/>
        <v>0</v>
      </c>
      <c r="CY274" s="73">
        <f t="shared" si="1962"/>
        <v>0</v>
      </c>
      <c r="CZ274" s="190"/>
      <c r="DA274" s="66">
        <v>2010</v>
      </c>
      <c r="DB274" s="218">
        <f t="shared" si="1931"/>
        <v>0</v>
      </c>
      <c r="DC274" s="218">
        <f t="shared" si="1932"/>
        <v>0</v>
      </c>
      <c r="DD274" s="73">
        <f t="shared" si="1933"/>
        <v>0</v>
      </c>
      <c r="DE274" s="73">
        <f t="shared" si="1934"/>
        <v>0</v>
      </c>
      <c r="DF274" s="73">
        <f t="shared" si="1935"/>
        <v>0</v>
      </c>
      <c r="DG274" s="73">
        <f t="shared" si="1936"/>
        <v>0</v>
      </c>
      <c r="DH274" s="72" t="e">
        <f t="shared" si="1963"/>
        <v>#DIV/0!</v>
      </c>
      <c r="DI274" s="72" t="e">
        <f t="shared" si="1964"/>
        <v>#DIV/0!</v>
      </c>
      <c r="DJ274" s="73">
        <f>SUM(AV268:AV274,BB268:BB274,BI268:BI274)</f>
        <v>0</v>
      </c>
      <c r="DK274" s="218">
        <f>SUM(AV274,BB274,BI274)</f>
        <v>0</v>
      </c>
      <c r="DL274" s="190"/>
    </row>
    <row r="275" spans="22:116" x14ac:dyDescent="0.25">
      <c r="V275" s="13"/>
      <c r="W275" s="66">
        <v>7</v>
      </c>
      <c r="X275" s="66">
        <v>2011</v>
      </c>
      <c r="Y275" s="69">
        <v>0</v>
      </c>
      <c r="Z275" s="69">
        <v>0</v>
      </c>
      <c r="AA275" s="69">
        <v>0</v>
      </c>
      <c r="AB275" s="69">
        <v>0</v>
      </c>
      <c r="AC275" s="69">
        <v>0</v>
      </c>
      <c r="AD275" s="69">
        <v>0</v>
      </c>
      <c r="AE275" s="69">
        <v>0</v>
      </c>
      <c r="AF275" s="69">
        <v>0</v>
      </c>
      <c r="AG275" s="69">
        <v>0</v>
      </c>
      <c r="AH275" s="69">
        <v>0</v>
      </c>
      <c r="AI275" s="69">
        <v>0</v>
      </c>
      <c r="AJ275" s="69">
        <v>0</v>
      </c>
      <c r="AK275" s="69">
        <v>0</v>
      </c>
      <c r="AL275" s="69">
        <v>0</v>
      </c>
      <c r="AM275" s="69">
        <v>0</v>
      </c>
      <c r="AN275" s="69">
        <v>0</v>
      </c>
      <c r="AO275" s="69">
        <v>0</v>
      </c>
      <c r="AP275" s="190"/>
      <c r="AQ275" s="66">
        <v>7</v>
      </c>
      <c r="AR275" s="66">
        <v>2011</v>
      </c>
      <c r="AS275" s="215">
        <f t="shared" si="1914"/>
        <v>0</v>
      </c>
      <c r="AT275" s="215">
        <f t="shared" si="1915"/>
        <v>0</v>
      </c>
      <c r="AU275" s="215">
        <f t="shared" si="1916"/>
        <v>0</v>
      </c>
      <c r="AV275" s="215">
        <f t="shared" si="1917"/>
        <v>0</v>
      </c>
      <c r="AW275" s="215">
        <f t="shared" si="1918"/>
        <v>0</v>
      </c>
      <c r="AX275" s="215">
        <f t="shared" si="1919"/>
        <v>0</v>
      </c>
      <c r="AY275" s="215">
        <f t="shared" si="1920"/>
        <v>0</v>
      </c>
      <c r="AZ275" s="215">
        <f t="shared" si="1921"/>
        <v>0</v>
      </c>
      <c r="BA275" s="215">
        <f t="shared" si="1922"/>
        <v>0</v>
      </c>
      <c r="BB275" s="215">
        <f t="shared" si="1923"/>
        <v>0</v>
      </c>
      <c r="BC275" s="215">
        <f t="shared" si="1924"/>
        <v>0</v>
      </c>
      <c r="BD275" s="215">
        <f t="shared" si="1925"/>
        <v>0</v>
      </c>
      <c r="BE275" s="215">
        <f t="shared" si="1926"/>
        <v>0</v>
      </c>
      <c r="BF275" s="215">
        <f t="shared" si="1927"/>
        <v>0</v>
      </c>
      <c r="BG275" s="215">
        <f t="shared" si="1928"/>
        <v>0</v>
      </c>
      <c r="BH275" s="215">
        <f t="shared" si="1929"/>
        <v>0</v>
      </c>
      <c r="BI275" s="215">
        <f t="shared" si="1930"/>
        <v>0</v>
      </c>
      <c r="BJ275" s="195"/>
      <c r="BK275" s="66">
        <v>7</v>
      </c>
      <c r="BL275" s="66">
        <v>2011</v>
      </c>
      <c r="BM275" s="215">
        <f t="shared" si="1937"/>
        <v>0</v>
      </c>
      <c r="BN275" s="219">
        <f t="shared" si="1938"/>
        <v>0</v>
      </c>
      <c r="BO275" s="219">
        <f t="shared" si="1939"/>
        <v>0</v>
      </c>
      <c r="BP275" s="219">
        <f t="shared" si="1965"/>
        <v>0</v>
      </c>
      <c r="BQ275" s="219">
        <f t="shared" si="1940"/>
        <v>0</v>
      </c>
      <c r="BR275" s="220">
        <f t="shared" si="1966"/>
        <v>0</v>
      </c>
      <c r="BS275" s="219">
        <f t="shared" si="1967"/>
        <v>0</v>
      </c>
      <c r="BT275" s="219">
        <f t="shared" si="1968"/>
        <v>0</v>
      </c>
      <c r="BU275" s="219">
        <f t="shared" si="1969"/>
        <v>0</v>
      </c>
      <c r="BV275" s="219">
        <f t="shared" si="1970"/>
        <v>0</v>
      </c>
      <c r="BW275" s="219">
        <f t="shared" si="1971"/>
        <v>0</v>
      </c>
      <c r="BX275" s="220">
        <f t="shared" si="1972"/>
        <v>0</v>
      </c>
      <c r="BY275" s="195"/>
      <c r="BZ275" s="66">
        <v>7</v>
      </c>
      <c r="CA275" s="66">
        <v>2011</v>
      </c>
      <c r="CB275" s="218">
        <f>pAsympt_NoCare_Asympt_Dead_2010_2012*AS274</f>
        <v>0</v>
      </c>
      <c r="CC275" s="218">
        <f t="shared" si="1941"/>
        <v>0</v>
      </c>
      <c r="CD275" s="73">
        <f t="shared" si="1942"/>
        <v>0</v>
      </c>
      <c r="CE275" s="73">
        <f>pInt_NoCare_Int_Dead_2010_2012*AW274</f>
        <v>0</v>
      </c>
      <c r="CF275" s="73">
        <f t="shared" si="1943"/>
        <v>0</v>
      </c>
      <c r="CG275" s="73">
        <f t="shared" si="1944"/>
        <v>0</v>
      </c>
      <c r="CH275" s="73">
        <f t="shared" si="1945"/>
        <v>0</v>
      </c>
      <c r="CI275" s="73">
        <f t="shared" si="1946"/>
        <v>0</v>
      </c>
      <c r="CJ275" s="73">
        <f t="shared" si="1947"/>
        <v>0</v>
      </c>
      <c r="CK275" s="73">
        <f t="shared" si="1948"/>
        <v>0</v>
      </c>
      <c r="CL275" s="73">
        <f t="shared" si="1949"/>
        <v>0</v>
      </c>
      <c r="CM275" s="73">
        <f>pAIDS_NoCare_AIDS_Dead_2010_2012*BC274</f>
        <v>0</v>
      </c>
      <c r="CN275" s="73">
        <f t="shared" si="1951"/>
        <v>0</v>
      </c>
      <c r="CO275" s="73">
        <f t="shared" si="1952"/>
        <v>0</v>
      </c>
      <c r="CP275" s="73">
        <f t="shared" si="1953"/>
        <v>0</v>
      </c>
      <c r="CQ275" s="73">
        <f t="shared" si="1954"/>
        <v>0</v>
      </c>
      <c r="CR275" s="73">
        <f t="shared" si="1955"/>
        <v>0</v>
      </c>
      <c r="CS275" s="73">
        <f t="shared" si="1956"/>
        <v>0</v>
      </c>
      <c r="CT275" s="73">
        <f t="shared" si="1957"/>
        <v>0</v>
      </c>
      <c r="CU275" s="73">
        <f t="shared" si="1958"/>
        <v>0</v>
      </c>
      <c r="CV275" s="73">
        <f t="shared" si="1959"/>
        <v>0</v>
      </c>
      <c r="CW275" s="73">
        <f t="shared" si="1960"/>
        <v>0</v>
      </c>
      <c r="CX275" s="73">
        <f t="shared" si="1961"/>
        <v>0</v>
      </c>
      <c r="CY275" s="73">
        <f t="shared" si="1962"/>
        <v>0</v>
      </c>
      <c r="CZ275" s="190"/>
      <c r="DA275" s="66">
        <v>2011</v>
      </c>
      <c r="DB275" s="218">
        <f t="shared" si="1931"/>
        <v>0</v>
      </c>
      <c r="DC275" s="218">
        <f t="shared" si="1932"/>
        <v>0</v>
      </c>
      <c r="DD275" s="73">
        <f t="shared" si="1933"/>
        <v>0</v>
      </c>
      <c r="DE275" s="73">
        <f t="shared" si="1934"/>
        <v>0</v>
      </c>
      <c r="DF275" s="73">
        <f t="shared" si="1935"/>
        <v>0</v>
      </c>
      <c r="DG275" s="73">
        <f t="shared" si="1936"/>
        <v>0</v>
      </c>
      <c r="DH275" s="72" t="e">
        <f t="shared" si="1963"/>
        <v>#DIV/0!</v>
      </c>
      <c r="DI275" s="72" t="e">
        <f t="shared" si="1964"/>
        <v>#DIV/0!</v>
      </c>
      <c r="DJ275" s="73">
        <f>SUM(AV268:AV275,BB268:BB275,BI268:BI275)</f>
        <v>0</v>
      </c>
      <c r="DK275" s="218">
        <f>SUM(AV274:AV275,BB274:BB275,BI274:BI275)</f>
        <v>0</v>
      </c>
      <c r="DL275" s="190"/>
    </row>
    <row r="276" spans="22:116" x14ac:dyDescent="0.25">
      <c r="V276" s="13"/>
      <c r="W276" s="66">
        <v>8</v>
      </c>
      <c r="X276" s="66">
        <v>2012</v>
      </c>
      <c r="Y276" s="69">
        <v>0</v>
      </c>
      <c r="Z276" s="69">
        <v>0</v>
      </c>
      <c r="AA276" s="69">
        <v>0</v>
      </c>
      <c r="AB276" s="69">
        <v>0</v>
      </c>
      <c r="AC276" s="69">
        <v>0</v>
      </c>
      <c r="AD276" s="69">
        <v>0</v>
      </c>
      <c r="AE276" s="69">
        <v>0</v>
      </c>
      <c r="AF276" s="69">
        <v>0</v>
      </c>
      <c r="AG276" s="69">
        <v>0</v>
      </c>
      <c r="AH276" s="69">
        <v>0</v>
      </c>
      <c r="AI276" s="69">
        <v>0</v>
      </c>
      <c r="AJ276" s="69">
        <v>0</v>
      </c>
      <c r="AK276" s="69">
        <v>0</v>
      </c>
      <c r="AL276" s="69">
        <v>0</v>
      </c>
      <c r="AM276" s="69">
        <v>0</v>
      </c>
      <c r="AN276" s="69">
        <v>0</v>
      </c>
      <c r="AO276" s="69">
        <v>0</v>
      </c>
      <c r="AP276" s="190"/>
      <c r="AQ276" s="66">
        <v>8</v>
      </c>
      <c r="AR276" s="66">
        <v>2012</v>
      </c>
      <c r="AS276" s="215">
        <f t="shared" si="1914"/>
        <v>0</v>
      </c>
      <c r="AT276" s="215">
        <f t="shared" si="1915"/>
        <v>0</v>
      </c>
      <c r="AU276" s="215">
        <f t="shared" si="1916"/>
        <v>0</v>
      </c>
      <c r="AV276" s="215">
        <f t="shared" si="1917"/>
        <v>0</v>
      </c>
      <c r="AW276" s="215">
        <f t="shared" si="1918"/>
        <v>0</v>
      </c>
      <c r="AX276" s="215">
        <f t="shared" si="1919"/>
        <v>0</v>
      </c>
      <c r="AY276" s="215">
        <f t="shared" si="1920"/>
        <v>0</v>
      </c>
      <c r="AZ276" s="215">
        <f t="shared" si="1921"/>
        <v>0</v>
      </c>
      <c r="BA276" s="215">
        <f t="shared" si="1922"/>
        <v>0</v>
      </c>
      <c r="BB276" s="215">
        <f t="shared" si="1923"/>
        <v>0</v>
      </c>
      <c r="BC276" s="215">
        <f t="shared" si="1924"/>
        <v>0</v>
      </c>
      <c r="BD276" s="215">
        <f t="shared" si="1925"/>
        <v>0</v>
      </c>
      <c r="BE276" s="215">
        <f t="shared" si="1926"/>
        <v>0</v>
      </c>
      <c r="BF276" s="215">
        <f t="shared" si="1927"/>
        <v>0</v>
      </c>
      <c r="BG276" s="215">
        <f t="shared" si="1928"/>
        <v>0</v>
      </c>
      <c r="BH276" s="215">
        <f t="shared" si="1929"/>
        <v>0</v>
      </c>
      <c r="BI276" s="215">
        <f t="shared" si="1930"/>
        <v>0</v>
      </c>
      <c r="BJ276" s="195"/>
      <c r="BK276" s="66">
        <v>8</v>
      </c>
      <c r="BL276" s="66">
        <v>2012</v>
      </c>
      <c r="BM276" s="215">
        <f t="shared" si="1937"/>
        <v>0</v>
      </c>
      <c r="BN276" s="219">
        <f t="shared" si="1938"/>
        <v>0</v>
      </c>
      <c r="BO276" s="219">
        <f t="shared" si="1939"/>
        <v>0</v>
      </c>
      <c r="BP276" s="219">
        <f t="shared" si="1965"/>
        <v>0</v>
      </c>
      <c r="BQ276" s="219">
        <f t="shared" si="1940"/>
        <v>0</v>
      </c>
      <c r="BR276" s="220">
        <f t="shared" si="1966"/>
        <v>0</v>
      </c>
      <c r="BS276" s="219">
        <f t="shared" si="1967"/>
        <v>0</v>
      </c>
      <c r="BT276" s="219">
        <f t="shared" si="1968"/>
        <v>0</v>
      </c>
      <c r="BU276" s="219">
        <f t="shared" si="1969"/>
        <v>0</v>
      </c>
      <c r="BV276" s="219">
        <f t="shared" si="1970"/>
        <v>0</v>
      </c>
      <c r="BW276" s="219">
        <f t="shared" si="1971"/>
        <v>0</v>
      </c>
      <c r="BX276" s="220">
        <f t="shared" si="1972"/>
        <v>0</v>
      </c>
      <c r="BY276" s="195"/>
      <c r="BZ276" s="66">
        <v>8</v>
      </c>
      <c r="CA276" s="66">
        <v>2012</v>
      </c>
      <c r="CB276" s="218">
        <f>pAsympt_NoCare_Asympt_Dead_2010_2012*AS275</f>
        <v>0</v>
      </c>
      <c r="CC276" s="218">
        <f t="shared" si="1941"/>
        <v>0</v>
      </c>
      <c r="CD276" s="73">
        <f t="shared" si="1942"/>
        <v>0</v>
      </c>
      <c r="CE276" s="73">
        <f>pInt_NoCare_Int_Dead_2010_2012*AW275</f>
        <v>0</v>
      </c>
      <c r="CF276" s="73">
        <f t="shared" si="1943"/>
        <v>0</v>
      </c>
      <c r="CG276" s="73">
        <f t="shared" si="1944"/>
        <v>0</v>
      </c>
      <c r="CH276" s="73">
        <f t="shared" si="1945"/>
        <v>0</v>
      </c>
      <c r="CI276" s="73">
        <f t="shared" si="1946"/>
        <v>0</v>
      </c>
      <c r="CJ276" s="73">
        <f t="shared" si="1947"/>
        <v>0</v>
      </c>
      <c r="CK276" s="73">
        <f t="shared" si="1948"/>
        <v>0</v>
      </c>
      <c r="CL276" s="73">
        <f t="shared" si="1949"/>
        <v>0</v>
      </c>
      <c r="CM276" s="73">
        <f>pAIDS_NoCare_AIDS_Dead_2010_2012*BC275</f>
        <v>0</v>
      </c>
      <c r="CN276" s="73">
        <f t="shared" si="1951"/>
        <v>0</v>
      </c>
      <c r="CO276" s="73">
        <f t="shared" si="1952"/>
        <v>0</v>
      </c>
      <c r="CP276" s="73">
        <f t="shared" si="1953"/>
        <v>0</v>
      </c>
      <c r="CQ276" s="73">
        <f t="shared" si="1954"/>
        <v>0</v>
      </c>
      <c r="CR276" s="73">
        <f t="shared" si="1955"/>
        <v>0</v>
      </c>
      <c r="CS276" s="73">
        <f t="shared" si="1956"/>
        <v>0</v>
      </c>
      <c r="CT276" s="73">
        <f t="shared" si="1957"/>
        <v>0</v>
      </c>
      <c r="CU276" s="73">
        <f t="shared" si="1958"/>
        <v>0</v>
      </c>
      <c r="CV276" s="73">
        <f t="shared" si="1959"/>
        <v>0</v>
      </c>
      <c r="CW276" s="73">
        <f t="shared" si="1960"/>
        <v>0</v>
      </c>
      <c r="CX276" s="73">
        <f t="shared" si="1961"/>
        <v>0</v>
      </c>
      <c r="CY276" s="73">
        <f t="shared" si="1962"/>
        <v>0</v>
      </c>
      <c r="CZ276" s="190"/>
      <c r="DA276" s="66">
        <v>2012</v>
      </c>
      <c r="DB276" s="218">
        <f t="shared" si="1931"/>
        <v>0</v>
      </c>
      <c r="DC276" s="218">
        <f t="shared" si="1932"/>
        <v>0</v>
      </c>
      <c r="DD276" s="73">
        <f t="shared" si="1933"/>
        <v>0</v>
      </c>
      <c r="DE276" s="73">
        <f t="shared" si="1934"/>
        <v>0</v>
      </c>
      <c r="DF276" s="73">
        <f t="shared" si="1935"/>
        <v>0</v>
      </c>
      <c r="DG276" s="73">
        <f t="shared" si="1936"/>
        <v>0</v>
      </c>
      <c r="DH276" s="72" t="e">
        <f t="shared" si="1963"/>
        <v>#DIV/0!</v>
      </c>
      <c r="DI276" s="72" t="e">
        <f t="shared" si="1964"/>
        <v>#DIV/0!</v>
      </c>
      <c r="DJ276" s="73">
        <f>SUM(AV268:AV276,BB268:BB276,BI268:BI276)</f>
        <v>0</v>
      </c>
      <c r="DK276" s="73">
        <f>SUM(AV274:AV276,BB274:BB276,BI274:BI276)</f>
        <v>0</v>
      </c>
      <c r="DL276" s="190"/>
    </row>
    <row r="277" spans="22:116" x14ac:dyDescent="0.25">
      <c r="V277" s="13"/>
      <c r="W277" s="66">
        <v>9</v>
      </c>
      <c r="X277" s="66">
        <v>2013</v>
      </c>
      <c r="Y277" s="69">
        <v>0</v>
      </c>
      <c r="Z277" s="69">
        <v>0</v>
      </c>
      <c r="AA277" s="69">
        <v>0</v>
      </c>
      <c r="AB277" s="69">
        <v>0</v>
      </c>
      <c r="AC277" s="69">
        <v>0</v>
      </c>
      <c r="AD277" s="69">
        <v>0</v>
      </c>
      <c r="AE277" s="69">
        <v>0</v>
      </c>
      <c r="AF277" s="69">
        <v>0</v>
      </c>
      <c r="AG277" s="69">
        <v>0</v>
      </c>
      <c r="AH277" s="69">
        <v>0</v>
      </c>
      <c r="AI277" s="69">
        <v>0</v>
      </c>
      <c r="AJ277" s="69">
        <v>0</v>
      </c>
      <c r="AK277" s="69">
        <v>0</v>
      </c>
      <c r="AL277" s="69">
        <v>0</v>
      </c>
      <c r="AM277" s="69">
        <v>0</v>
      </c>
      <c r="AN277" s="69">
        <v>0</v>
      </c>
      <c r="AO277" s="69">
        <v>0</v>
      </c>
      <c r="AP277" s="190"/>
      <c r="AQ277" s="66">
        <v>9</v>
      </c>
      <c r="AR277" s="66">
        <v>2013</v>
      </c>
      <c r="AS277" s="215">
        <f t="shared" si="1914"/>
        <v>0</v>
      </c>
      <c r="AT277" s="215">
        <f t="shared" si="1915"/>
        <v>0</v>
      </c>
      <c r="AU277" s="215">
        <f t="shared" si="1916"/>
        <v>0</v>
      </c>
      <c r="AV277" s="215">
        <f t="shared" si="1917"/>
        <v>0</v>
      </c>
      <c r="AW277" s="215">
        <f t="shared" si="1918"/>
        <v>0</v>
      </c>
      <c r="AX277" s="215">
        <f t="shared" si="1919"/>
        <v>0</v>
      </c>
      <c r="AY277" s="215">
        <f t="shared" si="1920"/>
        <v>0</v>
      </c>
      <c r="AZ277" s="215">
        <f t="shared" si="1921"/>
        <v>0</v>
      </c>
      <c r="BA277" s="215">
        <f t="shared" si="1922"/>
        <v>0</v>
      </c>
      <c r="BB277" s="215">
        <f t="shared" si="1923"/>
        <v>0</v>
      </c>
      <c r="BC277" s="215">
        <f t="shared" si="1924"/>
        <v>0</v>
      </c>
      <c r="BD277" s="215">
        <f t="shared" si="1925"/>
        <v>0</v>
      </c>
      <c r="BE277" s="215">
        <f t="shared" si="1926"/>
        <v>0</v>
      </c>
      <c r="BF277" s="215">
        <f t="shared" si="1927"/>
        <v>0</v>
      </c>
      <c r="BG277" s="215">
        <f t="shared" si="1928"/>
        <v>0</v>
      </c>
      <c r="BH277" s="215">
        <f t="shared" si="1929"/>
        <v>0</v>
      </c>
      <c r="BI277" s="215">
        <f t="shared" si="1930"/>
        <v>0</v>
      </c>
      <c r="BJ277" s="195"/>
      <c r="BK277" s="66">
        <v>9</v>
      </c>
      <c r="BL277" s="66">
        <v>2013</v>
      </c>
      <c r="BM277" s="215">
        <f t="shared" ref="BM277:BM287" si="1973">(AX276*pInt_InCare_Int_LTFU_2013plus_u)+(BM276*pInt_LTFU_2013plus_u)</f>
        <v>0</v>
      </c>
      <c r="BN277" s="219">
        <f t="shared" ref="BN277:BN287" si="1974">(AU276*pAsympt_LTFU_Int_LTFU_2013plus_u)+(BN276*pInt_LTFU_2013plus_u)</f>
        <v>0</v>
      </c>
      <c r="BO277" s="219">
        <f t="shared" ref="BO277:BO287" si="1975">(AY276*pInt_ART1_Int_LTFU_2013plus_u)+(BO276*pInt_LTFU_2013plus_u)</f>
        <v>0</v>
      </c>
      <c r="BP277" s="219">
        <f t="shared" ref="BP277:BP287" si="1976">(AZ276*pInt_ART2_Int_LTFU_2013plus_u)+(BP276*pInt_LTFU_2013plus_u)</f>
        <v>0</v>
      </c>
      <c r="BQ277" s="219">
        <f t="shared" ref="BQ277:BQ287" si="1977">(BD276*pAIDS_InCare_AIDS_LTFU_2013plus_u)+(BQ276*pAIDS_LTFU_2013plus_u)</f>
        <v>0</v>
      </c>
      <c r="BR277" s="220">
        <f t="shared" ref="BR277:BR287" si="1978">(BN276*pInt_LTFU_AIDS_LTFU_2013plus_u)+(BR276*pAIDS_LTFU_2013plus_u)</f>
        <v>0</v>
      </c>
      <c r="BS277" s="219">
        <f t="shared" ref="BS277:BS287" si="1979">(BM276*pInt_LTFU_AIDS_LTFU_2013plus_u)+(BS276*pAIDS_LTFU_2013plus_u)</f>
        <v>0</v>
      </c>
      <c r="BT277" s="219">
        <f t="shared" ref="BT277:BT287" si="1980">(BE276*pAIDS_ART1ear_AIDS_LTFU_2013plus_u)+(BT276*pAIDS_LTFU_2013plus_u)</f>
        <v>0</v>
      </c>
      <c r="BU277" s="219">
        <f t="shared" ref="BU277:BU287" si="1981">(BF276*pAIDS_ART1late_AIDS_LTFU_2013plus_u)+(BU276*pAIDS_LTFU_2013plus_u)</f>
        <v>0</v>
      </c>
      <c r="BV277" s="219">
        <f t="shared" ref="BV277:BV287" si="1982">(BO276*pInt_LTFU_AIDS_LTFU_2013plus_u)+(BV276*pAIDS_LTFU_2013plus_u)</f>
        <v>0</v>
      </c>
      <c r="BW277" s="219">
        <f t="shared" ref="BW277:BW287" si="1983">(BG276*pAIDS_ART2_AIDS_LTFU_2013plus_u)+(BW276*pAIDS_LTFU_2013plus_u)</f>
        <v>0</v>
      </c>
      <c r="BX277" s="220">
        <f t="shared" ref="BX277:BX287" si="1984">(BP276*pInt_LTFU_AIDS_LTFU_2013plus_u)+(BX276*pAIDS_LTFU_2013plus_u)</f>
        <v>0</v>
      </c>
      <c r="BY277" s="195"/>
      <c r="BZ277" s="66">
        <v>9</v>
      </c>
      <c r="CA277" s="66">
        <v>2013</v>
      </c>
      <c r="CB277" s="218">
        <f t="shared" ref="CB277:CB287" si="1985">pAsympt_NoCare_Asympt_Dead_2013plus_u*AS276</f>
        <v>0</v>
      </c>
      <c r="CC277" s="218">
        <f t="shared" ref="CC277:CC287" si="1986">pAsympt_InCare_Asympt_Dead_2013plus_u*AT276</f>
        <v>0</v>
      </c>
      <c r="CD277" s="73">
        <f t="shared" ref="CD277:CD287" si="1987">pAsympt_LTFU_Asympt_Dead_2013plus_u*AU276</f>
        <v>0</v>
      </c>
      <c r="CE277" s="73">
        <f t="shared" ref="CE277:CE287" si="1988">pInt_NoCare_Int_Dead_2013plus_u*AW276</f>
        <v>0</v>
      </c>
      <c r="CF277" s="73">
        <f t="shared" ref="CF277:CF287" si="1989">pInt_InCare_Int_Dead_2013plus_u*AX276</f>
        <v>0</v>
      </c>
      <c r="CG277" s="73">
        <f t="shared" ref="CG277:CG287" si="1990">pInt_ART1_Int_Dead_2013plus_u*AY276</f>
        <v>0</v>
      </c>
      <c r="CH277" s="73">
        <f t="shared" ref="CH277:CH287" si="1991">pInt_ART2_Int_Dead_2013plus_u*AZ276</f>
        <v>0</v>
      </c>
      <c r="CI277" s="73">
        <f t="shared" ref="CI277:CI287" si="1992">(BM276*pInt_LTFU_Int_Dead_2013plus_u)</f>
        <v>0</v>
      </c>
      <c r="CJ277" s="73">
        <f t="shared" ref="CJ277:CJ287" si="1993">(BN276*pInt_LTFU_Int_Dead_2013plus_u)</f>
        <v>0</v>
      </c>
      <c r="CK277" s="73">
        <f t="shared" ref="CK277:CK287" si="1994">(BO276*pInt_LTFU_Int_Dead_2013plus_u)</f>
        <v>0</v>
      </c>
      <c r="CL277" s="73">
        <f t="shared" ref="CL277:CL287" si="1995">(BP276*pInt_LTFU_Int_Dead_2013plus_u)</f>
        <v>0</v>
      </c>
      <c r="CM277" s="73">
        <f t="shared" ref="CM277:CM287" si="1996">pAIDS_NoCare_AIDS_Dead_2013plus_u*BC276</f>
        <v>0</v>
      </c>
      <c r="CN277" s="73">
        <f t="shared" ref="CN277:CN287" si="1997">pAIDS_InCare_AIDS_Dead_2013plus_u*BD276</f>
        <v>0</v>
      </c>
      <c r="CO277" s="73">
        <f t="shared" ref="CO277:CO287" si="1998">pAIDS_ART1ear_AIDS_Dead_2013plus_u*BE276</f>
        <v>0</v>
      </c>
      <c r="CP277" s="73">
        <f t="shared" ref="CP277:CP287" si="1999">pAIDS_ART1late_AIDS_Dead_2013plus_u*BF276</f>
        <v>0</v>
      </c>
      <c r="CQ277" s="73">
        <f t="shared" ref="CQ277:CQ287" si="2000">pAIDS_ART2_AIDS_Dead_2013plus_u*BG276</f>
        <v>0</v>
      </c>
      <c r="CR277" s="73">
        <f t="shared" ref="CR277:CR287" si="2001">(BQ276*pAIDS_LTFU_AIDS_Dead_2013plus_u)</f>
        <v>0</v>
      </c>
      <c r="CS277" s="73">
        <f t="shared" ref="CS277:CS287" si="2002">(BR276*pAIDS_LTFU_AIDS_Dead_2013plus_u)</f>
        <v>0</v>
      </c>
      <c r="CT277" s="73">
        <f t="shared" ref="CT277:CT287" si="2003">(BS276*pAIDS_LTFU_AIDS_Dead_2013plus_u)</f>
        <v>0</v>
      </c>
      <c r="CU277" s="73">
        <f t="shared" ref="CU277:CU287" si="2004">(BT276*pAIDS_LTFU_AIDS_Dead_2013plus_u)</f>
        <v>0</v>
      </c>
      <c r="CV277" s="73">
        <f t="shared" ref="CV277:CV287" si="2005">(BU276*pAIDS_LTFU_AIDS_Dead_2013plus_u)</f>
        <v>0</v>
      </c>
      <c r="CW277" s="73">
        <f t="shared" ref="CW277:CW287" si="2006">(BV276*pAIDS_LTFU_AIDS_Dead_2013plus_u)</f>
        <v>0</v>
      </c>
      <c r="CX277" s="73">
        <f t="shared" ref="CX277:CX287" si="2007">(BW276*pAIDS_LTFU_AIDS_Dead_2013plus_u)</f>
        <v>0</v>
      </c>
      <c r="CY277" s="73">
        <f t="shared" ref="CY277:CY287" si="2008">(BX276*pAIDS_LTFU_AIDS_Dead_2013plus_u)</f>
        <v>0</v>
      </c>
      <c r="CZ277" s="190"/>
      <c r="DA277" s="66">
        <v>2013</v>
      </c>
      <c r="DB277" s="218">
        <f t="shared" si="1931"/>
        <v>0</v>
      </c>
      <c r="DC277" s="218">
        <f t="shared" si="1932"/>
        <v>0</v>
      </c>
      <c r="DD277" s="73">
        <f t="shared" si="1933"/>
        <v>0</v>
      </c>
      <c r="DE277" s="73">
        <f t="shared" si="1934"/>
        <v>0</v>
      </c>
      <c r="DF277" s="73">
        <f t="shared" si="1935"/>
        <v>0</v>
      </c>
      <c r="DG277" s="73">
        <f t="shared" si="1936"/>
        <v>0</v>
      </c>
      <c r="DH277" s="72" t="e">
        <f t="shared" si="1963"/>
        <v>#DIV/0!</v>
      </c>
      <c r="DI277" s="72" t="e">
        <f t="shared" si="1964"/>
        <v>#DIV/0!</v>
      </c>
      <c r="DJ277" s="73">
        <f>SUM(AV268:AV277,BB268:BB277,BI268:BI277)</f>
        <v>0</v>
      </c>
      <c r="DK277" s="73">
        <f>SUM(AV274:AV277,BB274:BB277,BI274:BI277)</f>
        <v>0</v>
      </c>
      <c r="DL277" s="190"/>
    </row>
    <row r="278" spans="22:116" x14ac:dyDescent="0.25">
      <c r="V278" s="13"/>
      <c r="W278" s="66">
        <v>10</v>
      </c>
      <c r="X278" s="66">
        <v>2014</v>
      </c>
      <c r="Y278" s="69">
        <v>0</v>
      </c>
      <c r="Z278" s="69">
        <v>0</v>
      </c>
      <c r="AA278" s="69">
        <v>0</v>
      </c>
      <c r="AB278" s="69">
        <v>0</v>
      </c>
      <c r="AC278" s="69">
        <v>0</v>
      </c>
      <c r="AD278" s="69">
        <v>0</v>
      </c>
      <c r="AE278" s="69">
        <v>0</v>
      </c>
      <c r="AF278" s="69">
        <v>0</v>
      </c>
      <c r="AG278" s="69">
        <v>0</v>
      </c>
      <c r="AH278" s="69">
        <v>0</v>
      </c>
      <c r="AI278" s="69">
        <v>0</v>
      </c>
      <c r="AJ278" s="69">
        <v>0</v>
      </c>
      <c r="AK278" s="69">
        <v>0</v>
      </c>
      <c r="AL278" s="69">
        <v>0</v>
      </c>
      <c r="AM278" s="69">
        <v>0</v>
      </c>
      <c r="AN278" s="69">
        <v>0</v>
      </c>
      <c r="AO278" s="69">
        <v>0</v>
      </c>
      <c r="AP278" s="190"/>
      <c r="AQ278" s="66">
        <v>10</v>
      </c>
      <c r="AR278" s="66">
        <v>2014</v>
      </c>
      <c r="AS278" s="215">
        <f t="shared" si="1914"/>
        <v>0</v>
      </c>
      <c r="AT278" s="215">
        <f t="shared" si="1915"/>
        <v>0</v>
      </c>
      <c r="AU278" s="215">
        <f t="shared" si="1916"/>
        <v>0</v>
      </c>
      <c r="AV278" s="215">
        <f t="shared" si="1917"/>
        <v>0</v>
      </c>
      <c r="AW278" s="215">
        <f t="shared" si="1918"/>
        <v>0</v>
      </c>
      <c r="AX278" s="215">
        <f t="shared" si="1919"/>
        <v>0</v>
      </c>
      <c r="AY278" s="215">
        <f t="shared" si="1920"/>
        <v>0</v>
      </c>
      <c r="AZ278" s="215">
        <f t="shared" si="1921"/>
        <v>0</v>
      </c>
      <c r="BA278" s="215">
        <f t="shared" si="1922"/>
        <v>0</v>
      </c>
      <c r="BB278" s="215">
        <f t="shared" si="1923"/>
        <v>0</v>
      </c>
      <c r="BC278" s="215">
        <f t="shared" si="1924"/>
        <v>0</v>
      </c>
      <c r="BD278" s="215">
        <f t="shared" si="1925"/>
        <v>0</v>
      </c>
      <c r="BE278" s="215">
        <f t="shared" si="1926"/>
        <v>0</v>
      </c>
      <c r="BF278" s="215">
        <f t="shared" si="1927"/>
        <v>0</v>
      </c>
      <c r="BG278" s="215">
        <f t="shared" si="1928"/>
        <v>0</v>
      </c>
      <c r="BH278" s="215">
        <f t="shared" si="1929"/>
        <v>0</v>
      </c>
      <c r="BI278" s="215">
        <f t="shared" si="1930"/>
        <v>0</v>
      </c>
      <c r="BJ278" s="195"/>
      <c r="BK278" s="66">
        <v>10</v>
      </c>
      <c r="BL278" s="66">
        <v>2014</v>
      </c>
      <c r="BM278" s="215">
        <f t="shared" si="1973"/>
        <v>0</v>
      </c>
      <c r="BN278" s="219">
        <f t="shared" si="1974"/>
        <v>0</v>
      </c>
      <c r="BO278" s="219">
        <f t="shared" si="1975"/>
        <v>0</v>
      </c>
      <c r="BP278" s="219">
        <f t="shared" si="1976"/>
        <v>0</v>
      </c>
      <c r="BQ278" s="219">
        <f t="shared" si="1977"/>
        <v>0</v>
      </c>
      <c r="BR278" s="220">
        <f t="shared" si="1978"/>
        <v>0</v>
      </c>
      <c r="BS278" s="219">
        <f t="shared" si="1979"/>
        <v>0</v>
      </c>
      <c r="BT278" s="219">
        <f t="shared" si="1980"/>
        <v>0</v>
      </c>
      <c r="BU278" s="219">
        <f t="shared" si="1981"/>
        <v>0</v>
      </c>
      <c r="BV278" s="219">
        <f t="shared" si="1982"/>
        <v>0</v>
      </c>
      <c r="BW278" s="219">
        <f t="shared" si="1983"/>
        <v>0</v>
      </c>
      <c r="BX278" s="220">
        <f t="shared" si="1984"/>
        <v>0</v>
      </c>
      <c r="BY278" s="195"/>
      <c r="BZ278" s="66">
        <v>10</v>
      </c>
      <c r="CA278" s="66">
        <v>2014</v>
      </c>
      <c r="CB278" s="218">
        <f t="shared" si="1985"/>
        <v>0</v>
      </c>
      <c r="CC278" s="218">
        <f t="shared" si="1986"/>
        <v>0</v>
      </c>
      <c r="CD278" s="73">
        <f t="shared" si="1987"/>
        <v>0</v>
      </c>
      <c r="CE278" s="73">
        <f t="shared" si="1988"/>
        <v>0</v>
      </c>
      <c r="CF278" s="73">
        <f t="shared" si="1989"/>
        <v>0</v>
      </c>
      <c r="CG278" s="73">
        <f t="shared" si="1990"/>
        <v>0</v>
      </c>
      <c r="CH278" s="73">
        <f t="shared" si="1991"/>
        <v>0</v>
      </c>
      <c r="CI278" s="73">
        <f t="shared" si="1992"/>
        <v>0</v>
      </c>
      <c r="CJ278" s="73">
        <f t="shared" si="1993"/>
        <v>0</v>
      </c>
      <c r="CK278" s="73">
        <f t="shared" si="1994"/>
        <v>0</v>
      </c>
      <c r="CL278" s="73">
        <f t="shared" si="1995"/>
        <v>0</v>
      </c>
      <c r="CM278" s="73">
        <f t="shared" si="1996"/>
        <v>0</v>
      </c>
      <c r="CN278" s="73">
        <f t="shared" si="1997"/>
        <v>0</v>
      </c>
      <c r="CO278" s="73">
        <f t="shared" si="1998"/>
        <v>0</v>
      </c>
      <c r="CP278" s="73">
        <f t="shared" si="1999"/>
        <v>0</v>
      </c>
      <c r="CQ278" s="73">
        <f t="shared" si="2000"/>
        <v>0</v>
      </c>
      <c r="CR278" s="73">
        <f t="shared" si="2001"/>
        <v>0</v>
      </c>
      <c r="CS278" s="73">
        <f t="shared" si="2002"/>
        <v>0</v>
      </c>
      <c r="CT278" s="73">
        <f t="shared" si="2003"/>
        <v>0</v>
      </c>
      <c r="CU278" s="73">
        <f t="shared" si="2004"/>
        <v>0</v>
      </c>
      <c r="CV278" s="73">
        <f t="shared" si="2005"/>
        <v>0</v>
      </c>
      <c r="CW278" s="73">
        <f t="shared" si="2006"/>
        <v>0</v>
      </c>
      <c r="CX278" s="73">
        <f t="shared" si="2007"/>
        <v>0</v>
      </c>
      <c r="CY278" s="73">
        <f t="shared" si="2008"/>
        <v>0</v>
      </c>
      <c r="CZ278" s="190"/>
      <c r="DA278" s="66">
        <v>2014</v>
      </c>
      <c r="DB278" s="218">
        <f t="shared" si="1931"/>
        <v>0</v>
      </c>
      <c r="DC278" s="218">
        <f t="shared" si="1932"/>
        <v>0</v>
      </c>
      <c r="DD278" s="73">
        <f t="shared" si="1933"/>
        <v>0</v>
      </c>
      <c r="DE278" s="73">
        <f t="shared" si="1934"/>
        <v>0</v>
      </c>
      <c r="DF278" s="73">
        <f t="shared" si="1935"/>
        <v>0</v>
      </c>
      <c r="DG278" s="73">
        <f t="shared" si="1936"/>
        <v>0</v>
      </c>
      <c r="DH278" s="72" t="e">
        <f t="shared" si="1963"/>
        <v>#DIV/0!</v>
      </c>
      <c r="DI278" s="72" t="e">
        <f t="shared" si="1964"/>
        <v>#DIV/0!</v>
      </c>
      <c r="DJ278" s="73">
        <f>SUM(AV268:AV278,BB268:BB278,BI268:BI278)</f>
        <v>0</v>
      </c>
      <c r="DK278" s="73">
        <f>SUM(AV274:AV278,BB274:BB278,BI274:BI278)</f>
        <v>0</v>
      </c>
      <c r="DL278" s="190"/>
    </row>
    <row r="279" spans="22:116" x14ac:dyDescent="0.25">
      <c r="V279" s="13"/>
      <c r="W279" s="66">
        <v>11</v>
      </c>
      <c r="X279" s="66">
        <v>2015</v>
      </c>
      <c r="Y279" s="69">
        <v>0</v>
      </c>
      <c r="Z279" s="69">
        <v>0</v>
      </c>
      <c r="AA279" s="69">
        <v>0</v>
      </c>
      <c r="AB279" s="69">
        <v>0</v>
      </c>
      <c r="AC279" s="69">
        <v>0</v>
      </c>
      <c r="AD279" s="69">
        <v>0</v>
      </c>
      <c r="AE279" s="69">
        <v>0</v>
      </c>
      <c r="AF279" s="69">
        <v>0</v>
      </c>
      <c r="AG279" s="69">
        <v>0</v>
      </c>
      <c r="AH279" s="69">
        <v>0</v>
      </c>
      <c r="AI279" s="69">
        <v>0</v>
      </c>
      <c r="AJ279" s="69">
        <v>0</v>
      </c>
      <c r="AK279" s="69">
        <v>0</v>
      </c>
      <c r="AL279" s="69">
        <v>0</v>
      </c>
      <c r="AM279" s="69">
        <v>0</v>
      </c>
      <c r="AN279" s="69">
        <v>0</v>
      </c>
      <c r="AO279" s="69">
        <v>0</v>
      </c>
      <c r="AP279" s="190"/>
      <c r="AQ279" s="66">
        <v>11</v>
      </c>
      <c r="AR279" s="66">
        <v>2015</v>
      </c>
      <c r="AS279" s="215">
        <f t="shared" si="1914"/>
        <v>0</v>
      </c>
      <c r="AT279" s="215">
        <f t="shared" si="1915"/>
        <v>0</v>
      </c>
      <c r="AU279" s="215">
        <f t="shared" si="1916"/>
        <v>0</v>
      </c>
      <c r="AV279" s="215">
        <f t="shared" si="1917"/>
        <v>0</v>
      </c>
      <c r="AW279" s="215">
        <f t="shared" si="1918"/>
        <v>0</v>
      </c>
      <c r="AX279" s="215">
        <f t="shared" si="1919"/>
        <v>0</v>
      </c>
      <c r="AY279" s="215">
        <f t="shared" si="1920"/>
        <v>0</v>
      </c>
      <c r="AZ279" s="215">
        <f t="shared" si="1921"/>
        <v>0</v>
      </c>
      <c r="BA279" s="215">
        <f t="shared" si="1922"/>
        <v>0</v>
      </c>
      <c r="BB279" s="215">
        <f t="shared" si="1923"/>
        <v>0</v>
      </c>
      <c r="BC279" s="215">
        <f t="shared" si="1924"/>
        <v>0</v>
      </c>
      <c r="BD279" s="215">
        <f t="shared" si="1925"/>
        <v>0</v>
      </c>
      <c r="BE279" s="215">
        <f t="shared" si="1926"/>
        <v>0</v>
      </c>
      <c r="BF279" s="215">
        <f t="shared" si="1927"/>
        <v>0</v>
      </c>
      <c r="BG279" s="215">
        <f t="shared" si="1928"/>
        <v>0</v>
      </c>
      <c r="BH279" s="215">
        <f t="shared" si="1929"/>
        <v>0</v>
      </c>
      <c r="BI279" s="215">
        <f t="shared" si="1930"/>
        <v>0</v>
      </c>
      <c r="BJ279" s="195"/>
      <c r="BK279" s="66">
        <v>11</v>
      </c>
      <c r="BL279" s="66">
        <v>2015</v>
      </c>
      <c r="BM279" s="215">
        <f t="shared" si="1973"/>
        <v>0</v>
      </c>
      <c r="BN279" s="219">
        <f t="shared" si="1974"/>
        <v>0</v>
      </c>
      <c r="BO279" s="219">
        <f t="shared" si="1975"/>
        <v>0</v>
      </c>
      <c r="BP279" s="219">
        <f t="shared" si="1976"/>
        <v>0</v>
      </c>
      <c r="BQ279" s="219">
        <f t="shared" si="1977"/>
        <v>0</v>
      </c>
      <c r="BR279" s="220">
        <f t="shared" si="1978"/>
        <v>0</v>
      </c>
      <c r="BS279" s="219">
        <f t="shared" si="1979"/>
        <v>0</v>
      </c>
      <c r="BT279" s="219">
        <f t="shared" si="1980"/>
        <v>0</v>
      </c>
      <c r="BU279" s="219">
        <f t="shared" si="1981"/>
        <v>0</v>
      </c>
      <c r="BV279" s="219">
        <f t="shared" si="1982"/>
        <v>0</v>
      </c>
      <c r="BW279" s="219">
        <f t="shared" si="1983"/>
        <v>0</v>
      </c>
      <c r="BX279" s="220">
        <f t="shared" si="1984"/>
        <v>0</v>
      </c>
      <c r="BY279" s="195"/>
      <c r="BZ279" s="66">
        <v>11</v>
      </c>
      <c r="CA279" s="66">
        <v>2015</v>
      </c>
      <c r="CB279" s="218">
        <f t="shared" si="1985"/>
        <v>0</v>
      </c>
      <c r="CC279" s="218">
        <f t="shared" si="1986"/>
        <v>0</v>
      </c>
      <c r="CD279" s="73">
        <f t="shared" si="1987"/>
        <v>0</v>
      </c>
      <c r="CE279" s="73">
        <f t="shared" si="1988"/>
        <v>0</v>
      </c>
      <c r="CF279" s="73">
        <f t="shared" si="1989"/>
        <v>0</v>
      </c>
      <c r="CG279" s="73">
        <f t="shared" si="1990"/>
        <v>0</v>
      </c>
      <c r="CH279" s="73">
        <f t="shared" si="1991"/>
        <v>0</v>
      </c>
      <c r="CI279" s="73">
        <f t="shared" si="1992"/>
        <v>0</v>
      </c>
      <c r="CJ279" s="73">
        <f t="shared" si="1993"/>
        <v>0</v>
      </c>
      <c r="CK279" s="73">
        <f t="shared" si="1994"/>
        <v>0</v>
      </c>
      <c r="CL279" s="73">
        <f t="shared" si="1995"/>
        <v>0</v>
      </c>
      <c r="CM279" s="73">
        <f t="shared" si="1996"/>
        <v>0</v>
      </c>
      <c r="CN279" s="73">
        <f t="shared" si="1997"/>
        <v>0</v>
      </c>
      <c r="CO279" s="73">
        <f t="shared" si="1998"/>
        <v>0</v>
      </c>
      <c r="CP279" s="73">
        <f t="shared" si="1999"/>
        <v>0</v>
      </c>
      <c r="CQ279" s="73">
        <f t="shared" si="2000"/>
        <v>0</v>
      </c>
      <c r="CR279" s="73">
        <f t="shared" si="2001"/>
        <v>0</v>
      </c>
      <c r="CS279" s="73">
        <f t="shared" si="2002"/>
        <v>0</v>
      </c>
      <c r="CT279" s="73">
        <f t="shared" si="2003"/>
        <v>0</v>
      </c>
      <c r="CU279" s="73">
        <f t="shared" si="2004"/>
        <v>0</v>
      </c>
      <c r="CV279" s="73">
        <f t="shared" si="2005"/>
        <v>0</v>
      </c>
      <c r="CW279" s="73">
        <f t="shared" si="2006"/>
        <v>0</v>
      </c>
      <c r="CX279" s="73">
        <f t="shared" si="2007"/>
        <v>0</v>
      </c>
      <c r="CY279" s="73">
        <f t="shared" si="2008"/>
        <v>0</v>
      </c>
      <c r="CZ279" s="190"/>
      <c r="DA279" s="66">
        <v>2015</v>
      </c>
      <c r="DB279" s="218">
        <f t="shared" si="1931"/>
        <v>0</v>
      </c>
      <c r="DC279" s="218">
        <f t="shared" si="1932"/>
        <v>0</v>
      </c>
      <c r="DD279" s="73">
        <f t="shared" si="1933"/>
        <v>0</v>
      </c>
      <c r="DE279" s="73">
        <f t="shared" si="1934"/>
        <v>0</v>
      </c>
      <c r="DF279" s="73">
        <f t="shared" si="1935"/>
        <v>0</v>
      </c>
      <c r="DG279" s="73">
        <f t="shared" si="1936"/>
        <v>0</v>
      </c>
      <c r="DH279" s="72" t="e">
        <f t="shared" si="1963"/>
        <v>#DIV/0!</v>
      </c>
      <c r="DI279" s="72" t="e">
        <f t="shared" si="1964"/>
        <v>#DIV/0!</v>
      </c>
      <c r="DJ279" s="73">
        <f>SUM(AV268:AV279,BB268:BB279,BI268:BI279)</f>
        <v>0</v>
      </c>
      <c r="DK279" s="73">
        <f>SUM(AV274:AV279,BB274:BB279,BI274:BI279)</f>
        <v>0</v>
      </c>
      <c r="DL279" s="190"/>
    </row>
    <row r="280" spans="22:116" x14ac:dyDescent="0.25">
      <c r="V280" s="13"/>
      <c r="W280" s="66">
        <v>12</v>
      </c>
      <c r="X280" s="66">
        <v>2016</v>
      </c>
      <c r="Y280" s="69">
        <v>1</v>
      </c>
      <c r="Z280" s="69">
        <v>0</v>
      </c>
      <c r="AA280" s="69">
        <v>0</v>
      </c>
      <c r="AB280" s="69">
        <v>0</v>
      </c>
      <c r="AC280" s="69">
        <v>0</v>
      </c>
      <c r="AD280" s="69">
        <v>0</v>
      </c>
      <c r="AE280" s="69">
        <v>0</v>
      </c>
      <c r="AF280" s="69">
        <v>0</v>
      </c>
      <c r="AG280" s="69">
        <v>0</v>
      </c>
      <c r="AH280" s="69">
        <v>0</v>
      </c>
      <c r="AI280" s="69">
        <v>0</v>
      </c>
      <c r="AJ280" s="69">
        <v>0</v>
      </c>
      <c r="AK280" s="69">
        <v>0</v>
      </c>
      <c r="AL280" s="69">
        <v>0</v>
      </c>
      <c r="AM280" s="69">
        <v>0</v>
      </c>
      <c r="AN280" s="69">
        <v>0</v>
      </c>
      <c r="AO280" s="69">
        <v>0</v>
      </c>
      <c r="AP280" s="190"/>
      <c r="AQ280" s="66">
        <v>12</v>
      </c>
      <c r="AR280" s="66">
        <v>2016</v>
      </c>
      <c r="AS280" s="215">
        <f t="shared" si="1914"/>
        <v>8588.0400000000009</v>
      </c>
      <c r="AT280" s="215">
        <f t="shared" si="1915"/>
        <v>0</v>
      </c>
      <c r="AU280" s="215">
        <f t="shared" si="1916"/>
        <v>0</v>
      </c>
      <c r="AV280" s="215">
        <f t="shared" si="1917"/>
        <v>0</v>
      </c>
      <c r="AW280" s="215">
        <f t="shared" si="1918"/>
        <v>0</v>
      </c>
      <c r="AX280" s="215">
        <f t="shared" si="1919"/>
        <v>0</v>
      </c>
      <c r="AY280" s="215">
        <f t="shared" si="1920"/>
        <v>0</v>
      </c>
      <c r="AZ280" s="215">
        <f t="shared" si="1921"/>
        <v>0</v>
      </c>
      <c r="BA280" s="215">
        <f t="shared" si="1922"/>
        <v>0</v>
      </c>
      <c r="BB280" s="215">
        <f t="shared" si="1923"/>
        <v>0</v>
      </c>
      <c r="BC280" s="215">
        <f t="shared" si="1924"/>
        <v>0</v>
      </c>
      <c r="BD280" s="215">
        <f t="shared" si="1925"/>
        <v>0</v>
      </c>
      <c r="BE280" s="215">
        <f t="shared" si="1926"/>
        <v>0</v>
      </c>
      <c r="BF280" s="215">
        <f t="shared" si="1927"/>
        <v>0</v>
      </c>
      <c r="BG280" s="215">
        <f t="shared" si="1928"/>
        <v>0</v>
      </c>
      <c r="BH280" s="215">
        <f t="shared" si="1929"/>
        <v>0</v>
      </c>
      <c r="BI280" s="215">
        <f t="shared" si="1930"/>
        <v>0</v>
      </c>
      <c r="BJ280" s="195"/>
      <c r="BK280" s="66">
        <v>12</v>
      </c>
      <c r="BL280" s="66">
        <v>2016</v>
      </c>
      <c r="BM280" s="215">
        <f t="shared" si="1973"/>
        <v>0</v>
      </c>
      <c r="BN280" s="219">
        <f t="shared" si="1974"/>
        <v>0</v>
      </c>
      <c r="BO280" s="219">
        <f t="shared" si="1975"/>
        <v>0</v>
      </c>
      <c r="BP280" s="219">
        <f t="shared" si="1976"/>
        <v>0</v>
      </c>
      <c r="BQ280" s="219">
        <f t="shared" si="1977"/>
        <v>0</v>
      </c>
      <c r="BR280" s="220">
        <f t="shared" si="1978"/>
        <v>0</v>
      </c>
      <c r="BS280" s="219">
        <f t="shared" si="1979"/>
        <v>0</v>
      </c>
      <c r="BT280" s="219">
        <f t="shared" si="1980"/>
        <v>0</v>
      </c>
      <c r="BU280" s="219">
        <f t="shared" si="1981"/>
        <v>0</v>
      </c>
      <c r="BV280" s="219">
        <f t="shared" si="1982"/>
        <v>0</v>
      </c>
      <c r="BW280" s="219">
        <f t="shared" si="1983"/>
        <v>0</v>
      </c>
      <c r="BX280" s="220">
        <f t="shared" si="1984"/>
        <v>0</v>
      </c>
      <c r="BY280" s="195"/>
      <c r="BZ280" s="66">
        <v>12</v>
      </c>
      <c r="CA280" s="66">
        <v>2016</v>
      </c>
      <c r="CB280" s="218">
        <f t="shared" si="1985"/>
        <v>0</v>
      </c>
      <c r="CC280" s="218">
        <f t="shared" si="1986"/>
        <v>0</v>
      </c>
      <c r="CD280" s="73">
        <f t="shared" si="1987"/>
        <v>0</v>
      </c>
      <c r="CE280" s="73">
        <f t="shared" si="1988"/>
        <v>0</v>
      </c>
      <c r="CF280" s="73">
        <f t="shared" si="1989"/>
        <v>0</v>
      </c>
      <c r="CG280" s="73">
        <f t="shared" si="1990"/>
        <v>0</v>
      </c>
      <c r="CH280" s="73">
        <f t="shared" si="1991"/>
        <v>0</v>
      </c>
      <c r="CI280" s="73">
        <f t="shared" si="1992"/>
        <v>0</v>
      </c>
      <c r="CJ280" s="73">
        <f t="shared" si="1993"/>
        <v>0</v>
      </c>
      <c r="CK280" s="73">
        <f t="shared" si="1994"/>
        <v>0</v>
      </c>
      <c r="CL280" s="73">
        <f t="shared" si="1995"/>
        <v>0</v>
      </c>
      <c r="CM280" s="73">
        <f t="shared" si="1996"/>
        <v>0</v>
      </c>
      <c r="CN280" s="73">
        <f t="shared" si="1997"/>
        <v>0</v>
      </c>
      <c r="CO280" s="73">
        <f t="shared" si="1998"/>
        <v>0</v>
      </c>
      <c r="CP280" s="73">
        <f t="shared" si="1999"/>
        <v>0</v>
      </c>
      <c r="CQ280" s="73">
        <f t="shared" si="2000"/>
        <v>0</v>
      </c>
      <c r="CR280" s="73">
        <f t="shared" si="2001"/>
        <v>0</v>
      </c>
      <c r="CS280" s="73">
        <f t="shared" si="2002"/>
        <v>0</v>
      </c>
      <c r="CT280" s="73">
        <f t="shared" si="2003"/>
        <v>0</v>
      </c>
      <c r="CU280" s="73">
        <f t="shared" si="2004"/>
        <v>0</v>
      </c>
      <c r="CV280" s="73">
        <f t="shared" si="2005"/>
        <v>0</v>
      </c>
      <c r="CW280" s="73">
        <f t="shared" si="2006"/>
        <v>0</v>
      </c>
      <c r="CX280" s="73">
        <f t="shared" si="2007"/>
        <v>0</v>
      </c>
      <c r="CY280" s="73">
        <f t="shared" si="2008"/>
        <v>0</v>
      </c>
      <c r="CZ280" s="190"/>
      <c r="DA280" s="66">
        <v>2016</v>
      </c>
      <c r="DB280" s="218">
        <f t="shared" si="1931"/>
        <v>0</v>
      </c>
      <c r="DC280" s="218">
        <f t="shared" si="1932"/>
        <v>8588.0400000000009</v>
      </c>
      <c r="DD280" s="73">
        <f t="shared" si="1933"/>
        <v>0</v>
      </c>
      <c r="DE280" s="73">
        <f t="shared" si="1934"/>
        <v>0</v>
      </c>
      <c r="DF280" s="73">
        <f t="shared" si="1935"/>
        <v>0</v>
      </c>
      <c r="DG280" s="73">
        <f t="shared" si="1936"/>
        <v>0</v>
      </c>
      <c r="DH280" s="72" t="e">
        <f t="shared" si="1963"/>
        <v>#DIV/0!</v>
      </c>
      <c r="DI280" s="72" t="e">
        <f t="shared" si="1964"/>
        <v>#DIV/0!</v>
      </c>
      <c r="DJ280" s="73">
        <f>SUM(AV268:AV280,BB268:BB280,BI268:BI280)</f>
        <v>0</v>
      </c>
      <c r="DK280" s="73">
        <f>SUM(AV274:AV280,BB274:BB280,BI274:BI280)</f>
        <v>0</v>
      </c>
      <c r="DL280" s="190"/>
    </row>
    <row r="281" spans="22:116" x14ac:dyDescent="0.25">
      <c r="V281" s="13"/>
      <c r="W281" s="66">
        <v>13</v>
      </c>
      <c r="X281" s="66">
        <v>2017</v>
      </c>
      <c r="Y281" s="70">
        <f t="shared" ref="Y281:Y287" si="2009">MMULT($Y280:$AO280,D$202:D$218)</f>
        <v>0.63376008575865694</v>
      </c>
      <c r="Z281" s="70">
        <f t="shared" ref="Z281:Z287" si="2010">MMULT($Y280:$AO280,E$202:E$218)</f>
        <v>7.4027434914144222E-2</v>
      </c>
      <c r="AA281" s="70">
        <f t="shared" ref="AA281:AA287" si="2011">MMULT($Y280:$AO280,F$202:F$218)</f>
        <v>0</v>
      </c>
      <c r="AB281" s="70">
        <f t="shared" ref="AB281:AB287" si="2012">MMULT($Y280:$AO280,G$202:G$218)</f>
        <v>1.818504441305463E-2</v>
      </c>
      <c r="AC281" s="70">
        <f t="shared" ref="AC281:AC287" si="2013">MMULT($Y280:$AO280,H$202:H$218)</f>
        <v>0.2</v>
      </c>
      <c r="AD281" s="70">
        <f t="shared" ref="AD281:AD287" si="2014">MMULT($Y280:$AO280,I$202:I$218)</f>
        <v>7.4027434914144222E-2</v>
      </c>
      <c r="AE281" s="70">
        <f t="shared" ref="AE281:AE287" si="2015">MMULT($Y280:$AO280,J$202:J$218)</f>
        <v>0</v>
      </c>
      <c r="AF281" s="70">
        <f t="shared" ref="AF281:AF287" si="2016">MMULT($Y280:$AO280,K$202:K$218)</f>
        <v>0</v>
      </c>
      <c r="AG281" s="70">
        <f t="shared" ref="AG281:AG287" si="2017">MMULT($Y280:$AO280,L$202:L$218)</f>
        <v>0</v>
      </c>
      <c r="AH281" s="70">
        <f t="shared" ref="AH281:AH287" si="2018">MMULT($Y280:$AO280,M$202:M$218)</f>
        <v>0</v>
      </c>
      <c r="AI281" s="70">
        <f t="shared" ref="AI281:AI287" si="2019">MMULT($Y280:$AO280,N$202:N$218)</f>
        <v>0</v>
      </c>
      <c r="AJ281" s="70">
        <f t="shared" ref="AJ281:AJ287" si="2020">MMULT($Y280:$AO280,O$202:O$218)</f>
        <v>0</v>
      </c>
      <c r="AK281" s="70">
        <f t="shared" ref="AK281:AK287" si="2021">MMULT($Y280:$AO280,P$202:P$218)</f>
        <v>0</v>
      </c>
      <c r="AL281" s="70">
        <f t="shared" ref="AL281:AL287" si="2022">MMULT($Y280:$AO280,Q$202:Q$218)</f>
        <v>0</v>
      </c>
      <c r="AM281" s="70">
        <f t="shared" ref="AM281:AM287" si="2023">MMULT($Y280:$AO280,R$202:R$218)</f>
        <v>0</v>
      </c>
      <c r="AN281" s="70">
        <f t="shared" ref="AN281:AN287" si="2024">MMULT($Y280:$AO280,S$202:S$218)</f>
        <v>0</v>
      </c>
      <c r="AO281" s="70">
        <f t="shared" ref="AO281:AO287" si="2025">MMULT($Y280:$AO280,T$202:T$218)</f>
        <v>0</v>
      </c>
      <c r="AP281" s="190"/>
      <c r="AQ281" s="66">
        <v>13</v>
      </c>
      <c r="AR281" s="66">
        <v>2017</v>
      </c>
      <c r="AS281" s="215">
        <f t="shared" si="1914"/>
        <v>5442.7569668987771</v>
      </c>
      <c r="AT281" s="215">
        <f t="shared" si="1915"/>
        <v>635.75057214006722</v>
      </c>
      <c r="AU281" s="215">
        <f t="shared" si="1916"/>
        <v>0</v>
      </c>
      <c r="AV281" s="215">
        <f t="shared" si="1917"/>
        <v>156.17388882108969</v>
      </c>
      <c r="AW281" s="215">
        <f t="shared" si="1918"/>
        <v>1717.6080000000002</v>
      </c>
      <c r="AX281" s="215">
        <f t="shared" si="1919"/>
        <v>635.75057214006722</v>
      </c>
      <c r="AY281" s="215">
        <f t="shared" si="1920"/>
        <v>0</v>
      </c>
      <c r="AZ281" s="215">
        <f t="shared" si="1921"/>
        <v>0</v>
      </c>
      <c r="BA281" s="215">
        <f t="shared" si="1922"/>
        <v>0</v>
      </c>
      <c r="BB281" s="215">
        <f t="shared" si="1923"/>
        <v>0</v>
      </c>
      <c r="BC281" s="215">
        <f t="shared" si="1924"/>
        <v>0</v>
      </c>
      <c r="BD281" s="215">
        <f t="shared" si="1925"/>
        <v>0</v>
      </c>
      <c r="BE281" s="215">
        <f t="shared" si="1926"/>
        <v>0</v>
      </c>
      <c r="BF281" s="215">
        <f t="shared" si="1927"/>
        <v>0</v>
      </c>
      <c r="BG281" s="215">
        <f t="shared" si="1928"/>
        <v>0</v>
      </c>
      <c r="BH281" s="215">
        <f t="shared" si="1929"/>
        <v>0</v>
      </c>
      <c r="BI281" s="215">
        <f t="shared" si="1930"/>
        <v>0</v>
      </c>
      <c r="BJ281" s="195"/>
      <c r="BK281" s="66">
        <v>13</v>
      </c>
      <c r="BL281" s="66">
        <v>2017</v>
      </c>
      <c r="BM281" s="215">
        <f t="shared" si="1973"/>
        <v>0</v>
      </c>
      <c r="BN281" s="219">
        <f t="shared" si="1974"/>
        <v>0</v>
      </c>
      <c r="BO281" s="219">
        <f t="shared" si="1975"/>
        <v>0</v>
      </c>
      <c r="BP281" s="219">
        <f t="shared" si="1976"/>
        <v>0</v>
      </c>
      <c r="BQ281" s="219">
        <f t="shared" si="1977"/>
        <v>0</v>
      </c>
      <c r="BR281" s="220">
        <f t="shared" si="1978"/>
        <v>0</v>
      </c>
      <c r="BS281" s="219">
        <f t="shared" si="1979"/>
        <v>0</v>
      </c>
      <c r="BT281" s="219">
        <f t="shared" si="1980"/>
        <v>0</v>
      </c>
      <c r="BU281" s="219">
        <f t="shared" si="1981"/>
        <v>0</v>
      </c>
      <c r="BV281" s="219">
        <f t="shared" si="1982"/>
        <v>0</v>
      </c>
      <c r="BW281" s="219">
        <f t="shared" si="1983"/>
        <v>0</v>
      </c>
      <c r="BX281" s="220">
        <f t="shared" si="1984"/>
        <v>0</v>
      </c>
      <c r="BY281" s="195"/>
      <c r="BZ281" s="66">
        <v>13</v>
      </c>
      <c r="CA281" s="66">
        <v>2017</v>
      </c>
      <c r="CB281" s="218">
        <f t="shared" si="1985"/>
        <v>156.17388882108969</v>
      </c>
      <c r="CC281" s="218">
        <f t="shared" si="1986"/>
        <v>0</v>
      </c>
      <c r="CD281" s="73">
        <f t="shared" si="1987"/>
        <v>0</v>
      </c>
      <c r="CE281" s="73">
        <f t="shared" si="1988"/>
        <v>0</v>
      </c>
      <c r="CF281" s="73">
        <f t="shared" si="1989"/>
        <v>0</v>
      </c>
      <c r="CG281" s="73">
        <f t="shared" si="1990"/>
        <v>0</v>
      </c>
      <c r="CH281" s="73">
        <f t="shared" si="1991"/>
        <v>0</v>
      </c>
      <c r="CI281" s="73">
        <f t="shared" si="1992"/>
        <v>0</v>
      </c>
      <c r="CJ281" s="73">
        <f t="shared" si="1993"/>
        <v>0</v>
      </c>
      <c r="CK281" s="73">
        <f t="shared" si="1994"/>
        <v>0</v>
      </c>
      <c r="CL281" s="73">
        <f t="shared" si="1995"/>
        <v>0</v>
      </c>
      <c r="CM281" s="73">
        <f t="shared" si="1996"/>
        <v>0</v>
      </c>
      <c r="CN281" s="73">
        <f t="shared" si="1997"/>
        <v>0</v>
      </c>
      <c r="CO281" s="73">
        <f t="shared" si="1998"/>
        <v>0</v>
      </c>
      <c r="CP281" s="73">
        <f t="shared" si="1999"/>
        <v>0</v>
      </c>
      <c r="CQ281" s="73">
        <f t="shared" si="2000"/>
        <v>0</v>
      </c>
      <c r="CR281" s="73">
        <f t="shared" si="2001"/>
        <v>0</v>
      </c>
      <c r="CS281" s="73">
        <f t="shared" si="2002"/>
        <v>0</v>
      </c>
      <c r="CT281" s="73">
        <f t="shared" si="2003"/>
        <v>0</v>
      </c>
      <c r="CU281" s="73">
        <f t="shared" si="2004"/>
        <v>0</v>
      </c>
      <c r="CV281" s="73">
        <f t="shared" si="2005"/>
        <v>0</v>
      </c>
      <c r="CW281" s="73">
        <f t="shared" si="2006"/>
        <v>0</v>
      </c>
      <c r="CX281" s="73">
        <f t="shared" si="2007"/>
        <v>0</v>
      </c>
      <c r="CY281" s="73">
        <f t="shared" si="2008"/>
        <v>0</v>
      </c>
      <c r="CZ281" s="190"/>
      <c r="DA281" s="66">
        <v>2017</v>
      </c>
      <c r="DB281" s="218">
        <f t="shared" si="1931"/>
        <v>1271.5011442801344</v>
      </c>
      <c r="DC281" s="218">
        <f t="shared" si="1932"/>
        <v>8431.8661111789115</v>
      </c>
      <c r="DD281" s="73">
        <f t="shared" si="1933"/>
        <v>0</v>
      </c>
      <c r="DE281" s="73">
        <f t="shared" si="1934"/>
        <v>0</v>
      </c>
      <c r="DF281" s="73">
        <f t="shared" si="1935"/>
        <v>0</v>
      </c>
      <c r="DG281" s="73">
        <f t="shared" si="1936"/>
        <v>2353.3585721400673</v>
      </c>
      <c r="DH281" s="72">
        <f t="shared" si="1963"/>
        <v>0</v>
      </c>
      <c r="DI281" s="72" t="e">
        <f t="shared" si="1964"/>
        <v>#DIV/0!</v>
      </c>
      <c r="DJ281" s="73">
        <f>SUM(AV268:AV281,BB268:BB281,BI268:BI281)</f>
        <v>156.17388882108969</v>
      </c>
      <c r="DK281" s="73">
        <f>SUM(AV274:AV281,BB274:BB281,BI274:BI281)</f>
        <v>156.17388882108969</v>
      </c>
      <c r="DL281" s="190"/>
    </row>
    <row r="282" spans="22:116" x14ac:dyDescent="0.25">
      <c r="V282" s="13"/>
      <c r="W282" s="66">
        <v>14</v>
      </c>
      <c r="X282" s="66">
        <v>2018</v>
      </c>
      <c r="Y282" s="70">
        <f t="shared" si="2009"/>
        <v>0.40165184630082018</v>
      </c>
      <c r="Z282" s="70">
        <f t="shared" si="2010"/>
        <v>7.9350132444030066E-2</v>
      </c>
      <c r="AA282" s="70">
        <f t="shared" si="2011"/>
        <v>2.2711269412095766E-2</v>
      </c>
      <c r="AB282" s="70">
        <f t="shared" si="2012"/>
        <v>1.2788092354875989E-2</v>
      </c>
      <c r="AC282" s="70">
        <f t="shared" si="2013"/>
        <v>0.22169301105858225</v>
      </c>
      <c r="AD282" s="70">
        <f t="shared" si="2014"/>
        <v>0.1017364552227743</v>
      </c>
      <c r="AE282" s="70">
        <f t="shared" si="2015"/>
        <v>1.2322340839651991E-2</v>
      </c>
      <c r="AF282" s="70">
        <f t="shared" si="2016"/>
        <v>0</v>
      </c>
      <c r="AG282" s="70">
        <f t="shared" si="2017"/>
        <v>1.3509635260084139E-2</v>
      </c>
      <c r="AH282" s="70">
        <f t="shared" si="2018"/>
        <v>7.5148512019901498E-3</v>
      </c>
      <c r="AI282" s="70">
        <f t="shared" si="2019"/>
        <v>0.06</v>
      </c>
      <c r="AJ282" s="70">
        <f t="shared" si="2020"/>
        <v>4.1948879784681731E-2</v>
      </c>
      <c r="AK282" s="70">
        <f t="shared" si="2021"/>
        <v>6.5884417073588351E-3</v>
      </c>
      <c r="AL282" s="70">
        <f t="shared" si="2022"/>
        <v>0</v>
      </c>
      <c r="AM282" s="70">
        <f t="shared" si="2023"/>
        <v>0</v>
      </c>
      <c r="AN282" s="70">
        <f t="shared" si="2024"/>
        <v>0</v>
      </c>
      <c r="AO282" s="70">
        <f t="shared" si="2025"/>
        <v>0</v>
      </c>
      <c r="AP282" s="190"/>
      <c r="AQ282" s="66">
        <v>14</v>
      </c>
      <c r="AR282" s="66">
        <v>2018</v>
      </c>
      <c r="AS282" s="215">
        <f t="shared" si="1914"/>
        <v>3449.4021221052963</v>
      </c>
      <c r="AT282" s="215">
        <f t="shared" si="1915"/>
        <v>681.46211143462801</v>
      </c>
      <c r="AU282" s="215">
        <f t="shared" si="1916"/>
        <v>195.04529016185495</v>
      </c>
      <c r="AV282" s="215">
        <f t="shared" si="1917"/>
        <v>109.8246486673692</v>
      </c>
      <c r="AW282" s="215">
        <f t="shared" si="1918"/>
        <v>1903.9084466915469</v>
      </c>
      <c r="AX282" s="215">
        <f t="shared" si="1919"/>
        <v>873.71674691139469</v>
      </c>
      <c r="AY282" s="215">
        <f t="shared" si="1920"/>
        <v>105.82475602456491</v>
      </c>
      <c r="AZ282" s="215">
        <f t="shared" si="1921"/>
        <v>0</v>
      </c>
      <c r="BA282" s="215">
        <f t="shared" si="1922"/>
        <v>116.021287999013</v>
      </c>
      <c r="BB282" s="215">
        <f t="shared" si="1923"/>
        <v>64.53784271673949</v>
      </c>
      <c r="BC282" s="215">
        <f t="shared" si="1924"/>
        <v>515.28240000000005</v>
      </c>
      <c r="BD282" s="215">
        <f t="shared" si="1925"/>
        <v>360.25865754603814</v>
      </c>
      <c r="BE282" s="215">
        <f t="shared" si="1926"/>
        <v>56.581800920465973</v>
      </c>
      <c r="BF282" s="215">
        <f t="shared" si="1927"/>
        <v>0</v>
      </c>
      <c r="BG282" s="215">
        <f t="shared" si="1928"/>
        <v>0</v>
      </c>
      <c r="BH282" s="215">
        <f t="shared" si="1929"/>
        <v>0</v>
      </c>
      <c r="BI282" s="215">
        <f t="shared" si="1930"/>
        <v>0</v>
      </c>
      <c r="BJ282" s="195"/>
      <c r="BK282" s="66">
        <v>14</v>
      </c>
      <c r="BL282" s="66">
        <v>2018</v>
      </c>
      <c r="BM282" s="215">
        <f t="shared" si="1973"/>
        <v>116.021287999013</v>
      </c>
      <c r="BN282" s="219">
        <f t="shared" si="1974"/>
        <v>0</v>
      </c>
      <c r="BO282" s="219">
        <f t="shared" si="1975"/>
        <v>0</v>
      </c>
      <c r="BP282" s="219">
        <f t="shared" si="1976"/>
        <v>0</v>
      </c>
      <c r="BQ282" s="219">
        <f t="shared" si="1977"/>
        <v>0</v>
      </c>
      <c r="BR282" s="220">
        <f t="shared" si="1978"/>
        <v>0</v>
      </c>
      <c r="BS282" s="219">
        <f t="shared" si="1979"/>
        <v>0</v>
      </c>
      <c r="BT282" s="219">
        <f t="shared" si="1980"/>
        <v>0</v>
      </c>
      <c r="BU282" s="219">
        <f t="shared" si="1981"/>
        <v>0</v>
      </c>
      <c r="BV282" s="219">
        <f t="shared" si="1982"/>
        <v>0</v>
      </c>
      <c r="BW282" s="219">
        <f t="shared" si="1983"/>
        <v>0</v>
      </c>
      <c r="BX282" s="220">
        <f t="shared" si="1984"/>
        <v>0</v>
      </c>
      <c r="BY282" s="195"/>
      <c r="BZ282" s="66">
        <v>14</v>
      </c>
      <c r="CA282" s="66">
        <v>2018</v>
      </c>
      <c r="CB282" s="218">
        <f t="shared" si="1985"/>
        <v>98.976777172516762</v>
      </c>
      <c r="CC282" s="218">
        <f t="shared" si="1986"/>
        <v>10.847871494852438</v>
      </c>
      <c r="CD282" s="73">
        <f t="shared" si="1987"/>
        <v>0</v>
      </c>
      <c r="CE282" s="73">
        <f t="shared" si="1988"/>
        <v>47.901574880172824</v>
      </c>
      <c r="CF282" s="73">
        <f t="shared" si="1989"/>
        <v>16.636267836566656</v>
      </c>
      <c r="CG282" s="73">
        <f t="shared" si="1990"/>
        <v>0</v>
      </c>
      <c r="CH282" s="73">
        <f t="shared" si="1991"/>
        <v>0</v>
      </c>
      <c r="CI282" s="73">
        <f t="shared" si="1992"/>
        <v>0</v>
      </c>
      <c r="CJ282" s="73">
        <f t="shared" si="1993"/>
        <v>0</v>
      </c>
      <c r="CK282" s="73">
        <f t="shared" si="1994"/>
        <v>0</v>
      </c>
      <c r="CL282" s="73">
        <f t="shared" si="1995"/>
        <v>0</v>
      </c>
      <c r="CM282" s="73">
        <f t="shared" si="1996"/>
        <v>0</v>
      </c>
      <c r="CN282" s="73">
        <f t="shared" si="1997"/>
        <v>0</v>
      </c>
      <c r="CO282" s="73">
        <f t="shared" si="1998"/>
        <v>0</v>
      </c>
      <c r="CP282" s="73">
        <f t="shared" si="1999"/>
        <v>0</v>
      </c>
      <c r="CQ282" s="73">
        <f t="shared" si="2000"/>
        <v>0</v>
      </c>
      <c r="CR282" s="73">
        <f t="shared" si="2001"/>
        <v>0</v>
      </c>
      <c r="CS282" s="73">
        <f t="shared" si="2002"/>
        <v>0</v>
      </c>
      <c r="CT282" s="73">
        <f t="shared" si="2003"/>
        <v>0</v>
      </c>
      <c r="CU282" s="73">
        <f t="shared" si="2004"/>
        <v>0</v>
      </c>
      <c r="CV282" s="73">
        <f t="shared" si="2005"/>
        <v>0</v>
      </c>
      <c r="CW282" s="73">
        <f t="shared" si="2006"/>
        <v>0</v>
      </c>
      <c r="CX282" s="73">
        <f t="shared" si="2007"/>
        <v>0</v>
      </c>
      <c r="CY282" s="73">
        <f t="shared" si="2008"/>
        <v>0</v>
      </c>
      <c r="CZ282" s="190"/>
      <c r="DA282" s="66">
        <v>2018</v>
      </c>
      <c r="DB282" s="218">
        <f t="shared" si="1931"/>
        <v>1915.4375158920609</v>
      </c>
      <c r="DC282" s="218">
        <f t="shared" si="1932"/>
        <v>8257.5036197948029</v>
      </c>
      <c r="DD282" s="73">
        <f t="shared" si="1933"/>
        <v>162.40655694503087</v>
      </c>
      <c r="DE282" s="73">
        <f t="shared" si="1934"/>
        <v>56.581800920465973</v>
      </c>
      <c r="DF282" s="73">
        <f t="shared" si="1935"/>
        <v>875.54105754603825</v>
      </c>
      <c r="DG282" s="73">
        <f t="shared" si="1936"/>
        <v>3769.187539147993</v>
      </c>
      <c r="DH282" s="72">
        <f t="shared" si="1963"/>
        <v>4.1308068171742478E-2</v>
      </c>
      <c r="DI282" s="72">
        <f t="shared" si="1964"/>
        <v>6.0702084930684311E-2</v>
      </c>
      <c r="DJ282" s="73">
        <f>SUM(AV268:AV282,BB268:BB282,BI268:BI282)</f>
        <v>330.53638020519838</v>
      </c>
      <c r="DK282" s="73">
        <f>SUM(AV274:AV282,BB274:BB282,BI274:BI282)</f>
        <v>330.53638020519838</v>
      </c>
      <c r="DL282" s="190"/>
    </row>
    <row r="283" spans="22:116" x14ac:dyDescent="0.25">
      <c r="V283" s="13"/>
      <c r="W283" s="66">
        <v>15</v>
      </c>
      <c r="X283" s="66">
        <v>2019</v>
      </c>
      <c r="Y283" s="70">
        <f t="shared" si="2009"/>
        <v>0.25455090855673068</v>
      </c>
      <c r="Z283" s="70">
        <f t="shared" si="2010"/>
        <v>6.4499850078608451E-2</v>
      </c>
      <c r="AA283" s="70">
        <f t="shared" si="2011"/>
        <v>3.9118268432763954E-2</v>
      </c>
      <c r="AB283" s="70">
        <f t="shared" si="2012"/>
        <v>9.0710208405925634E-3</v>
      </c>
      <c r="AC283" s="70">
        <f t="shared" si="2013"/>
        <v>0.18556914332068541</v>
      </c>
      <c r="AD283" s="70">
        <f t="shared" si="2014"/>
        <v>9.5348753537974687E-2</v>
      </c>
      <c r="AE283" s="70">
        <f t="shared" si="2015"/>
        <v>3.3225173226078444E-2</v>
      </c>
      <c r="AF283" s="70">
        <f t="shared" si="2016"/>
        <v>2.4263437499190883E-3</v>
      </c>
      <c r="AG283" s="70">
        <f t="shared" si="2017"/>
        <v>2.8668531751787067E-2</v>
      </c>
      <c r="AH283" s="70">
        <f t="shared" si="2018"/>
        <v>9.2840050097176517E-3</v>
      </c>
      <c r="AI283" s="70">
        <f t="shared" si="2019"/>
        <v>7.0651352353037836E-2</v>
      </c>
      <c r="AJ283" s="70">
        <f t="shared" si="2020"/>
        <v>8.569708969366624E-2</v>
      </c>
      <c r="AK283" s="70">
        <f t="shared" si="2021"/>
        <v>3.0309750692456512E-2</v>
      </c>
      <c r="AL283" s="70">
        <f t="shared" si="2022"/>
        <v>5.4057491247627015E-3</v>
      </c>
      <c r="AM283" s="70">
        <f t="shared" si="2023"/>
        <v>0</v>
      </c>
      <c r="AN283" s="70">
        <f t="shared" si="2024"/>
        <v>5.9232001121558263E-3</v>
      </c>
      <c r="AO283" s="70">
        <f t="shared" si="2025"/>
        <v>4.1762871549142107E-2</v>
      </c>
      <c r="AP283" s="190"/>
      <c r="AQ283" s="66">
        <v>15</v>
      </c>
      <c r="AR283" s="66">
        <v>2019</v>
      </c>
      <c r="AS283" s="215">
        <f t="shared" si="1914"/>
        <v>2186.0933847215456</v>
      </c>
      <c r="AT283" s="215">
        <f t="shared" si="1915"/>
        <v>553.92729246909255</v>
      </c>
      <c r="AU283" s="215">
        <f t="shared" si="1916"/>
        <v>335.94925403131418</v>
      </c>
      <c r="AV283" s="215">
        <f t="shared" si="1917"/>
        <v>77.902289819842565</v>
      </c>
      <c r="AW283" s="215">
        <f t="shared" si="1918"/>
        <v>1593.6752256037794</v>
      </c>
      <c r="AX283" s="215">
        <f t="shared" si="1919"/>
        <v>818.85890933426822</v>
      </c>
      <c r="AY283" s="215">
        <f t="shared" si="1920"/>
        <v>285.33911667249077</v>
      </c>
      <c r="AZ283" s="215">
        <f t="shared" si="1921"/>
        <v>20.837537178055129</v>
      </c>
      <c r="BA283" s="215">
        <f t="shared" si="1922"/>
        <v>246.20649742561744</v>
      </c>
      <c r="BB283" s="215">
        <f t="shared" si="1923"/>
        <v>79.731406383655596</v>
      </c>
      <c r="BC283" s="215">
        <f t="shared" si="1924"/>
        <v>606.75664006198315</v>
      </c>
      <c r="BD283" s="215">
        <f t="shared" si="1925"/>
        <v>735.97003417279348</v>
      </c>
      <c r="BE283" s="215">
        <f t="shared" si="1926"/>
        <v>260.30135133684428</v>
      </c>
      <c r="BF283" s="215">
        <f t="shared" si="1927"/>
        <v>46.424789713427074</v>
      </c>
      <c r="BG283" s="215">
        <f t="shared" si="1928"/>
        <v>0</v>
      </c>
      <c r="BH283" s="215">
        <f t="shared" si="1929"/>
        <v>50.868679491198726</v>
      </c>
      <c r="BI283" s="215">
        <f t="shared" si="1930"/>
        <v>358.66121137889439</v>
      </c>
      <c r="BJ283" s="195"/>
      <c r="BK283" s="66">
        <v>15</v>
      </c>
      <c r="BL283" s="66">
        <v>2019</v>
      </c>
      <c r="BM283" s="215">
        <f t="shared" si="1973"/>
        <v>205.67509470161843</v>
      </c>
      <c r="BN283" s="219">
        <f t="shared" si="1974"/>
        <v>39.009058032370994</v>
      </c>
      <c r="BO283" s="219">
        <f t="shared" si="1975"/>
        <v>1.5223446916279959</v>
      </c>
      <c r="BP283" s="219">
        <f t="shared" si="1976"/>
        <v>0</v>
      </c>
      <c r="BQ283" s="219">
        <f t="shared" si="1977"/>
        <v>21.185182166464188</v>
      </c>
      <c r="BR283" s="220">
        <f t="shared" si="1978"/>
        <v>0</v>
      </c>
      <c r="BS283" s="219">
        <f t="shared" si="1979"/>
        <v>27.889554306043259</v>
      </c>
      <c r="BT283" s="219">
        <f t="shared" si="1980"/>
        <v>1.7939430186912875</v>
      </c>
      <c r="BU283" s="219">
        <f t="shared" si="1981"/>
        <v>0</v>
      </c>
      <c r="BV283" s="219">
        <f t="shared" si="1982"/>
        <v>0</v>
      </c>
      <c r="BW283" s="219">
        <f t="shared" si="1983"/>
        <v>0</v>
      </c>
      <c r="BX283" s="220">
        <f t="shared" si="1984"/>
        <v>0</v>
      </c>
      <c r="BY283" s="195"/>
      <c r="BZ283" s="66">
        <v>15</v>
      </c>
      <c r="CA283" s="66">
        <v>2019</v>
      </c>
      <c r="CB283" s="218">
        <f t="shared" si="1985"/>
        <v>62.727530788969702</v>
      </c>
      <c r="CC283" s="218">
        <f t="shared" si="1986"/>
        <v>11.627851766722399</v>
      </c>
      <c r="CD283" s="73">
        <f t="shared" si="1987"/>
        <v>3.5469072641504593</v>
      </c>
      <c r="CE283" s="73">
        <f t="shared" si="1988"/>
        <v>53.097221848168303</v>
      </c>
      <c r="CF283" s="73">
        <f t="shared" si="1989"/>
        <v>22.863346809083612</v>
      </c>
      <c r="CG283" s="73">
        <f t="shared" si="1990"/>
        <v>0.53517370132995767</v>
      </c>
      <c r="CH283" s="73">
        <f t="shared" si="1991"/>
        <v>0</v>
      </c>
      <c r="CI283" s="73">
        <f t="shared" si="1992"/>
        <v>3.2356640250737172</v>
      </c>
      <c r="CJ283" s="73">
        <f t="shared" si="1993"/>
        <v>0</v>
      </c>
      <c r="CK283" s="73">
        <f t="shared" si="1994"/>
        <v>0</v>
      </c>
      <c r="CL283" s="73">
        <f t="shared" si="1995"/>
        <v>0</v>
      </c>
      <c r="CM283" s="73">
        <f t="shared" si="1996"/>
        <v>211.53101958806502</v>
      </c>
      <c r="CN283" s="73">
        <f t="shared" si="1997"/>
        <v>138.76712360248183</v>
      </c>
      <c r="CO283" s="73">
        <f t="shared" si="1998"/>
        <v>8.3630681883476132</v>
      </c>
      <c r="CP283" s="73">
        <f t="shared" si="1999"/>
        <v>0</v>
      </c>
      <c r="CQ283" s="73">
        <f t="shared" si="2000"/>
        <v>0</v>
      </c>
      <c r="CR283" s="73">
        <f t="shared" si="2001"/>
        <v>0</v>
      </c>
      <c r="CS283" s="73">
        <f t="shared" si="2002"/>
        <v>0</v>
      </c>
      <c r="CT283" s="73">
        <f t="shared" si="2003"/>
        <v>0</v>
      </c>
      <c r="CU283" s="73">
        <f t="shared" si="2004"/>
        <v>0</v>
      </c>
      <c r="CV283" s="73">
        <f t="shared" si="2005"/>
        <v>0</v>
      </c>
      <c r="CW283" s="73">
        <f t="shared" si="2006"/>
        <v>0</v>
      </c>
      <c r="CX283" s="73">
        <f t="shared" si="2007"/>
        <v>0</v>
      </c>
      <c r="CY283" s="73">
        <f t="shared" si="2008"/>
        <v>0</v>
      </c>
      <c r="CZ283" s="190"/>
      <c r="DA283" s="66">
        <v>2019</v>
      </c>
      <c r="DB283" s="218">
        <f t="shared" si="1931"/>
        <v>2108.7562359761541</v>
      </c>
      <c r="DC283" s="218">
        <f t="shared" si="1932"/>
        <v>7741.2087122124094</v>
      </c>
      <c r="DD283" s="73">
        <f t="shared" si="1933"/>
        <v>612.9027949008173</v>
      </c>
      <c r="DE283" s="73">
        <f t="shared" si="1934"/>
        <v>306.72614105027134</v>
      </c>
      <c r="DF283" s="73">
        <f t="shared" si="1935"/>
        <v>1393.5953537259752</v>
      </c>
      <c r="DG283" s="73">
        <f t="shared" si="1936"/>
        <v>4052.3359860896398</v>
      </c>
      <c r="DH283" s="72">
        <f t="shared" si="1963"/>
        <v>0.13137651118699961</v>
      </c>
      <c r="DI283" s="72">
        <f t="shared" si="1964"/>
        <v>0.18039302684380573</v>
      </c>
      <c r="DJ283" s="73">
        <f>SUM(AV268:AV283,BB268:BB283,BI268:BI283)</f>
        <v>846.83128778759101</v>
      </c>
      <c r="DK283" s="73">
        <f>SUM(AV274:AV283,BB274:BB283,BI274:BI283)</f>
        <v>846.83128778759101</v>
      </c>
      <c r="DL283" s="190"/>
    </row>
    <row r="284" spans="22:116" x14ac:dyDescent="0.25">
      <c r="V284" s="13"/>
      <c r="W284" s="66">
        <v>16</v>
      </c>
      <c r="X284" s="66">
        <v>2020</v>
      </c>
      <c r="Y284" s="70">
        <f t="shared" si="2009"/>
        <v>0.16132420563685768</v>
      </c>
      <c r="Z284" s="70">
        <f t="shared" si="2010"/>
        <v>4.71038184743756E-2</v>
      </c>
      <c r="AA284" s="70">
        <f t="shared" si="2011"/>
        <v>4.5235269776561449E-2</v>
      </c>
      <c r="AB284" s="70">
        <f t="shared" si="2012"/>
        <v>6.4409540029590553E-3</v>
      </c>
      <c r="AC284" s="70">
        <f t="shared" si="2013"/>
        <v>0.13900077623788976</v>
      </c>
      <c r="AD284" s="70">
        <f t="shared" si="2014"/>
        <v>7.6174180760404872E-2</v>
      </c>
      <c r="AE284" s="70">
        <f t="shared" si="2015"/>
        <v>5.6759597073604617E-2</v>
      </c>
      <c r="AF284" s="70">
        <f t="shared" si="2016"/>
        <v>7.5893612305730114E-3</v>
      </c>
      <c r="AG284" s="70">
        <f t="shared" si="2017"/>
        <v>3.7159545159019869E-2</v>
      </c>
      <c r="AH284" s="70">
        <f t="shared" si="2018"/>
        <v>8.6501493740506214E-3</v>
      </c>
      <c r="AI284" s="70">
        <f t="shared" si="2019"/>
        <v>6.0549747625561666E-2</v>
      </c>
      <c r="AJ284" s="70">
        <f t="shared" si="2020"/>
        <v>9.0594426191087832E-2</v>
      </c>
      <c r="AK284" s="70">
        <f t="shared" si="2021"/>
        <v>5.0485938529922988E-2</v>
      </c>
      <c r="AL284" s="70">
        <f t="shared" si="2022"/>
        <v>2.9911611370230826E-2</v>
      </c>
      <c r="AM284" s="70">
        <f t="shared" si="2023"/>
        <v>1.5413424508965083E-3</v>
      </c>
      <c r="AN284" s="70">
        <f t="shared" si="2024"/>
        <v>1.3809606340603651E-2</v>
      </c>
      <c r="AO284" s="70">
        <f t="shared" si="2025"/>
        <v>6.9063584396026889E-2</v>
      </c>
      <c r="AP284" s="190"/>
      <c r="AQ284" s="66">
        <v>16</v>
      </c>
      <c r="AR284" s="66">
        <v>2020</v>
      </c>
      <c r="AS284" s="215">
        <f t="shared" si="1914"/>
        <v>1385.4587309775593</v>
      </c>
      <c r="AT284" s="215">
        <f t="shared" si="1915"/>
        <v>404.52947721067665</v>
      </c>
      <c r="AU284" s="215">
        <f t="shared" si="1916"/>
        <v>388.48230625190081</v>
      </c>
      <c r="AV284" s="215">
        <f t="shared" si="1917"/>
        <v>55.315170615572491</v>
      </c>
      <c r="AW284" s="215">
        <f t="shared" si="1918"/>
        <v>1193.7442263620469</v>
      </c>
      <c r="AX284" s="215">
        <f t="shared" si="1919"/>
        <v>654.1869113375875</v>
      </c>
      <c r="AY284" s="215">
        <f t="shared" si="1920"/>
        <v>487.45369005199944</v>
      </c>
      <c r="AZ284" s="215">
        <f t="shared" si="1921"/>
        <v>65.177737822610254</v>
      </c>
      <c r="BA284" s="215">
        <f t="shared" si="1922"/>
        <v>319.12766020746903</v>
      </c>
      <c r="BB284" s="215">
        <f t="shared" si="1923"/>
        <v>74.2878288303217</v>
      </c>
      <c r="BC284" s="215">
        <f t="shared" si="1924"/>
        <v>520.00365459822865</v>
      </c>
      <c r="BD284" s="215">
        <f t="shared" si="1925"/>
        <v>778.02855590611</v>
      </c>
      <c r="BE284" s="215">
        <f t="shared" si="1926"/>
        <v>433.57525953251985</v>
      </c>
      <c r="BF284" s="215">
        <f t="shared" si="1927"/>
        <v>256.88211491199718</v>
      </c>
      <c r="BG284" s="215">
        <f t="shared" si="1928"/>
        <v>13.23711062199725</v>
      </c>
      <c r="BH284" s="215">
        <f t="shared" si="1929"/>
        <v>118.59745163735779</v>
      </c>
      <c r="BI284" s="215">
        <f t="shared" si="1930"/>
        <v>593.1208253364548</v>
      </c>
      <c r="BJ284" s="195"/>
      <c r="BK284" s="66">
        <v>16</v>
      </c>
      <c r="BL284" s="66">
        <v>2020</v>
      </c>
      <c r="BM284" s="215">
        <f t="shared" si="1973"/>
        <v>231.38443611982507</v>
      </c>
      <c r="BN284" s="219">
        <f t="shared" si="1974"/>
        <v>82.732166789984859</v>
      </c>
      <c r="BO284" s="219">
        <f t="shared" si="1975"/>
        <v>4.711298382058585</v>
      </c>
      <c r="BP284" s="219">
        <f t="shared" si="1976"/>
        <v>0.29975891560052059</v>
      </c>
      <c r="BQ284" s="219">
        <f t="shared" si="1977"/>
        <v>46.352726546685659</v>
      </c>
      <c r="BR284" s="220">
        <f t="shared" si="1978"/>
        <v>9.3771174340924315</v>
      </c>
      <c r="BS284" s="219">
        <f t="shared" si="1979"/>
        <v>53.487175587849435</v>
      </c>
      <c r="BT284" s="219">
        <f t="shared" si="1980"/>
        <v>8.5132073383481472</v>
      </c>
      <c r="BU284" s="219">
        <f t="shared" si="1981"/>
        <v>0.50127882785052602</v>
      </c>
      <c r="BV284" s="219">
        <f t="shared" si="1982"/>
        <v>0.36594590253158416</v>
      </c>
      <c r="BW284" s="219">
        <f t="shared" si="1983"/>
        <v>0</v>
      </c>
      <c r="BX284" s="220">
        <f t="shared" si="1984"/>
        <v>0</v>
      </c>
      <c r="BY284" s="195"/>
      <c r="BZ284" s="66">
        <v>16</v>
      </c>
      <c r="CA284" s="66">
        <v>2020</v>
      </c>
      <c r="CB284" s="218">
        <f t="shared" si="1985"/>
        <v>39.754205292246226</v>
      </c>
      <c r="CC284" s="218">
        <f t="shared" si="1986"/>
        <v>9.4517132182342465</v>
      </c>
      <c r="CD284" s="73">
        <f t="shared" si="1987"/>
        <v>6.1092521050920201</v>
      </c>
      <c r="CE284" s="73">
        <f t="shared" si="1988"/>
        <v>44.445271071126676</v>
      </c>
      <c r="CF284" s="73">
        <f t="shared" si="1989"/>
        <v>21.427831500311104</v>
      </c>
      <c r="CG284" s="73">
        <f t="shared" si="1990"/>
        <v>1.443008204700138</v>
      </c>
      <c r="CH284" s="73">
        <f t="shared" si="1991"/>
        <v>0.10537895211959421</v>
      </c>
      <c r="CI284" s="73">
        <f t="shared" si="1992"/>
        <v>5.7359775628875811</v>
      </c>
      <c r="CJ284" s="73">
        <f t="shared" si="1993"/>
        <v>1.0879055723672841</v>
      </c>
      <c r="CK284" s="73">
        <f t="shared" si="1994"/>
        <v>4.2455966809337199E-2</v>
      </c>
      <c r="CL284" s="73">
        <f t="shared" si="1995"/>
        <v>0</v>
      </c>
      <c r="CM284" s="73">
        <f t="shared" si="1996"/>
        <v>249.08254330856218</v>
      </c>
      <c r="CN284" s="73">
        <f t="shared" si="1997"/>
        <v>283.48644109053123</v>
      </c>
      <c r="CO284" s="73">
        <f t="shared" si="1998"/>
        <v>38.473818707344357</v>
      </c>
      <c r="CP284" s="73">
        <f t="shared" si="1999"/>
        <v>1.1956795808759493</v>
      </c>
      <c r="CQ284" s="73">
        <f t="shared" si="2000"/>
        <v>0</v>
      </c>
      <c r="CR284" s="73">
        <f t="shared" si="2001"/>
        <v>8.696829512964273</v>
      </c>
      <c r="CS284" s="73">
        <f t="shared" si="2002"/>
        <v>0</v>
      </c>
      <c r="CT284" s="73">
        <f t="shared" si="2003"/>
        <v>11.4490730873285</v>
      </c>
      <c r="CU284" s="73">
        <f t="shared" si="2004"/>
        <v>0.7364400488482804</v>
      </c>
      <c r="CV284" s="73">
        <f t="shared" si="2005"/>
        <v>0</v>
      </c>
      <c r="CW284" s="73">
        <f t="shared" si="2006"/>
        <v>0</v>
      </c>
      <c r="CX284" s="73">
        <f t="shared" si="2007"/>
        <v>0</v>
      </c>
      <c r="CY284" s="73">
        <f t="shared" si="2008"/>
        <v>0</v>
      </c>
      <c r="CZ284" s="190"/>
      <c r="DA284" s="66">
        <v>2020</v>
      </c>
      <c r="DB284" s="218">
        <f t="shared" si="1931"/>
        <v>1836.744944454374</v>
      </c>
      <c r="DC284" s="218">
        <f t="shared" si="1932"/>
        <v>7018.4848874300624</v>
      </c>
      <c r="DD284" s="73">
        <f t="shared" si="1933"/>
        <v>1256.325912941124</v>
      </c>
      <c r="DE284" s="73">
        <f t="shared" si="1934"/>
        <v>703.69448506651418</v>
      </c>
      <c r="DF284" s="73">
        <f t="shared" si="1935"/>
        <v>1416.6296621416966</v>
      </c>
      <c r="DG284" s="73">
        <f t="shared" si="1936"/>
        <v>3583.6884600488002</v>
      </c>
      <c r="DH284" s="72">
        <f t="shared" si="1963"/>
        <v>0.25957069878803424</v>
      </c>
      <c r="DI284" s="72">
        <f t="shared" si="1964"/>
        <v>0.33188061645812733</v>
      </c>
      <c r="DJ284" s="73">
        <f>SUM(AV268:AV284,BB268:BB284,BI268:BI284)</f>
        <v>1569.5551125699399</v>
      </c>
      <c r="DK284" s="73">
        <f>SUM(AV274:AV284,BB274:BB284,BI274:BI284)</f>
        <v>1569.5551125699399</v>
      </c>
      <c r="DL284" s="190"/>
    </row>
    <row r="285" spans="22:116" x14ac:dyDescent="0.25">
      <c r="V285" s="63"/>
      <c r="W285" s="66">
        <v>17</v>
      </c>
      <c r="X285" s="66">
        <v>2021</v>
      </c>
      <c r="Y285" s="70">
        <f t="shared" si="2009"/>
        <v>0.10224084239936213</v>
      </c>
      <c r="Z285" s="70">
        <f t="shared" si="2010"/>
        <v>3.2580559631701374E-2</v>
      </c>
      <c r="AA285" s="70">
        <f t="shared" si="2011"/>
        <v>4.3877449826514398E-2</v>
      </c>
      <c r="AB285" s="70">
        <f t="shared" si="2012"/>
        <v>4.5600300961105844E-3</v>
      </c>
      <c r="AC285" s="70">
        <f t="shared" si="2013"/>
        <v>9.8249200376616691E-2</v>
      </c>
      <c r="AD285" s="70">
        <f t="shared" si="2014"/>
        <v>5.594564639296358E-2</v>
      </c>
      <c r="AE285" s="70">
        <f t="shared" si="2015"/>
        <v>7.8683751021691631E-2</v>
      </c>
      <c r="AF285" s="70">
        <f t="shared" si="2016"/>
        <v>1.431376414662134E-2</v>
      </c>
      <c r="AG285" s="70">
        <f t="shared" si="2017"/>
        <v>3.8679570672292926E-2</v>
      </c>
      <c r="AH285" s="70">
        <f t="shared" si="2018"/>
        <v>7.2315968732316049E-3</v>
      </c>
      <c r="AI285" s="70">
        <f t="shared" si="2019"/>
        <v>4.588164609464479E-2</v>
      </c>
      <c r="AJ285" s="70">
        <f t="shared" si="2020"/>
        <v>7.6112426945225728E-2</v>
      </c>
      <c r="AK285" s="70">
        <f t="shared" si="2021"/>
        <v>5.2051084604865697E-2</v>
      </c>
      <c r="AL285" s="70">
        <f t="shared" si="2022"/>
        <v>6.9326340098585723E-2</v>
      </c>
      <c r="AM285" s="70">
        <f t="shared" si="2023"/>
        <v>5.4769104364028025E-3</v>
      </c>
      <c r="AN285" s="70">
        <f t="shared" si="2024"/>
        <v>1.8229495521526532E-2</v>
      </c>
      <c r="AO285" s="70">
        <f t="shared" si="2025"/>
        <v>7.3799111719232813E-2</v>
      </c>
      <c r="AP285" s="190"/>
      <c r="AQ285" s="66">
        <v>17</v>
      </c>
      <c r="AR285" s="66">
        <v>2021</v>
      </c>
      <c r="AS285" s="215">
        <f t="shared" si="1914"/>
        <v>878.04844415941795</v>
      </c>
      <c r="AT285" s="215">
        <f t="shared" si="1915"/>
        <v>279.80314933943669</v>
      </c>
      <c r="AU285" s="215">
        <f t="shared" si="1916"/>
        <v>376.82129420809872</v>
      </c>
      <c r="AV285" s="215">
        <f t="shared" si="1917"/>
        <v>39.161720866601549</v>
      </c>
      <c r="AW285" s="215">
        <f t="shared" si="1918"/>
        <v>843.7680628023993</v>
      </c>
      <c r="AX285" s="215">
        <f t="shared" si="1919"/>
        <v>480.46344904862701</v>
      </c>
      <c r="AY285" s="215">
        <f t="shared" si="1920"/>
        <v>675.7392011243287</v>
      </c>
      <c r="AZ285" s="215">
        <f t="shared" si="1921"/>
        <v>122.92717904174994</v>
      </c>
      <c r="BA285" s="215">
        <f t="shared" si="1922"/>
        <v>332.18170011647857</v>
      </c>
      <c r="BB285" s="215">
        <f t="shared" si="1923"/>
        <v>62.105243211187961</v>
      </c>
      <c r="BC285" s="215">
        <f t="shared" si="1924"/>
        <v>394.03341192665329</v>
      </c>
      <c r="BD285" s="215">
        <f t="shared" si="1925"/>
        <v>653.65656710267638</v>
      </c>
      <c r="BE285" s="215">
        <f t="shared" si="1926"/>
        <v>447.01679662997083</v>
      </c>
      <c r="BF285" s="215">
        <f t="shared" si="1927"/>
        <v>595.37738182025817</v>
      </c>
      <c r="BG285" s="215">
        <f t="shared" si="1928"/>
        <v>47.035925904244728</v>
      </c>
      <c r="BH285" s="215">
        <f t="shared" si="1929"/>
        <v>156.55563671869072</v>
      </c>
      <c r="BI285" s="215">
        <f t="shared" si="1930"/>
        <v>633.7897234092402</v>
      </c>
      <c r="BJ285" s="195"/>
      <c r="BK285" s="66">
        <v>17</v>
      </c>
      <c r="BL285" s="66">
        <v>2021</v>
      </c>
      <c r="BM285" s="215">
        <f t="shared" si="1973"/>
        <v>211.57595450064349</v>
      </c>
      <c r="BN285" s="219">
        <f t="shared" si="1974"/>
        <v>110.65930483406522</v>
      </c>
      <c r="BO285" s="219">
        <f t="shared" si="1975"/>
        <v>8.889392333092097</v>
      </c>
      <c r="BP285" s="219">
        <f t="shared" si="1976"/>
        <v>1.0570484486777949</v>
      </c>
      <c r="BQ285" s="219">
        <f t="shared" si="1977"/>
        <v>52.477437737848376</v>
      </c>
      <c r="BR285" s="220">
        <f t="shared" si="1978"/>
        <v>21.24789442757919</v>
      </c>
      <c r="BS285" s="219">
        <f t="shared" si="1979"/>
        <v>63.381103790109165</v>
      </c>
      <c r="BT285" s="219">
        <f t="shared" si="1980"/>
        <v>14.981774942863737</v>
      </c>
      <c r="BU285" s="219">
        <f t="shared" si="1981"/>
        <v>2.8464524291748958</v>
      </c>
      <c r="BV285" s="219">
        <f t="shared" si="1982"/>
        <v>1.1856097628139688</v>
      </c>
      <c r="BW285" s="219">
        <f t="shared" si="1983"/>
        <v>0.36330665755449837</v>
      </c>
      <c r="BX285" s="220">
        <f t="shared" si="1984"/>
        <v>7.2056970746889798E-2</v>
      </c>
      <c r="BY285" s="195"/>
      <c r="BZ285" s="66">
        <v>17</v>
      </c>
      <c r="CA285" s="66">
        <v>2021</v>
      </c>
      <c r="CB285" s="218">
        <f t="shared" si="1985"/>
        <v>25.194628555281223</v>
      </c>
      <c r="CC285" s="218">
        <f t="shared" si="1986"/>
        <v>6.9025243184436187</v>
      </c>
      <c r="CD285" s="73">
        <f t="shared" si="1987"/>
        <v>7.0645679928767064</v>
      </c>
      <c r="CE285" s="73">
        <f t="shared" si="1988"/>
        <v>33.291780456807118</v>
      </c>
      <c r="CF285" s="73">
        <f t="shared" si="1989"/>
        <v>17.118708419802445</v>
      </c>
      <c r="CG285" s="73">
        <f t="shared" si="1990"/>
        <v>2.4651358087848432</v>
      </c>
      <c r="CH285" s="73">
        <f t="shared" si="1991"/>
        <v>0.32961485105378319</v>
      </c>
      <c r="CI285" s="73">
        <f t="shared" si="1992"/>
        <v>6.4529734915652259</v>
      </c>
      <c r="CJ285" s="73">
        <f t="shared" si="1993"/>
        <v>2.307279124508856</v>
      </c>
      <c r="CK285" s="73">
        <f t="shared" si="1994"/>
        <v>0.13139122094856123</v>
      </c>
      <c r="CL285" s="73">
        <f t="shared" si="1995"/>
        <v>8.3598377171262249E-3</v>
      </c>
      <c r="CM285" s="73">
        <f t="shared" si="1996"/>
        <v>213.46916418391797</v>
      </c>
      <c r="CN285" s="73">
        <f t="shared" si="1997"/>
        <v>299.68685699076246</v>
      </c>
      <c r="CO285" s="73">
        <f t="shared" si="1998"/>
        <v>64.084553712736707</v>
      </c>
      <c r="CP285" s="73">
        <f t="shared" si="1999"/>
        <v>6.6160493432169503</v>
      </c>
      <c r="CQ285" s="73">
        <f t="shared" si="2000"/>
        <v>1.2470973563110965</v>
      </c>
      <c r="CR285" s="73">
        <f t="shared" si="2001"/>
        <v>19.028477407936279</v>
      </c>
      <c r="CS285" s="73">
        <f t="shared" si="2002"/>
        <v>3.8494449094915564</v>
      </c>
      <c r="CT285" s="73">
        <f t="shared" si="2003"/>
        <v>21.957273889004654</v>
      </c>
      <c r="CU285" s="73">
        <f t="shared" si="2004"/>
        <v>3.4947970826199004</v>
      </c>
      <c r="CV285" s="73">
        <f t="shared" si="2005"/>
        <v>0.20578234683181859</v>
      </c>
      <c r="CW285" s="73">
        <f t="shared" si="2006"/>
        <v>0.15022618641075389</v>
      </c>
      <c r="CX285" s="73">
        <f t="shared" si="2007"/>
        <v>0</v>
      </c>
      <c r="CY285" s="73">
        <f t="shared" si="2008"/>
        <v>0</v>
      </c>
      <c r="CZ285" s="190"/>
      <c r="DA285" s="66">
        <v>2021</v>
      </c>
      <c r="DB285" s="218">
        <f t="shared" si="1931"/>
        <v>1413.9231654907401</v>
      </c>
      <c r="DC285" s="218">
        <f t="shared" si="1932"/>
        <v>6283.4281999430304</v>
      </c>
      <c r="DD285" s="73">
        <f t="shared" si="1933"/>
        <v>1888.0964845205522</v>
      </c>
      <c r="DE285" s="73">
        <f t="shared" si="1934"/>
        <v>1089.4301043544738</v>
      </c>
      <c r="DF285" s="73">
        <f t="shared" si="1935"/>
        <v>1204.2456157480203</v>
      </c>
      <c r="DG285" s="73">
        <f t="shared" si="1936"/>
        <v>2860.6588277155251</v>
      </c>
      <c r="DH285" s="72">
        <f t="shared" si="1963"/>
        <v>0.39759818318191931</v>
      </c>
      <c r="DI285" s="72">
        <f t="shared" si="1964"/>
        <v>0.47497128508898029</v>
      </c>
      <c r="DJ285" s="73">
        <f>SUM(AV268:AV285,BB268:BB285,BI268:BI285)</f>
        <v>2304.6118000569695</v>
      </c>
      <c r="DK285" s="73">
        <f>SUM(AV274:AV285,BB274:BB285,BI274:BI285)</f>
        <v>2304.6118000569695</v>
      </c>
      <c r="DL285" s="190"/>
    </row>
    <row r="286" spans="22:116" x14ac:dyDescent="0.25">
      <c r="V286" s="63"/>
      <c r="W286" s="66">
        <v>18</v>
      </c>
      <c r="X286" s="66">
        <v>2022</v>
      </c>
      <c r="Y286" s="70">
        <f t="shared" si="2009"/>
        <v>6.4796165047057069E-2</v>
      </c>
      <c r="Z286" s="70">
        <f t="shared" si="2010"/>
        <v>2.1843525905788905E-2</v>
      </c>
      <c r="AA286" s="70">
        <f t="shared" si="2011"/>
        <v>3.8538500027702011E-2</v>
      </c>
      <c r="AB286" s="70">
        <f t="shared" si="2012"/>
        <v>3.2130927710022853E-3</v>
      </c>
      <c r="AC286" s="70">
        <f t="shared" si="2013"/>
        <v>6.708755215141908E-2</v>
      </c>
      <c r="AD286" s="70">
        <f t="shared" si="2014"/>
        <v>3.9104686877750108E-2</v>
      </c>
      <c r="AE286" s="70">
        <f t="shared" si="2015"/>
        <v>9.6908713206105154E-2</v>
      </c>
      <c r="AF286" s="70">
        <f t="shared" si="2016"/>
        <v>2.1358327752981344E-2</v>
      </c>
      <c r="AG286" s="70">
        <f t="shared" si="2017"/>
        <v>3.573414655183127E-2</v>
      </c>
      <c r="AH286" s="70">
        <f t="shared" si="2018"/>
        <v>5.7530283195878947E-3</v>
      </c>
      <c r="AI286" s="70">
        <f t="shared" si="2019"/>
        <v>3.2643231150590313E-2</v>
      </c>
      <c r="AJ286" s="70">
        <f t="shared" si="2020"/>
        <v>5.7361820503332731E-2</v>
      </c>
      <c r="AK286" s="70">
        <f t="shared" si="2021"/>
        <v>4.4162155736806041E-2</v>
      </c>
      <c r="AL286" s="70">
        <f t="shared" si="2022"/>
        <v>0.10737868337860562</v>
      </c>
      <c r="AM286" s="70">
        <f t="shared" si="2023"/>
        <v>1.1166275395504594E-2</v>
      </c>
      <c r="AN286" s="70">
        <f t="shared" si="2024"/>
        <v>1.8967749751596541E-2</v>
      </c>
      <c r="AO286" s="70">
        <f t="shared" si="2025"/>
        <v>6.5631033641354378E-2</v>
      </c>
      <c r="AP286" s="190"/>
      <c r="AQ286" s="66">
        <v>18</v>
      </c>
      <c r="AR286" s="66">
        <v>2022</v>
      </c>
      <c r="AS286" s="215">
        <f t="shared" si="1914"/>
        <v>556.4720572707281</v>
      </c>
      <c r="AT286" s="215">
        <f t="shared" si="1915"/>
        <v>187.59307421995138</v>
      </c>
      <c r="AU286" s="215">
        <f t="shared" si="1916"/>
        <v>330.97017977790603</v>
      </c>
      <c r="AV286" s="215">
        <f t="shared" si="1917"/>
        <v>27.594169241078468</v>
      </c>
      <c r="AW286" s="215">
        <f t="shared" si="1918"/>
        <v>576.15058137847313</v>
      </c>
      <c r="AX286" s="215">
        <f t="shared" si="1919"/>
        <v>335.83261509359306</v>
      </c>
      <c r="AY286" s="215">
        <f t="shared" si="1920"/>
        <v>832.25590536255936</v>
      </c>
      <c r="AZ286" s="215">
        <f t="shared" si="1921"/>
        <v>183.4261730757139</v>
      </c>
      <c r="BA286" s="215">
        <f t="shared" si="1922"/>
        <v>306.88627995298907</v>
      </c>
      <c r="BB286" s="215">
        <f t="shared" si="1923"/>
        <v>49.407237329753627</v>
      </c>
      <c r="BC286" s="215">
        <f t="shared" si="1924"/>
        <v>280.34137485051565</v>
      </c>
      <c r="BD286" s="215">
        <f t="shared" si="1925"/>
        <v>492.62560895544169</v>
      </c>
      <c r="BE286" s="215">
        <f t="shared" si="1926"/>
        <v>379.26635995391979</v>
      </c>
      <c r="BF286" s="215">
        <f t="shared" si="1927"/>
        <v>922.1724280028003</v>
      </c>
      <c r="BG286" s="215">
        <f t="shared" si="1928"/>
        <v>95.896419747609286</v>
      </c>
      <c r="BH286" s="215">
        <f t="shared" si="1929"/>
        <v>162.89579357670118</v>
      </c>
      <c r="BI286" s="215">
        <f t="shared" si="1930"/>
        <v>563.64194215329712</v>
      </c>
      <c r="BJ286" s="195"/>
      <c r="BK286" s="66">
        <v>18</v>
      </c>
      <c r="BL286" s="66">
        <v>2022</v>
      </c>
      <c r="BM286" s="215">
        <f t="shared" si="1973"/>
        <v>171.98003337414139</v>
      </c>
      <c r="BN286" s="219">
        <f t="shared" si="1974"/>
        <v>119.45406692780395</v>
      </c>
      <c r="BO286" s="219">
        <f t="shared" si="1975"/>
        <v>13.262649516553754</v>
      </c>
      <c r="BP286" s="219">
        <f t="shared" si="1976"/>
        <v>2.1895301344899436</v>
      </c>
      <c r="BQ286" s="219">
        <f t="shared" si="1977"/>
        <v>46.05228894851993</v>
      </c>
      <c r="BR286" s="220">
        <f t="shared" si="1978"/>
        <v>29.683380612978709</v>
      </c>
      <c r="BS286" s="219">
        <f t="shared" si="1979"/>
        <v>60.054943173270004</v>
      </c>
      <c r="BT286" s="219">
        <f t="shared" si="1980"/>
        <v>16.346436743626438</v>
      </c>
      <c r="BU286" s="219">
        <f t="shared" si="1981"/>
        <v>6.8416574114267474</v>
      </c>
      <c r="BV286" s="219">
        <f t="shared" si="1982"/>
        <v>2.3088739920085377</v>
      </c>
      <c r="BW286" s="219">
        <f t="shared" si="1983"/>
        <v>1.3436617308766126</v>
      </c>
      <c r="BX286" s="220">
        <f t="shared" si="1984"/>
        <v>0.2645509639942053</v>
      </c>
      <c r="BY286" s="195"/>
      <c r="BZ286" s="66">
        <v>18</v>
      </c>
      <c r="CA286" s="66">
        <v>2022</v>
      </c>
      <c r="CB286" s="218">
        <f t="shared" si="1985"/>
        <v>15.967349953852533</v>
      </c>
      <c r="CC286" s="218">
        <f t="shared" si="1986"/>
        <v>4.7743073162669383</v>
      </c>
      <c r="CD286" s="73">
        <f t="shared" si="1987"/>
        <v>6.8525119709590001</v>
      </c>
      <c r="CE286" s="73">
        <f t="shared" si="1988"/>
        <v>23.531457143788042</v>
      </c>
      <c r="CF286" s="73">
        <f t="shared" si="1989"/>
        <v>12.572727378202861</v>
      </c>
      <c r="CG286" s="73">
        <f t="shared" si="1990"/>
        <v>3.4173275043082487</v>
      </c>
      <c r="CH286" s="73">
        <f t="shared" si="1991"/>
        <v>0.6216635489955924</v>
      </c>
      <c r="CI286" s="73">
        <f t="shared" si="1992"/>
        <v>5.900543911856845</v>
      </c>
      <c r="CJ286" s="73">
        <f t="shared" si="1993"/>
        <v>3.0861261572470817</v>
      </c>
      <c r="CK286" s="73">
        <f t="shared" si="1994"/>
        <v>0.24791215020123641</v>
      </c>
      <c r="CL286" s="73">
        <f t="shared" si="1995"/>
        <v>2.9479535153719538E-2</v>
      </c>
      <c r="CM286" s="73">
        <f t="shared" si="1996"/>
        <v>161.75652297964956</v>
      </c>
      <c r="CN286" s="73">
        <f t="shared" si="1997"/>
        <v>251.78032433299552</v>
      </c>
      <c r="CO286" s="73">
        <f t="shared" si="1998"/>
        <v>66.071278940168028</v>
      </c>
      <c r="CP286" s="73">
        <f t="shared" si="1999"/>
        <v>15.334061451913797</v>
      </c>
      <c r="CQ286" s="73">
        <f t="shared" si="2000"/>
        <v>4.4313582111605632</v>
      </c>
      <c r="CR286" s="73">
        <f t="shared" si="2001"/>
        <v>21.542761619756984</v>
      </c>
      <c r="CS286" s="73">
        <f t="shared" si="2002"/>
        <v>8.7225738204242784</v>
      </c>
      <c r="CT286" s="73">
        <f t="shared" si="2003"/>
        <v>26.018877235742501</v>
      </c>
      <c r="CU286" s="73">
        <f t="shared" si="2004"/>
        <v>6.1502394199819177</v>
      </c>
      <c r="CV286" s="73">
        <f t="shared" si="2005"/>
        <v>1.168510674054247</v>
      </c>
      <c r="CW286" s="73">
        <f t="shared" si="2006"/>
        <v>0.48671028151088164</v>
      </c>
      <c r="CX286" s="73">
        <f t="shared" si="2007"/>
        <v>0.14914273744966841</v>
      </c>
      <c r="CY286" s="73">
        <f t="shared" si="2008"/>
        <v>2.9580448489055656E-2</v>
      </c>
      <c r="CZ286" s="190"/>
      <c r="DA286" s="66">
        <v>2022</v>
      </c>
      <c r="DB286" s="218">
        <f t="shared" si="1931"/>
        <v>1016.0512982689861</v>
      </c>
      <c r="DC286" s="218">
        <f t="shared" si="1932"/>
        <v>5642.7848512189021</v>
      </c>
      <c r="DD286" s="73">
        <f t="shared" si="1933"/>
        <v>2413.0172861426026</v>
      </c>
      <c r="DE286" s="73">
        <f t="shared" si="1934"/>
        <v>1397.3352077043294</v>
      </c>
      <c r="DF286" s="73">
        <f t="shared" si="1935"/>
        <v>935.86277738265858</v>
      </c>
      <c r="DG286" s="73">
        <f t="shared" si="1936"/>
        <v>2154.7322538077142</v>
      </c>
      <c r="DH286" s="72">
        <f t="shared" si="1963"/>
        <v>0.52827267892819907</v>
      </c>
      <c r="DI286" s="72">
        <f t="shared" si="1964"/>
        <v>0.5988926857624699</v>
      </c>
      <c r="DJ286" s="73">
        <f>SUM(AV268:AV286,BB268:BB286,BI268:BI286)</f>
        <v>2945.2551487810988</v>
      </c>
      <c r="DK286" s="73">
        <f>SUM(AV274:AV286,BB274:BB286,BI274:BI286)</f>
        <v>2945.2551487810988</v>
      </c>
      <c r="DL286" s="190"/>
    </row>
    <row r="287" spans="22:116" x14ac:dyDescent="0.25">
      <c r="V287" s="63"/>
      <c r="W287" s="66">
        <v>19</v>
      </c>
      <c r="X287" s="66">
        <v>2023</v>
      </c>
      <c r="Y287" s="70">
        <f t="shared" si="2009"/>
        <v>4.1065223117054975E-2</v>
      </c>
      <c r="Z287" s="70">
        <f t="shared" si="2010"/>
        <v>1.4367251330038267E-2</v>
      </c>
      <c r="AA287" s="70">
        <f t="shared" si="2011"/>
        <v>3.1771361808522275E-2</v>
      </c>
      <c r="AB287" s="70">
        <f t="shared" si="2012"/>
        <v>2.2518636000584537E-3</v>
      </c>
      <c r="AC287" s="70">
        <f t="shared" si="2013"/>
        <v>4.4806027409578501E-2</v>
      </c>
      <c r="AD287" s="70">
        <f t="shared" si="2014"/>
        <v>2.6497177148528745E-2</v>
      </c>
      <c r="AE287" s="70">
        <f t="shared" si="2015"/>
        <v>0.11087314249807359</v>
      </c>
      <c r="AF287" s="70">
        <f t="shared" si="2016"/>
        <v>2.7918066183536934E-2</v>
      </c>
      <c r="AG287" s="70">
        <f t="shared" si="2017"/>
        <v>3.0782940845336247E-2</v>
      </c>
      <c r="AH287" s="70">
        <f t="shared" si="2018"/>
        <v>4.4889314057581838E-3</v>
      </c>
      <c r="AI287" s="70">
        <f t="shared" si="2019"/>
        <v>2.2380525055847634E-2</v>
      </c>
      <c r="AJ287" s="70">
        <f t="shared" si="2020"/>
        <v>4.0718872740305043E-2</v>
      </c>
      <c r="AK287" s="70">
        <f t="shared" si="2021"/>
        <v>3.4019689964297564E-2</v>
      </c>
      <c r="AL287" s="70">
        <f t="shared" si="2022"/>
        <v>0.1364031490715473</v>
      </c>
      <c r="AM287" s="70">
        <f t="shared" si="2023"/>
        <v>1.7499148905059603E-2</v>
      </c>
      <c r="AN287" s="70">
        <f t="shared" si="2024"/>
        <v>1.7581096979051532E-2</v>
      </c>
      <c r="AO287" s="70">
        <f t="shared" si="2025"/>
        <v>5.3627065374475952E-2</v>
      </c>
      <c r="AP287" s="190"/>
      <c r="AQ287" s="66">
        <v>19</v>
      </c>
      <c r="AR287" s="66">
        <v>2023</v>
      </c>
      <c r="AS287" s="215">
        <f t="shared" si="1914"/>
        <v>352.66977873819286</v>
      </c>
      <c r="AT287" s="215">
        <f t="shared" si="1915"/>
        <v>123.38652911242185</v>
      </c>
      <c r="AU287" s="215">
        <f t="shared" si="1916"/>
        <v>272.85372606606165</v>
      </c>
      <c r="AV287" s="215">
        <f t="shared" si="1917"/>
        <v>19.339094671846006</v>
      </c>
      <c r="AW287" s="215">
        <f t="shared" si="1918"/>
        <v>384.79595563455661</v>
      </c>
      <c r="AX287" s="215">
        <f t="shared" si="1919"/>
        <v>227.55881723865082</v>
      </c>
      <c r="AY287" s="215">
        <f t="shared" si="1920"/>
        <v>952.18298269915601</v>
      </c>
      <c r="AZ287" s="215">
        <f t="shared" si="1921"/>
        <v>239.76146910686256</v>
      </c>
      <c r="BA287" s="215">
        <f t="shared" si="1922"/>
        <v>264.36512729738155</v>
      </c>
      <c r="BB287" s="215">
        <f t="shared" si="1923"/>
        <v>38.551122469907519</v>
      </c>
      <c r="BC287" s="215">
        <f t="shared" si="1924"/>
        <v>192.20484440062174</v>
      </c>
      <c r="BD287" s="215">
        <f t="shared" si="1925"/>
        <v>349.69530784864935</v>
      </c>
      <c r="BE287" s="215">
        <f t="shared" si="1926"/>
        <v>292.16245820098607</v>
      </c>
      <c r="BF287" s="215">
        <f t="shared" si="1927"/>
        <v>1171.4357003524112</v>
      </c>
      <c r="BG287" s="215">
        <f t="shared" si="1928"/>
        <v>150.28339076260809</v>
      </c>
      <c r="BH287" s="215">
        <f t="shared" si="1929"/>
        <v>150.98716409997374</v>
      </c>
      <c r="BI287" s="215">
        <f t="shared" si="1930"/>
        <v>460.5513825186145</v>
      </c>
      <c r="BJ287" s="195"/>
      <c r="BK287" s="66">
        <v>19</v>
      </c>
      <c r="BL287" s="66">
        <v>2023</v>
      </c>
      <c r="BM287" s="215">
        <f t="shared" si="1973"/>
        <v>129.80949331405327</v>
      </c>
      <c r="BN287" s="219">
        <f t="shared" si="1974"/>
        <v>113.78792689731958</v>
      </c>
      <c r="BO287" s="219">
        <f t="shared" si="1975"/>
        <v>17.256654301079585</v>
      </c>
      <c r="BP287" s="219">
        <f t="shared" si="1976"/>
        <v>3.5110527849291051</v>
      </c>
      <c r="BQ287" s="219">
        <f t="shared" si="1977"/>
        <v>35.650592264519354</v>
      </c>
      <c r="BR287" s="220">
        <f t="shared" si="1978"/>
        <v>33.021357314836031</v>
      </c>
      <c r="BS287" s="219">
        <f t="shared" si="1979"/>
        <v>50.054176898789258</v>
      </c>
      <c r="BT287" s="219">
        <f t="shared" si="1980"/>
        <v>14.396381083131843</v>
      </c>
      <c r="BU287" s="219">
        <f t="shared" si="1981"/>
        <v>10.949922690370189</v>
      </c>
      <c r="BV287" s="219">
        <f t="shared" si="1982"/>
        <v>3.5231000986735244</v>
      </c>
      <c r="BW287" s="219">
        <f t="shared" si="1983"/>
        <v>2.826925311022594</v>
      </c>
      <c r="BX287" s="220">
        <f t="shared" si="1984"/>
        <v>0.56470843863092279</v>
      </c>
      <c r="BY287" s="195"/>
      <c r="BZ287" s="66">
        <v>19</v>
      </c>
      <c r="CA287" s="66">
        <v>2023</v>
      </c>
      <c r="CB287" s="218">
        <f t="shared" si="1985"/>
        <v>10.11946907609207</v>
      </c>
      <c r="CC287" s="218">
        <f t="shared" si="1986"/>
        <v>3.2009181770960398</v>
      </c>
      <c r="CD287" s="73">
        <f t="shared" si="1987"/>
        <v>6.0187074186578959</v>
      </c>
      <c r="CE287" s="73">
        <f t="shared" si="1988"/>
        <v>16.067997014543501</v>
      </c>
      <c r="CF287" s="73">
        <f t="shared" si="1989"/>
        <v>8.7880398033219489</v>
      </c>
      <c r="CG287" s="73">
        <f t="shared" si="1990"/>
        <v>4.2088589670190748</v>
      </c>
      <c r="CH287" s="73">
        <f t="shared" si="1991"/>
        <v>0.92761720086491295</v>
      </c>
      <c r="CI287" s="73">
        <f t="shared" si="1992"/>
        <v>4.7962715861628817</v>
      </c>
      <c r="CJ287" s="73">
        <f t="shared" si="1993"/>
        <v>3.3313992084825972</v>
      </c>
      <c r="CK287" s="73">
        <f t="shared" si="1994"/>
        <v>0.36987589655304792</v>
      </c>
      <c r="CL287" s="73">
        <f t="shared" si="1995"/>
        <v>6.1062792959548917E-2</v>
      </c>
      <c r="CM287" s="73">
        <f t="shared" si="1996"/>
        <v>115.08426613222089</v>
      </c>
      <c r="CN287" s="73">
        <f t="shared" si="1997"/>
        <v>189.75321574036502</v>
      </c>
      <c r="CO287" s="73">
        <f t="shared" si="1998"/>
        <v>56.057431510522171</v>
      </c>
      <c r="CP287" s="73">
        <f t="shared" si="1999"/>
        <v>23.750732076893865</v>
      </c>
      <c r="CQ287" s="73">
        <f t="shared" si="2000"/>
        <v>9.0346129878378534</v>
      </c>
      <c r="CR287" s="73">
        <f t="shared" si="2001"/>
        <v>18.905143345948936</v>
      </c>
      <c r="CS287" s="73">
        <f t="shared" si="2002"/>
        <v>12.185465224280875</v>
      </c>
      <c r="CT287" s="73">
        <f t="shared" si="2003"/>
        <v>24.653439280567525</v>
      </c>
      <c r="CU287" s="73">
        <f t="shared" si="2004"/>
        <v>6.7104532019939152</v>
      </c>
      <c r="CV287" s="73">
        <f t="shared" si="2005"/>
        <v>2.8086012018096125</v>
      </c>
      <c r="CW287" s="73">
        <f t="shared" si="2006"/>
        <v>0.94782680260364383</v>
      </c>
      <c r="CX287" s="73">
        <f t="shared" si="2007"/>
        <v>0.55159294381836843</v>
      </c>
      <c r="CY287" s="73">
        <f t="shared" si="2008"/>
        <v>0.10860206975184815</v>
      </c>
      <c r="CZ287" s="190"/>
      <c r="DA287" s="66">
        <v>2023</v>
      </c>
      <c r="DB287" s="218">
        <f t="shared" si="1931"/>
        <v>700.64065419972201</v>
      </c>
      <c r="DC287" s="218">
        <f t="shared" si="1932"/>
        <v>5124.3432515585337</v>
      </c>
      <c r="DD287" s="73">
        <f t="shared" si="1933"/>
        <v>2805.8260011220241</v>
      </c>
      <c r="DE287" s="73">
        <f t="shared" si="1934"/>
        <v>1613.8815493160055</v>
      </c>
      <c r="DF287" s="73">
        <f t="shared" si="1935"/>
        <v>692.88731634924477</v>
      </c>
      <c r="DG287" s="73">
        <f t="shared" si="1936"/>
        <v>1569.6072165198339</v>
      </c>
      <c r="DH287" s="72">
        <f t="shared" si="1963"/>
        <v>0.64126815827261685</v>
      </c>
      <c r="DI287" s="72">
        <f t="shared" si="1964"/>
        <v>0.6996286335131271</v>
      </c>
      <c r="DJ287" s="73">
        <f>SUM(AV268:AV287,BB268:BB287,BI268:BI287)</f>
        <v>3463.6967484414672</v>
      </c>
      <c r="DK287" s="73">
        <f>SUM(AV274:AV287,BB274:BB287,BI274:BI287)</f>
        <v>3463.6967484414672</v>
      </c>
      <c r="DL287" s="190"/>
    </row>
    <row r="288" spans="22:116" x14ac:dyDescent="0.25">
      <c r="V288" s="13"/>
      <c r="W288" s="197" t="s">
        <v>588</v>
      </c>
      <c r="X288" s="190"/>
      <c r="Y288" s="190"/>
      <c r="Z288" s="190"/>
      <c r="AA288" s="190"/>
      <c r="AB288" s="190"/>
      <c r="AC288" s="190"/>
      <c r="AD288" s="190"/>
      <c r="AE288" s="190"/>
      <c r="AF288" s="190"/>
      <c r="AG288" s="190"/>
      <c r="AH288" s="190"/>
      <c r="AI288" s="190"/>
      <c r="AJ288" s="190"/>
      <c r="AK288" s="190"/>
      <c r="AL288" s="190"/>
      <c r="AM288" s="190"/>
      <c r="AN288" s="190"/>
      <c r="AO288" s="190"/>
      <c r="AP288" s="190"/>
      <c r="AQ288" s="193" t="s">
        <v>90</v>
      </c>
      <c r="AR288" s="25"/>
      <c r="AS288" s="213"/>
      <c r="AT288" s="213"/>
      <c r="AU288" s="213"/>
      <c r="AV288" s="213"/>
      <c r="AW288" s="213"/>
      <c r="AX288" s="213"/>
      <c r="AY288" s="213"/>
      <c r="AZ288" s="213"/>
      <c r="BA288" s="213"/>
      <c r="BB288" s="213"/>
      <c r="BC288" s="213"/>
      <c r="BD288" s="213"/>
      <c r="BE288" s="213"/>
      <c r="BF288" s="213"/>
      <c r="BG288" s="213"/>
      <c r="BH288" s="213"/>
      <c r="BI288" s="213"/>
      <c r="BJ288" s="25"/>
      <c r="BK288" s="25"/>
      <c r="BL288" s="25"/>
      <c r="BM288" s="348" t="s">
        <v>570</v>
      </c>
      <c r="BN288" s="349"/>
      <c r="BO288" s="349"/>
      <c r="BP288" s="349"/>
      <c r="BQ288" s="350" t="s">
        <v>570</v>
      </c>
      <c r="BR288" s="350"/>
      <c r="BS288" s="350"/>
      <c r="BT288" s="350"/>
      <c r="BU288" s="350"/>
      <c r="BV288" s="350"/>
      <c r="BW288" s="350"/>
      <c r="BX288" s="351"/>
      <c r="BY288" s="199"/>
      <c r="BZ288" s="25"/>
      <c r="CA288" s="25"/>
      <c r="CB288" s="350" t="s">
        <v>302</v>
      </c>
      <c r="CC288" s="350"/>
      <c r="CD288" s="350"/>
      <c r="CE288" s="350" t="s">
        <v>302</v>
      </c>
      <c r="CF288" s="350"/>
      <c r="CG288" s="350"/>
      <c r="CH288" s="350"/>
      <c r="CI288" s="350"/>
      <c r="CJ288" s="350"/>
      <c r="CK288" s="350"/>
      <c r="CL288" s="350"/>
      <c r="CM288" s="350" t="s">
        <v>302</v>
      </c>
      <c r="CN288" s="350"/>
      <c r="CO288" s="350"/>
      <c r="CP288" s="350"/>
      <c r="CQ288" s="350"/>
      <c r="CR288" s="350"/>
      <c r="CS288" s="350"/>
      <c r="CT288" s="350"/>
      <c r="CU288" s="350"/>
      <c r="CV288" s="350"/>
      <c r="CW288" s="350"/>
      <c r="CX288" s="350"/>
      <c r="CY288" s="350"/>
      <c r="CZ288" s="190"/>
      <c r="DA288" s="190" t="s">
        <v>100</v>
      </c>
      <c r="DB288" s="217"/>
      <c r="DC288" s="217"/>
      <c r="DD288" s="217"/>
      <c r="DE288" s="217"/>
      <c r="DF288" s="217"/>
      <c r="DG288" s="217"/>
      <c r="DH288" s="222"/>
      <c r="DI288" s="222"/>
      <c r="DJ288" s="217"/>
      <c r="DK288" s="217"/>
      <c r="DL288" s="190"/>
    </row>
    <row r="289" spans="22:116" x14ac:dyDescent="0.25">
      <c r="V289" s="13"/>
      <c r="W289" s="66" t="s">
        <v>88</v>
      </c>
      <c r="X289" s="66" t="s">
        <v>89</v>
      </c>
      <c r="Y289" s="61" t="s">
        <v>320</v>
      </c>
      <c r="Z289" s="61" t="s">
        <v>319</v>
      </c>
      <c r="AA289" s="61" t="s">
        <v>318</v>
      </c>
      <c r="AB289" s="61" t="s">
        <v>317</v>
      </c>
      <c r="AC289" s="61" t="s">
        <v>321</v>
      </c>
      <c r="AD289" s="61" t="s">
        <v>322</v>
      </c>
      <c r="AE289" s="61" t="s">
        <v>323</v>
      </c>
      <c r="AF289" s="61" t="s">
        <v>324</v>
      </c>
      <c r="AG289" s="61" t="s">
        <v>325</v>
      </c>
      <c r="AH289" s="61" t="s">
        <v>326</v>
      </c>
      <c r="AI289" s="61" t="s">
        <v>327</v>
      </c>
      <c r="AJ289" s="61" t="s">
        <v>328</v>
      </c>
      <c r="AK289" s="61" t="s">
        <v>329</v>
      </c>
      <c r="AL289" s="61" t="s">
        <v>330</v>
      </c>
      <c r="AM289" s="61" t="s">
        <v>331</v>
      </c>
      <c r="AN289" s="61" t="s">
        <v>332</v>
      </c>
      <c r="AO289" s="61" t="s">
        <v>333</v>
      </c>
      <c r="AP289" s="190"/>
      <c r="AQ289" s="66" t="s">
        <v>88</v>
      </c>
      <c r="AR289" s="66" t="s">
        <v>89</v>
      </c>
      <c r="AS289" s="214" t="s">
        <v>320</v>
      </c>
      <c r="AT289" s="214" t="s">
        <v>319</v>
      </c>
      <c r="AU289" s="214" t="s">
        <v>318</v>
      </c>
      <c r="AV289" s="214" t="s">
        <v>317</v>
      </c>
      <c r="AW289" s="214" t="s">
        <v>321</v>
      </c>
      <c r="AX289" s="214" t="s">
        <v>322</v>
      </c>
      <c r="AY289" s="214" t="s">
        <v>323</v>
      </c>
      <c r="AZ289" s="214" t="s">
        <v>324</v>
      </c>
      <c r="BA289" s="214" t="s">
        <v>325</v>
      </c>
      <c r="BB289" s="214" t="s">
        <v>326</v>
      </c>
      <c r="BC289" s="214" t="s">
        <v>327</v>
      </c>
      <c r="BD289" s="214" t="s">
        <v>328</v>
      </c>
      <c r="BE289" s="214" t="s">
        <v>329</v>
      </c>
      <c r="BF289" s="214" t="s">
        <v>330</v>
      </c>
      <c r="BG289" s="214" t="s">
        <v>331</v>
      </c>
      <c r="BH289" s="214" t="s">
        <v>332</v>
      </c>
      <c r="BI289" s="214" t="s">
        <v>333</v>
      </c>
      <c r="BJ289" s="182"/>
      <c r="BK289" s="66" t="s">
        <v>88</v>
      </c>
      <c r="BL289" s="66" t="s">
        <v>89</v>
      </c>
      <c r="BM289" s="122" t="s">
        <v>627</v>
      </c>
      <c r="BN289" s="122" t="s">
        <v>715</v>
      </c>
      <c r="BO289" s="122" t="s">
        <v>628</v>
      </c>
      <c r="BP289" s="122" t="s">
        <v>629</v>
      </c>
      <c r="BQ289" s="122" t="s">
        <v>627</v>
      </c>
      <c r="BR289" s="122" t="s">
        <v>716</v>
      </c>
      <c r="BS289" s="122" t="s">
        <v>717</v>
      </c>
      <c r="BT289" s="122" t="s">
        <v>721</v>
      </c>
      <c r="BU289" s="122" t="s">
        <v>720</v>
      </c>
      <c r="BV289" s="122" t="s">
        <v>719</v>
      </c>
      <c r="BW289" s="122" t="s">
        <v>629</v>
      </c>
      <c r="BX289" s="122" t="s">
        <v>722</v>
      </c>
      <c r="BY289" s="182"/>
      <c r="BZ289" s="192" t="s">
        <v>88</v>
      </c>
      <c r="CA289" s="66" t="s">
        <v>89</v>
      </c>
      <c r="CB289" s="218" t="s">
        <v>124</v>
      </c>
      <c r="CC289" s="218" t="s">
        <v>630</v>
      </c>
      <c r="CD289" s="218" t="s">
        <v>570</v>
      </c>
      <c r="CE289" s="218" t="s">
        <v>124</v>
      </c>
      <c r="CF289" s="218" t="s">
        <v>630</v>
      </c>
      <c r="CG289" s="218" t="s">
        <v>631</v>
      </c>
      <c r="CH289" s="218" t="s">
        <v>632</v>
      </c>
      <c r="CI289" s="227" t="s">
        <v>624</v>
      </c>
      <c r="CJ289" s="227" t="s">
        <v>725</v>
      </c>
      <c r="CK289" s="227" t="s">
        <v>625</v>
      </c>
      <c r="CL289" s="227" t="s">
        <v>626</v>
      </c>
      <c r="CM289" s="218" t="s">
        <v>124</v>
      </c>
      <c r="CN289" s="218" t="s">
        <v>633</v>
      </c>
      <c r="CO289" s="218" t="s">
        <v>634</v>
      </c>
      <c r="CP289" s="218" t="s">
        <v>635</v>
      </c>
      <c r="CQ289" s="218" t="s">
        <v>632</v>
      </c>
      <c r="CR289" s="122" t="s">
        <v>624</v>
      </c>
      <c r="CS289" s="122" t="s">
        <v>726</v>
      </c>
      <c r="CT289" s="122" t="s">
        <v>727</v>
      </c>
      <c r="CU289" s="122" t="s">
        <v>637</v>
      </c>
      <c r="CV289" s="122" t="s">
        <v>638</v>
      </c>
      <c r="CW289" s="122" t="s">
        <v>728</v>
      </c>
      <c r="CX289" s="122" t="s">
        <v>626</v>
      </c>
      <c r="CY289" s="122" t="s">
        <v>729</v>
      </c>
      <c r="CZ289" s="190"/>
      <c r="DA289" s="67" t="s">
        <v>89</v>
      </c>
      <c r="DB289" s="219" t="s">
        <v>91</v>
      </c>
      <c r="DC289" s="219" t="s">
        <v>99</v>
      </c>
      <c r="DD289" s="215" t="s">
        <v>92</v>
      </c>
      <c r="DE289" s="215" t="s">
        <v>97</v>
      </c>
      <c r="DF289" s="215" t="s">
        <v>93</v>
      </c>
      <c r="DG289" s="215" t="s">
        <v>94</v>
      </c>
      <c r="DH289" s="223" t="s">
        <v>96</v>
      </c>
      <c r="DI289" s="223" t="s">
        <v>98</v>
      </c>
      <c r="DJ289" s="219" t="s">
        <v>95</v>
      </c>
      <c r="DK289" s="219" t="s">
        <v>102</v>
      </c>
      <c r="DL289" s="190"/>
    </row>
    <row r="290" spans="22:116" x14ac:dyDescent="0.25">
      <c r="V290" s="13"/>
      <c r="W290" s="66">
        <v>0</v>
      </c>
      <c r="X290" s="66">
        <v>2004</v>
      </c>
      <c r="Y290" s="69">
        <v>0</v>
      </c>
      <c r="Z290" s="69">
        <v>0</v>
      </c>
      <c r="AA290" s="69">
        <v>0</v>
      </c>
      <c r="AB290" s="69">
        <v>0</v>
      </c>
      <c r="AC290" s="69">
        <v>0</v>
      </c>
      <c r="AD290" s="69">
        <v>0</v>
      </c>
      <c r="AE290" s="69">
        <v>0</v>
      </c>
      <c r="AF290" s="69">
        <v>0</v>
      </c>
      <c r="AG290" s="69">
        <v>0</v>
      </c>
      <c r="AH290" s="69">
        <v>0</v>
      </c>
      <c r="AI290" s="69">
        <v>0</v>
      </c>
      <c r="AJ290" s="69">
        <v>0</v>
      </c>
      <c r="AK290" s="69">
        <v>0</v>
      </c>
      <c r="AL290" s="69">
        <v>0</v>
      </c>
      <c r="AM290" s="69">
        <v>0</v>
      </c>
      <c r="AN290" s="69">
        <v>0</v>
      </c>
      <c r="AO290" s="69">
        <v>0</v>
      </c>
      <c r="AP290" s="190"/>
      <c r="AQ290" s="66">
        <v>0</v>
      </c>
      <c r="AR290" s="66">
        <v>2004</v>
      </c>
      <c r="AS290" s="215">
        <f t="shared" ref="AS290:AS309" si="2026">Inc_2017*Y290</f>
        <v>0</v>
      </c>
      <c r="AT290" s="215">
        <f t="shared" ref="AT290:AT309" si="2027">Inc_2017*Z290</f>
        <v>0</v>
      </c>
      <c r="AU290" s="215">
        <f t="shared" ref="AU290:AU309" si="2028">Inc_2017*AA290</f>
        <v>0</v>
      </c>
      <c r="AV290" s="215">
        <f t="shared" ref="AV290:AV309" si="2029">Inc_2017*AB290</f>
        <v>0</v>
      </c>
      <c r="AW290" s="215">
        <f t="shared" ref="AW290:AW309" si="2030">Inc_2017*AC290</f>
        <v>0</v>
      </c>
      <c r="AX290" s="215">
        <f t="shared" ref="AX290:AX309" si="2031">Inc_2017*AD290</f>
        <v>0</v>
      </c>
      <c r="AY290" s="215">
        <f t="shared" ref="AY290:AY309" si="2032">Inc_2017*AE290</f>
        <v>0</v>
      </c>
      <c r="AZ290" s="215">
        <f t="shared" ref="AZ290:AZ309" si="2033">Inc_2017*AF290</f>
        <v>0</v>
      </c>
      <c r="BA290" s="215">
        <f t="shared" ref="BA290:BA309" si="2034">Inc_2017*AG290</f>
        <v>0</v>
      </c>
      <c r="BB290" s="215">
        <f t="shared" ref="BB290:BB309" si="2035">Inc_2017*AH290</f>
        <v>0</v>
      </c>
      <c r="BC290" s="215">
        <f t="shared" ref="BC290:BC309" si="2036">Inc_2017*AI290</f>
        <v>0</v>
      </c>
      <c r="BD290" s="215">
        <f t="shared" ref="BD290:BD309" si="2037">Inc_2017*AJ290</f>
        <v>0</v>
      </c>
      <c r="BE290" s="215">
        <f t="shared" ref="BE290:BE309" si="2038">Inc_2017*AK290</f>
        <v>0</v>
      </c>
      <c r="BF290" s="215">
        <f t="shared" ref="BF290:BF309" si="2039">Inc_2017*AL290</f>
        <v>0</v>
      </c>
      <c r="BG290" s="215">
        <f t="shared" ref="BG290:BG309" si="2040">Inc_2017*AM290</f>
        <v>0</v>
      </c>
      <c r="BH290" s="215">
        <f t="shared" ref="BH290:BH309" si="2041">Inc_2017*AN290</f>
        <v>0</v>
      </c>
      <c r="BI290" s="215">
        <f t="shared" ref="BI290:BI309" si="2042">Inc_2017*AO290</f>
        <v>0</v>
      </c>
      <c r="BJ290" s="195"/>
      <c r="BK290" s="66">
        <v>0</v>
      </c>
      <c r="BL290" s="66">
        <v>2004</v>
      </c>
      <c r="BM290" s="215">
        <f>BA290</f>
        <v>0</v>
      </c>
      <c r="BN290" s="219">
        <v>0</v>
      </c>
      <c r="BO290" s="219">
        <v>0</v>
      </c>
      <c r="BP290" s="219">
        <v>0</v>
      </c>
      <c r="BQ290" s="219">
        <f>BH290</f>
        <v>0</v>
      </c>
      <c r="BR290" s="219">
        <v>0</v>
      </c>
      <c r="BS290" s="219">
        <v>0</v>
      </c>
      <c r="BT290" s="219">
        <v>0</v>
      </c>
      <c r="BU290" s="219">
        <v>0</v>
      </c>
      <c r="BV290" s="219">
        <v>0</v>
      </c>
      <c r="BW290" s="219">
        <v>0</v>
      </c>
      <c r="BX290" s="219">
        <v>0</v>
      </c>
      <c r="BY290" s="195"/>
      <c r="BZ290" s="66">
        <v>0</v>
      </c>
      <c r="CA290" s="66">
        <v>2004</v>
      </c>
      <c r="CB290" s="218">
        <v>0</v>
      </c>
      <c r="CC290" s="218">
        <v>0</v>
      </c>
      <c r="CD290" s="218">
        <v>0</v>
      </c>
      <c r="CE290" s="218">
        <v>0</v>
      </c>
      <c r="CF290" s="218">
        <v>0</v>
      </c>
      <c r="CG290" s="218">
        <v>0</v>
      </c>
      <c r="CH290" s="218">
        <v>0</v>
      </c>
      <c r="CI290" s="218">
        <v>0</v>
      </c>
      <c r="CJ290" s="218">
        <v>0</v>
      </c>
      <c r="CK290" s="218">
        <v>0</v>
      </c>
      <c r="CL290" s="218">
        <v>0</v>
      </c>
      <c r="CM290" s="218">
        <v>0</v>
      </c>
      <c r="CN290" s="218">
        <v>0</v>
      </c>
      <c r="CO290" s="218">
        <v>0</v>
      </c>
      <c r="CP290" s="218">
        <v>0</v>
      </c>
      <c r="CQ290" s="218">
        <v>0</v>
      </c>
      <c r="CR290" s="218">
        <v>0</v>
      </c>
      <c r="CS290" s="218">
        <v>0</v>
      </c>
      <c r="CT290" s="218">
        <v>0</v>
      </c>
      <c r="CU290" s="218">
        <v>0</v>
      </c>
      <c r="CV290" s="218">
        <v>0</v>
      </c>
      <c r="CW290" s="218">
        <v>0</v>
      </c>
      <c r="CX290" s="218">
        <v>0</v>
      </c>
      <c r="CY290" s="218">
        <v>0</v>
      </c>
      <c r="CZ290" s="190"/>
      <c r="DA290" s="67">
        <v>2004</v>
      </c>
      <c r="DB290" s="218">
        <f t="shared" ref="DB290:DB309" si="2043">SUM(AT290,AX290,BD290)</f>
        <v>0</v>
      </c>
      <c r="DC290" s="218">
        <f t="shared" ref="DC290:DC309" si="2044">SUM(AS290:AU290,AW290:BA290,BC290:BH290)</f>
        <v>0</v>
      </c>
      <c r="DD290" s="73">
        <f t="shared" ref="DD290:DD309" si="2045">SUM(AY290:AZ290,BE290:BG290)</f>
        <v>0</v>
      </c>
      <c r="DE290" s="73">
        <f t="shared" ref="DE290:DE309" si="2046">SUM(BE290:BG290)</f>
        <v>0</v>
      </c>
      <c r="DF290" s="73">
        <f t="shared" ref="DF290:DF309" si="2047">SUM(BC290,BD290,BH290)</f>
        <v>0</v>
      </c>
      <c r="DG290" s="73">
        <f t="shared" ref="DG290:DG309" si="2048">SUM(BC290,BD290,BH290,AW290,AX290,BA290)</f>
        <v>0</v>
      </c>
      <c r="DH290" s="72" t="e">
        <f>DD290/(DD290+DG290)</f>
        <v>#DIV/0!</v>
      </c>
      <c r="DI290" s="72" t="e">
        <f>DE290/(DE290+DF290)</f>
        <v>#DIV/0!</v>
      </c>
      <c r="DJ290" s="73">
        <f>SUM(AV290,BB290,BI290)</f>
        <v>0</v>
      </c>
      <c r="DK290" s="73">
        <v>0</v>
      </c>
      <c r="DL290" s="190"/>
    </row>
    <row r="291" spans="22:116" x14ac:dyDescent="0.25">
      <c r="V291" s="13"/>
      <c r="W291" s="66">
        <v>1</v>
      </c>
      <c r="X291" s="66">
        <v>2005</v>
      </c>
      <c r="Y291" s="69">
        <v>0</v>
      </c>
      <c r="Z291" s="69">
        <v>0</v>
      </c>
      <c r="AA291" s="69">
        <v>0</v>
      </c>
      <c r="AB291" s="69">
        <v>0</v>
      </c>
      <c r="AC291" s="69">
        <v>0</v>
      </c>
      <c r="AD291" s="69">
        <v>0</v>
      </c>
      <c r="AE291" s="69">
        <v>0</v>
      </c>
      <c r="AF291" s="69">
        <v>0</v>
      </c>
      <c r="AG291" s="69">
        <v>0</v>
      </c>
      <c r="AH291" s="69">
        <v>0</v>
      </c>
      <c r="AI291" s="69">
        <v>0</v>
      </c>
      <c r="AJ291" s="69">
        <v>0</v>
      </c>
      <c r="AK291" s="69">
        <v>0</v>
      </c>
      <c r="AL291" s="69">
        <v>0</v>
      </c>
      <c r="AM291" s="69">
        <v>0</v>
      </c>
      <c r="AN291" s="69">
        <v>0</v>
      </c>
      <c r="AO291" s="69">
        <v>0</v>
      </c>
      <c r="AP291" s="190"/>
      <c r="AQ291" s="66">
        <v>1</v>
      </c>
      <c r="AR291" s="66">
        <v>2005</v>
      </c>
      <c r="AS291" s="215">
        <f t="shared" si="2026"/>
        <v>0</v>
      </c>
      <c r="AT291" s="215">
        <f t="shared" si="2027"/>
        <v>0</v>
      </c>
      <c r="AU291" s="215">
        <f t="shared" si="2028"/>
        <v>0</v>
      </c>
      <c r="AV291" s="215">
        <f t="shared" si="2029"/>
        <v>0</v>
      </c>
      <c r="AW291" s="215">
        <f t="shared" si="2030"/>
        <v>0</v>
      </c>
      <c r="AX291" s="215">
        <f t="shared" si="2031"/>
        <v>0</v>
      </c>
      <c r="AY291" s="215">
        <f t="shared" si="2032"/>
        <v>0</v>
      </c>
      <c r="AZ291" s="215">
        <f t="shared" si="2033"/>
        <v>0</v>
      </c>
      <c r="BA291" s="215">
        <f t="shared" si="2034"/>
        <v>0</v>
      </c>
      <c r="BB291" s="215">
        <f t="shared" si="2035"/>
        <v>0</v>
      </c>
      <c r="BC291" s="215">
        <f t="shared" si="2036"/>
        <v>0</v>
      </c>
      <c r="BD291" s="215">
        <f t="shared" si="2037"/>
        <v>0</v>
      </c>
      <c r="BE291" s="215">
        <f t="shared" si="2038"/>
        <v>0</v>
      </c>
      <c r="BF291" s="215">
        <f t="shared" si="2039"/>
        <v>0</v>
      </c>
      <c r="BG291" s="215">
        <f t="shared" si="2040"/>
        <v>0</v>
      </c>
      <c r="BH291" s="215">
        <f t="shared" si="2041"/>
        <v>0</v>
      </c>
      <c r="BI291" s="215">
        <f t="shared" si="2042"/>
        <v>0</v>
      </c>
      <c r="BJ291" s="195"/>
      <c r="BK291" s="66">
        <v>1</v>
      </c>
      <c r="BL291" s="66">
        <v>2005</v>
      </c>
      <c r="BM291" s="215">
        <f t="shared" ref="BM291:BM298" si="2049">(AX290*pInt_InCare_Int_LTFU_2004_2012)+(BM290*pInt_LTFU_2004_2012)</f>
        <v>0</v>
      </c>
      <c r="BN291" s="219">
        <f t="shared" ref="BN291:BN298" si="2050">(AU290*pAsympt_LTFU_Int_LTFU_2004_2012)+(BN290*pInt_LTFU_2004_2012)</f>
        <v>0</v>
      </c>
      <c r="BO291" s="219">
        <f t="shared" ref="BO291:BO298" si="2051">(AY290*pInt_ART1_Int_LTFU_2004_2012)+(BO290*pInt_LTFU_2004_2012)</f>
        <v>0</v>
      </c>
      <c r="BP291" s="219">
        <v>0</v>
      </c>
      <c r="BQ291" s="219">
        <f t="shared" ref="BQ291:BQ298" si="2052">(BD290*pAIDS_InCare_AIDS_LTFU_2004_2012)+(BQ290*pAIDS_LTFU_2004_2012)</f>
        <v>0</v>
      </c>
      <c r="BR291" s="220">
        <f>(BN290*pInt_LTFU_AIDS_LTFU_2004_2012)</f>
        <v>0</v>
      </c>
      <c r="BS291" s="219">
        <f>(BM290*pInt_LTFU_AIDS_LTFU_2004_2012)</f>
        <v>0</v>
      </c>
      <c r="BT291" s="219">
        <f>(BE290*pAIDS_ART1ear_AIDS_LTFU_2004_2012)</f>
        <v>0</v>
      </c>
      <c r="BU291" s="219">
        <f>(BF290*pAIDS_ART1late_AIDS_LTFU_2004_2012)</f>
        <v>0</v>
      </c>
      <c r="BV291" s="219">
        <f>(BO290*pInt_LTFU_AIDS_LTFU_2004_2012)</f>
        <v>0</v>
      </c>
      <c r="BW291" s="219">
        <f>(BG290*pAIDS_ART2_AIDS_LTFU_2004_2012)</f>
        <v>0</v>
      </c>
      <c r="BX291" s="220">
        <f>(BP290*pInt_LTFU_AIDS_LTFU_2004_2012)</f>
        <v>0</v>
      </c>
      <c r="BY291" s="195"/>
      <c r="BZ291" s="66">
        <v>1</v>
      </c>
      <c r="CA291" s="66">
        <v>2005</v>
      </c>
      <c r="CB291" s="218">
        <f>pAsympt_NoCare_Asympt_Dead_2004_2006*AS290</f>
        <v>0</v>
      </c>
      <c r="CC291" s="218">
        <f t="shared" ref="CC291:CC298" si="2053">pAsympt_InCare_Asympt_Dead_2004_2012*AT290</f>
        <v>0</v>
      </c>
      <c r="CD291" s="73">
        <f t="shared" ref="CD291:CD298" si="2054">pAsympt_LTFU_Asympt_Dead_2004_2012*AU290</f>
        <v>0</v>
      </c>
      <c r="CE291" s="73">
        <f>pInt_NoCare_Int_Dead_2004_2006*AW290</f>
        <v>0</v>
      </c>
      <c r="CF291" s="73">
        <f t="shared" ref="CF291:CF298" si="2055">pInt_InCare_Int_Dead_2004_2012*AX290</f>
        <v>0</v>
      </c>
      <c r="CG291" s="73">
        <f t="shared" ref="CG291:CG298" si="2056">pInt_ART1_Int_Dead_2004_2012*AY290</f>
        <v>0</v>
      </c>
      <c r="CH291" s="73">
        <f t="shared" ref="CH291:CH298" si="2057">pInt_ART2_Int_Dead_2004_2012*AZ290</f>
        <v>0</v>
      </c>
      <c r="CI291" s="73">
        <f t="shared" ref="CI291:CI298" si="2058">(BM290*pInt_LTFU_Int_Dead_2004_2012)</f>
        <v>0</v>
      </c>
      <c r="CJ291" s="73">
        <f t="shared" ref="CJ291:CJ298" si="2059">(BN290*pInt_LTFU_Int_Dead_2004_2012)</f>
        <v>0</v>
      </c>
      <c r="CK291" s="73">
        <f t="shared" ref="CK291:CK298" si="2060">(BO290*pInt_LTFU_Int_Dead_2004_2012)</f>
        <v>0</v>
      </c>
      <c r="CL291" s="73">
        <f t="shared" ref="CL291:CL298" si="2061">(BP290*pInt_LTFU_Int_Dead_2004_2012)</f>
        <v>0</v>
      </c>
      <c r="CM291" s="73">
        <f t="shared" ref="CM291:CM292" si="2062">pAIDS_NoCare_AIDS_Dead_2004_2006*BC290</f>
        <v>0</v>
      </c>
      <c r="CN291" s="73">
        <f t="shared" ref="CN291:CN298" si="2063">pAIDS_InCare_AIDS_Dead_2004_2012*BD290</f>
        <v>0</v>
      </c>
      <c r="CO291" s="73">
        <f t="shared" ref="CO291:CO298" si="2064">pAIDS_ART1ear_AIDS_Dead_2004_2012*BE290</f>
        <v>0</v>
      </c>
      <c r="CP291" s="73">
        <f t="shared" ref="CP291:CP298" si="2065">pAIDS_ART1late_AIDS_Dead_2004_2012*BF290</f>
        <v>0</v>
      </c>
      <c r="CQ291" s="73">
        <f t="shared" ref="CQ291:CQ298" si="2066">pAIDS_ART2_AIDS_Dead_2004_2012*BG290</f>
        <v>0</v>
      </c>
      <c r="CR291" s="73">
        <f t="shared" ref="CR291:CR298" si="2067">(BQ290*pAIDS_LTFU_AIDS_Dead_2004_2012)</f>
        <v>0</v>
      </c>
      <c r="CS291" s="73">
        <f t="shared" ref="CS291:CS298" si="2068">(BR290*pAIDS_LTFU_AIDS_Dead_2004_2012)</f>
        <v>0</v>
      </c>
      <c r="CT291" s="73">
        <f t="shared" ref="CT291:CT298" si="2069">(BS290*pAIDS_LTFU_AIDS_Dead_2004_2012)</f>
        <v>0</v>
      </c>
      <c r="CU291" s="73">
        <f t="shared" ref="CU291:CU298" si="2070">(BT290*pAIDS_LTFU_AIDS_Dead_2004_2012)</f>
        <v>0</v>
      </c>
      <c r="CV291" s="73">
        <f t="shared" ref="CV291:CV298" si="2071">(BU290*pAIDS_LTFU_AIDS_Dead_2004_2012)</f>
        <v>0</v>
      </c>
      <c r="CW291" s="73">
        <f t="shared" ref="CW291:CW298" si="2072">(BV290*pAIDS_LTFU_AIDS_Dead_2004_2012)</f>
        <v>0</v>
      </c>
      <c r="CX291" s="73">
        <f t="shared" ref="CX291:CX298" si="2073">(BW290*pAIDS_LTFU_AIDS_Dead_2004_2012)</f>
        <v>0</v>
      </c>
      <c r="CY291" s="73">
        <f t="shared" ref="CY291:CY298" si="2074">(BX290*pAIDS_LTFU_AIDS_Dead_2004_2012)</f>
        <v>0</v>
      </c>
      <c r="CZ291" s="190"/>
      <c r="DA291" s="67">
        <v>2005</v>
      </c>
      <c r="DB291" s="218">
        <f t="shared" si="2043"/>
        <v>0</v>
      </c>
      <c r="DC291" s="218">
        <f t="shared" si="2044"/>
        <v>0</v>
      </c>
      <c r="DD291" s="73">
        <f t="shared" si="2045"/>
        <v>0</v>
      </c>
      <c r="DE291" s="73">
        <f t="shared" si="2046"/>
        <v>0</v>
      </c>
      <c r="DF291" s="73">
        <f t="shared" si="2047"/>
        <v>0</v>
      </c>
      <c r="DG291" s="73">
        <f t="shared" si="2048"/>
        <v>0</v>
      </c>
      <c r="DH291" s="72" t="e">
        <f t="shared" ref="DH291:DH309" si="2075">DD291/(DD291+DG291)</f>
        <v>#DIV/0!</v>
      </c>
      <c r="DI291" s="72" t="e">
        <f t="shared" ref="DI291:DI309" si="2076">DE291/(DE291+DF291)</f>
        <v>#DIV/0!</v>
      </c>
      <c r="DJ291" s="73">
        <f>SUM(AV290:AV291,BB290:BB291,BI290:BI291)</f>
        <v>0</v>
      </c>
      <c r="DK291" s="73">
        <v>0</v>
      </c>
      <c r="DL291" s="190"/>
    </row>
    <row r="292" spans="22:116" x14ac:dyDescent="0.25">
      <c r="V292" s="13"/>
      <c r="W292" s="66">
        <v>2</v>
      </c>
      <c r="X292" s="66">
        <v>2006</v>
      </c>
      <c r="Y292" s="69">
        <v>0</v>
      </c>
      <c r="Z292" s="69">
        <v>0</v>
      </c>
      <c r="AA292" s="69">
        <v>0</v>
      </c>
      <c r="AB292" s="69">
        <v>0</v>
      </c>
      <c r="AC292" s="69">
        <v>0</v>
      </c>
      <c r="AD292" s="69">
        <v>0</v>
      </c>
      <c r="AE292" s="69">
        <v>0</v>
      </c>
      <c r="AF292" s="69">
        <v>0</v>
      </c>
      <c r="AG292" s="69">
        <v>0</v>
      </c>
      <c r="AH292" s="69">
        <v>0</v>
      </c>
      <c r="AI292" s="69">
        <v>0</v>
      </c>
      <c r="AJ292" s="69">
        <v>0</v>
      </c>
      <c r="AK292" s="69">
        <v>0</v>
      </c>
      <c r="AL292" s="69">
        <v>0</v>
      </c>
      <c r="AM292" s="69">
        <v>0</v>
      </c>
      <c r="AN292" s="69">
        <v>0</v>
      </c>
      <c r="AO292" s="69">
        <v>0</v>
      </c>
      <c r="AP292" s="190"/>
      <c r="AQ292" s="66">
        <v>2</v>
      </c>
      <c r="AR292" s="66">
        <v>2006</v>
      </c>
      <c r="AS292" s="215">
        <f t="shared" si="2026"/>
        <v>0</v>
      </c>
      <c r="AT292" s="215">
        <f t="shared" si="2027"/>
        <v>0</v>
      </c>
      <c r="AU292" s="215">
        <f t="shared" si="2028"/>
        <v>0</v>
      </c>
      <c r="AV292" s="215">
        <f t="shared" si="2029"/>
        <v>0</v>
      </c>
      <c r="AW292" s="215">
        <f t="shared" si="2030"/>
        <v>0</v>
      </c>
      <c r="AX292" s="215">
        <f t="shared" si="2031"/>
        <v>0</v>
      </c>
      <c r="AY292" s="215">
        <f t="shared" si="2032"/>
        <v>0</v>
      </c>
      <c r="AZ292" s="215">
        <f t="shared" si="2033"/>
        <v>0</v>
      </c>
      <c r="BA292" s="215">
        <f t="shared" si="2034"/>
        <v>0</v>
      </c>
      <c r="BB292" s="215">
        <f t="shared" si="2035"/>
        <v>0</v>
      </c>
      <c r="BC292" s="215">
        <f t="shared" si="2036"/>
        <v>0</v>
      </c>
      <c r="BD292" s="215">
        <f t="shared" si="2037"/>
        <v>0</v>
      </c>
      <c r="BE292" s="215">
        <f t="shared" si="2038"/>
        <v>0</v>
      </c>
      <c r="BF292" s="215">
        <f t="shared" si="2039"/>
        <v>0</v>
      </c>
      <c r="BG292" s="215">
        <f t="shared" si="2040"/>
        <v>0</v>
      </c>
      <c r="BH292" s="215">
        <f t="shared" si="2041"/>
        <v>0</v>
      </c>
      <c r="BI292" s="215">
        <f t="shared" si="2042"/>
        <v>0</v>
      </c>
      <c r="BJ292" s="195"/>
      <c r="BK292" s="66">
        <v>2</v>
      </c>
      <c r="BL292" s="66">
        <v>2006</v>
      </c>
      <c r="BM292" s="215">
        <f t="shared" si="2049"/>
        <v>0</v>
      </c>
      <c r="BN292" s="219">
        <f t="shared" si="2050"/>
        <v>0</v>
      </c>
      <c r="BO292" s="219">
        <f t="shared" si="2051"/>
        <v>0</v>
      </c>
      <c r="BP292" s="219">
        <f t="shared" ref="BP292:BP298" si="2077">(AZ291*pInt_ART2_Int_LTFU_2004_2012)+(BP291*pInt_LTFU_2004_2012)</f>
        <v>0</v>
      </c>
      <c r="BQ292" s="219">
        <f t="shared" si="2052"/>
        <v>0</v>
      </c>
      <c r="BR292" s="220">
        <f t="shared" ref="BR292:BR298" si="2078">(BN291*pInt_LTFU_AIDS_LTFU_2004_2012)+(BR291*pAIDS_LTFU_2004_2012)</f>
        <v>0</v>
      </c>
      <c r="BS292" s="219">
        <f t="shared" ref="BS292:BS298" si="2079">(BM291*pInt_LTFU_AIDS_LTFU_2004_2012)+(BS291*pAIDS_LTFU_2004_2012)</f>
        <v>0</v>
      </c>
      <c r="BT292" s="219">
        <f t="shared" ref="BT292:BT298" si="2080">(BE291*pAIDS_ART1ear_AIDS_LTFU_2004_2012)+(BT291*pAIDS_LTFU_2004_2012)</f>
        <v>0</v>
      </c>
      <c r="BU292" s="219">
        <f t="shared" ref="BU292:BU298" si="2081">(BF291*pAIDS_ART1late_AIDS_LTFU_2004_2012)+(BU291*pAIDS_LTFU_2004_2012)</f>
        <v>0</v>
      </c>
      <c r="BV292" s="219">
        <f t="shared" ref="BV292:BV298" si="2082">(BO291*pInt_LTFU_AIDS_LTFU_2004_2012)+(BV291*pAIDS_LTFU_2004_2012)</f>
        <v>0</v>
      </c>
      <c r="BW292" s="219">
        <f t="shared" ref="BW292:BW298" si="2083">(BG291*pAIDS_ART2_AIDS_LTFU_2004_2012)+(BW291*pAIDS_LTFU_2004_2012)</f>
        <v>0</v>
      </c>
      <c r="BX292" s="220">
        <f t="shared" ref="BX292:BX298" si="2084">(BP291*pInt_LTFU_AIDS_LTFU_2004_2012)+(BX291*pAIDS_LTFU_2004_2012)</f>
        <v>0</v>
      </c>
      <c r="BY292" s="195"/>
      <c r="BZ292" s="66">
        <v>2</v>
      </c>
      <c r="CA292" s="66">
        <v>2006</v>
      </c>
      <c r="CB292" s="218">
        <f>pAsympt_NoCare_Asympt_Dead_2004_2006*AS291</f>
        <v>0</v>
      </c>
      <c r="CC292" s="218">
        <f t="shared" si="2053"/>
        <v>0</v>
      </c>
      <c r="CD292" s="73">
        <f t="shared" si="2054"/>
        <v>0</v>
      </c>
      <c r="CE292" s="73">
        <f>pInt_NoCare_Int_Dead_2004_2006*AW291</f>
        <v>0</v>
      </c>
      <c r="CF292" s="73">
        <f t="shared" si="2055"/>
        <v>0</v>
      </c>
      <c r="CG292" s="73">
        <f t="shared" si="2056"/>
        <v>0</v>
      </c>
      <c r="CH292" s="73">
        <f t="shared" si="2057"/>
        <v>0</v>
      </c>
      <c r="CI292" s="73">
        <f t="shared" si="2058"/>
        <v>0</v>
      </c>
      <c r="CJ292" s="73">
        <f t="shared" si="2059"/>
        <v>0</v>
      </c>
      <c r="CK292" s="73">
        <f t="shared" si="2060"/>
        <v>0</v>
      </c>
      <c r="CL292" s="73">
        <f t="shared" si="2061"/>
        <v>0</v>
      </c>
      <c r="CM292" s="73">
        <f t="shared" si="2062"/>
        <v>0</v>
      </c>
      <c r="CN292" s="73">
        <f t="shared" si="2063"/>
        <v>0</v>
      </c>
      <c r="CO292" s="73">
        <f t="shared" si="2064"/>
        <v>0</v>
      </c>
      <c r="CP292" s="73">
        <f t="shared" si="2065"/>
        <v>0</v>
      </c>
      <c r="CQ292" s="73">
        <f t="shared" si="2066"/>
        <v>0</v>
      </c>
      <c r="CR292" s="73">
        <f t="shared" si="2067"/>
        <v>0</v>
      </c>
      <c r="CS292" s="73">
        <f t="shared" si="2068"/>
        <v>0</v>
      </c>
      <c r="CT292" s="73">
        <f t="shared" si="2069"/>
        <v>0</v>
      </c>
      <c r="CU292" s="73">
        <f t="shared" si="2070"/>
        <v>0</v>
      </c>
      <c r="CV292" s="73">
        <f t="shared" si="2071"/>
        <v>0</v>
      </c>
      <c r="CW292" s="73">
        <f t="shared" si="2072"/>
        <v>0</v>
      </c>
      <c r="CX292" s="73">
        <f t="shared" si="2073"/>
        <v>0</v>
      </c>
      <c r="CY292" s="73">
        <f t="shared" si="2074"/>
        <v>0</v>
      </c>
      <c r="CZ292" s="190"/>
      <c r="DA292" s="66">
        <v>2006</v>
      </c>
      <c r="DB292" s="218">
        <f t="shared" si="2043"/>
        <v>0</v>
      </c>
      <c r="DC292" s="218">
        <f t="shared" si="2044"/>
        <v>0</v>
      </c>
      <c r="DD292" s="73">
        <f t="shared" si="2045"/>
        <v>0</v>
      </c>
      <c r="DE292" s="73">
        <f t="shared" si="2046"/>
        <v>0</v>
      </c>
      <c r="DF292" s="73">
        <f t="shared" si="2047"/>
        <v>0</v>
      </c>
      <c r="DG292" s="73">
        <f t="shared" si="2048"/>
        <v>0</v>
      </c>
      <c r="DH292" s="72" t="e">
        <f t="shared" si="2075"/>
        <v>#DIV/0!</v>
      </c>
      <c r="DI292" s="72" t="e">
        <f t="shared" si="2076"/>
        <v>#DIV/0!</v>
      </c>
      <c r="DJ292" s="73">
        <f>SUM(AV290:AV292,BB290:BB292,BI290:BI292)</f>
        <v>0</v>
      </c>
      <c r="DK292" s="73">
        <v>0</v>
      </c>
      <c r="DL292" s="190"/>
    </row>
    <row r="293" spans="22:116" x14ac:dyDescent="0.25">
      <c r="V293" s="13"/>
      <c r="W293" s="66">
        <v>3</v>
      </c>
      <c r="X293" s="66">
        <v>2007</v>
      </c>
      <c r="Y293" s="69">
        <v>0</v>
      </c>
      <c r="Z293" s="69">
        <v>0</v>
      </c>
      <c r="AA293" s="69">
        <v>0</v>
      </c>
      <c r="AB293" s="69">
        <v>0</v>
      </c>
      <c r="AC293" s="69">
        <v>0</v>
      </c>
      <c r="AD293" s="69">
        <v>0</v>
      </c>
      <c r="AE293" s="69">
        <v>0</v>
      </c>
      <c r="AF293" s="69">
        <v>0</v>
      </c>
      <c r="AG293" s="69">
        <v>0</v>
      </c>
      <c r="AH293" s="69">
        <v>0</v>
      </c>
      <c r="AI293" s="69">
        <v>0</v>
      </c>
      <c r="AJ293" s="69">
        <v>0</v>
      </c>
      <c r="AK293" s="69">
        <v>0</v>
      </c>
      <c r="AL293" s="69">
        <v>0</v>
      </c>
      <c r="AM293" s="69">
        <v>0</v>
      </c>
      <c r="AN293" s="69">
        <v>0</v>
      </c>
      <c r="AO293" s="69">
        <v>0</v>
      </c>
      <c r="AP293" s="190"/>
      <c r="AQ293" s="66">
        <v>3</v>
      </c>
      <c r="AR293" s="66">
        <v>2007</v>
      </c>
      <c r="AS293" s="215">
        <f t="shared" si="2026"/>
        <v>0</v>
      </c>
      <c r="AT293" s="215">
        <f t="shared" si="2027"/>
        <v>0</v>
      </c>
      <c r="AU293" s="215">
        <f t="shared" si="2028"/>
        <v>0</v>
      </c>
      <c r="AV293" s="215">
        <f t="shared" si="2029"/>
        <v>0</v>
      </c>
      <c r="AW293" s="215">
        <f t="shared" si="2030"/>
        <v>0</v>
      </c>
      <c r="AX293" s="215">
        <f t="shared" si="2031"/>
        <v>0</v>
      </c>
      <c r="AY293" s="215">
        <f t="shared" si="2032"/>
        <v>0</v>
      </c>
      <c r="AZ293" s="215">
        <f t="shared" si="2033"/>
        <v>0</v>
      </c>
      <c r="BA293" s="215">
        <f t="shared" si="2034"/>
        <v>0</v>
      </c>
      <c r="BB293" s="215">
        <f t="shared" si="2035"/>
        <v>0</v>
      </c>
      <c r="BC293" s="215">
        <f t="shared" si="2036"/>
        <v>0</v>
      </c>
      <c r="BD293" s="215">
        <f t="shared" si="2037"/>
        <v>0</v>
      </c>
      <c r="BE293" s="215">
        <f t="shared" si="2038"/>
        <v>0</v>
      </c>
      <c r="BF293" s="215">
        <f t="shared" si="2039"/>
        <v>0</v>
      </c>
      <c r="BG293" s="215">
        <f t="shared" si="2040"/>
        <v>0</v>
      </c>
      <c r="BH293" s="215">
        <f t="shared" si="2041"/>
        <v>0</v>
      </c>
      <c r="BI293" s="215">
        <f t="shared" si="2042"/>
        <v>0</v>
      </c>
      <c r="BJ293" s="195"/>
      <c r="BK293" s="66">
        <v>3</v>
      </c>
      <c r="BL293" s="66">
        <v>2007</v>
      </c>
      <c r="BM293" s="215">
        <f t="shared" si="2049"/>
        <v>0</v>
      </c>
      <c r="BN293" s="219">
        <f t="shared" si="2050"/>
        <v>0</v>
      </c>
      <c r="BO293" s="219">
        <f t="shared" si="2051"/>
        <v>0</v>
      </c>
      <c r="BP293" s="219">
        <f t="shared" si="2077"/>
        <v>0</v>
      </c>
      <c r="BQ293" s="219">
        <f t="shared" si="2052"/>
        <v>0</v>
      </c>
      <c r="BR293" s="220">
        <f t="shared" si="2078"/>
        <v>0</v>
      </c>
      <c r="BS293" s="219">
        <f t="shared" si="2079"/>
        <v>0</v>
      </c>
      <c r="BT293" s="219">
        <f t="shared" si="2080"/>
        <v>0</v>
      </c>
      <c r="BU293" s="219">
        <f t="shared" si="2081"/>
        <v>0</v>
      </c>
      <c r="BV293" s="219">
        <f t="shared" si="2082"/>
        <v>0</v>
      </c>
      <c r="BW293" s="219">
        <f t="shared" si="2083"/>
        <v>0</v>
      </c>
      <c r="BX293" s="220">
        <f t="shared" si="2084"/>
        <v>0</v>
      </c>
      <c r="BY293" s="195"/>
      <c r="BZ293" s="66">
        <v>3</v>
      </c>
      <c r="CA293" s="66">
        <v>2007</v>
      </c>
      <c r="CB293" s="218">
        <f>pAsympt_NoCare_Asympt_Dead_2007_2009*AS292</f>
        <v>0</v>
      </c>
      <c r="CC293" s="218">
        <f t="shared" si="2053"/>
        <v>0</v>
      </c>
      <c r="CD293" s="73">
        <f t="shared" si="2054"/>
        <v>0</v>
      </c>
      <c r="CE293" s="73">
        <f>pInt_NoCare_Int_Dead_2007_2009*AW292</f>
        <v>0</v>
      </c>
      <c r="CF293" s="73">
        <f t="shared" si="2055"/>
        <v>0</v>
      </c>
      <c r="CG293" s="73">
        <f t="shared" si="2056"/>
        <v>0</v>
      </c>
      <c r="CH293" s="73">
        <f t="shared" si="2057"/>
        <v>0</v>
      </c>
      <c r="CI293" s="73">
        <f t="shared" si="2058"/>
        <v>0</v>
      </c>
      <c r="CJ293" s="73">
        <f t="shared" si="2059"/>
        <v>0</v>
      </c>
      <c r="CK293" s="73">
        <f t="shared" si="2060"/>
        <v>0</v>
      </c>
      <c r="CL293" s="73">
        <f t="shared" si="2061"/>
        <v>0</v>
      </c>
      <c r="CM293" s="73">
        <f>pAIDS_NoCare_AIDS_Dead_2007_2009*BC292</f>
        <v>0</v>
      </c>
      <c r="CN293" s="73">
        <f t="shared" si="2063"/>
        <v>0</v>
      </c>
      <c r="CO293" s="73">
        <f t="shared" si="2064"/>
        <v>0</v>
      </c>
      <c r="CP293" s="73">
        <f t="shared" si="2065"/>
        <v>0</v>
      </c>
      <c r="CQ293" s="73">
        <f t="shared" si="2066"/>
        <v>0</v>
      </c>
      <c r="CR293" s="73">
        <f t="shared" si="2067"/>
        <v>0</v>
      </c>
      <c r="CS293" s="73">
        <f t="shared" si="2068"/>
        <v>0</v>
      </c>
      <c r="CT293" s="73">
        <f t="shared" si="2069"/>
        <v>0</v>
      </c>
      <c r="CU293" s="73">
        <f t="shared" si="2070"/>
        <v>0</v>
      </c>
      <c r="CV293" s="73">
        <f t="shared" si="2071"/>
        <v>0</v>
      </c>
      <c r="CW293" s="73">
        <f t="shared" si="2072"/>
        <v>0</v>
      </c>
      <c r="CX293" s="73">
        <f t="shared" si="2073"/>
        <v>0</v>
      </c>
      <c r="CY293" s="73">
        <f t="shared" si="2074"/>
        <v>0</v>
      </c>
      <c r="CZ293" s="190"/>
      <c r="DA293" s="66">
        <v>2007</v>
      </c>
      <c r="DB293" s="218">
        <f t="shared" si="2043"/>
        <v>0</v>
      </c>
      <c r="DC293" s="218">
        <f t="shared" si="2044"/>
        <v>0</v>
      </c>
      <c r="DD293" s="73">
        <f t="shared" si="2045"/>
        <v>0</v>
      </c>
      <c r="DE293" s="73">
        <f t="shared" si="2046"/>
        <v>0</v>
      </c>
      <c r="DF293" s="73">
        <f t="shared" si="2047"/>
        <v>0</v>
      </c>
      <c r="DG293" s="73">
        <f t="shared" si="2048"/>
        <v>0</v>
      </c>
      <c r="DH293" s="72" t="e">
        <f t="shared" si="2075"/>
        <v>#DIV/0!</v>
      </c>
      <c r="DI293" s="72" t="e">
        <f t="shared" si="2076"/>
        <v>#DIV/0!</v>
      </c>
      <c r="DJ293" s="73">
        <f>SUM(AV290:AV293,BB290:BB293,BI290:BI293)</f>
        <v>0</v>
      </c>
      <c r="DK293" s="218">
        <v>0</v>
      </c>
      <c r="DL293" s="190"/>
    </row>
    <row r="294" spans="22:116" x14ac:dyDescent="0.25">
      <c r="V294" s="13"/>
      <c r="W294" s="66">
        <v>4</v>
      </c>
      <c r="X294" s="66">
        <v>2008</v>
      </c>
      <c r="Y294" s="69">
        <v>0</v>
      </c>
      <c r="Z294" s="69">
        <v>0</v>
      </c>
      <c r="AA294" s="69">
        <v>0</v>
      </c>
      <c r="AB294" s="69">
        <v>0</v>
      </c>
      <c r="AC294" s="69">
        <v>0</v>
      </c>
      <c r="AD294" s="69">
        <v>0</v>
      </c>
      <c r="AE294" s="69">
        <v>0</v>
      </c>
      <c r="AF294" s="69">
        <v>0</v>
      </c>
      <c r="AG294" s="69">
        <v>0</v>
      </c>
      <c r="AH294" s="69">
        <v>0</v>
      </c>
      <c r="AI294" s="69">
        <v>0</v>
      </c>
      <c r="AJ294" s="69">
        <v>0</v>
      </c>
      <c r="AK294" s="69">
        <v>0</v>
      </c>
      <c r="AL294" s="69">
        <v>0</v>
      </c>
      <c r="AM294" s="69">
        <v>0</v>
      </c>
      <c r="AN294" s="69">
        <v>0</v>
      </c>
      <c r="AO294" s="69">
        <v>0</v>
      </c>
      <c r="AP294" s="190"/>
      <c r="AQ294" s="66">
        <v>4</v>
      </c>
      <c r="AR294" s="66">
        <v>2008</v>
      </c>
      <c r="AS294" s="215">
        <f t="shared" si="2026"/>
        <v>0</v>
      </c>
      <c r="AT294" s="215">
        <f t="shared" si="2027"/>
        <v>0</v>
      </c>
      <c r="AU294" s="215">
        <f t="shared" si="2028"/>
        <v>0</v>
      </c>
      <c r="AV294" s="215">
        <f t="shared" si="2029"/>
        <v>0</v>
      </c>
      <c r="AW294" s="215">
        <f t="shared" si="2030"/>
        <v>0</v>
      </c>
      <c r="AX294" s="215">
        <f t="shared" si="2031"/>
        <v>0</v>
      </c>
      <c r="AY294" s="215">
        <f t="shared" si="2032"/>
        <v>0</v>
      </c>
      <c r="AZ294" s="215">
        <f t="shared" si="2033"/>
        <v>0</v>
      </c>
      <c r="BA294" s="215">
        <f t="shared" si="2034"/>
        <v>0</v>
      </c>
      <c r="BB294" s="215">
        <f t="shared" si="2035"/>
        <v>0</v>
      </c>
      <c r="BC294" s="215">
        <f t="shared" si="2036"/>
        <v>0</v>
      </c>
      <c r="BD294" s="215">
        <f t="shared" si="2037"/>
        <v>0</v>
      </c>
      <c r="BE294" s="215">
        <f t="shared" si="2038"/>
        <v>0</v>
      </c>
      <c r="BF294" s="215">
        <f t="shared" si="2039"/>
        <v>0</v>
      </c>
      <c r="BG294" s="215">
        <f t="shared" si="2040"/>
        <v>0</v>
      </c>
      <c r="BH294" s="215">
        <f t="shared" si="2041"/>
        <v>0</v>
      </c>
      <c r="BI294" s="215">
        <f t="shared" si="2042"/>
        <v>0</v>
      </c>
      <c r="BJ294" s="195"/>
      <c r="BK294" s="66">
        <v>4</v>
      </c>
      <c r="BL294" s="66">
        <v>2008</v>
      </c>
      <c r="BM294" s="215">
        <f t="shared" si="2049"/>
        <v>0</v>
      </c>
      <c r="BN294" s="219">
        <f t="shared" si="2050"/>
        <v>0</v>
      </c>
      <c r="BO294" s="219">
        <f t="shared" si="2051"/>
        <v>0</v>
      </c>
      <c r="BP294" s="219">
        <f t="shared" si="2077"/>
        <v>0</v>
      </c>
      <c r="BQ294" s="219">
        <f t="shared" si="2052"/>
        <v>0</v>
      </c>
      <c r="BR294" s="220">
        <f t="shared" si="2078"/>
        <v>0</v>
      </c>
      <c r="BS294" s="219">
        <f t="shared" si="2079"/>
        <v>0</v>
      </c>
      <c r="BT294" s="219">
        <f t="shared" si="2080"/>
        <v>0</v>
      </c>
      <c r="BU294" s="219">
        <f t="shared" si="2081"/>
        <v>0</v>
      </c>
      <c r="BV294" s="219">
        <f t="shared" si="2082"/>
        <v>0</v>
      </c>
      <c r="BW294" s="219">
        <f t="shared" si="2083"/>
        <v>0</v>
      </c>
      <c r="BX294" s="220">
        <f t="shared" si="2084"/>
        <v>0</v>
      </c>
      <c r="BY294" s="195"/>
      <c r="BZ294" s="66">
        <v>4</v>
      </c>
      <c r="CA294" s="66">
        <v>2008</v>
      </c>
      <c r="CB294" s="218">
        <f>pAsympt_NoCare_Asympt_Dead_2007_2009*AS293</f>
        <v>0</v>
      </c>
      <c r="CC294" s="218">
        <f t="shared" si="2053"/>
        <v>0</v>
      </c>
      <c r="CD294" s="73">
        <f t="shared" si="2054"/>
        <v>0</v>
      </c>
      <c r="CE294" s="73">
        <f>pInt_NoCare_Int_Dead_2007_2009*AW293</f>
        <v>0</v>
      </c>
      <c r="CF294" s="73">
        <f t="shared" si="2055"/>
        <v>0</v>
      </c>
      <c r="CG294" s="73">
        <f t="shared" si="2056"/>
        <v>0</v>
      </c>
      <c r="CH294" s="73">
        <f t="shared" si="2057"/>
        <v>0</v>
      </c>
      <c r="CI294" s="73">
        <f t="shared" si="2058"/>
        <v>0</v>
      </c>
      <c r="CJ294" s="73">
        <f t="shared" si="2059"/>
        <v>0</v>
      </c>
      <c r="CK294" s="73">
        <f t="shared" si="2060"/>
        <v>0</v>
      </c>
      <c r="CL294" s="73">
        <f t="shared" si="2061"/>
        <v>0</v>
      </c>
      <c r="CM294" s="73">
        <f>pAIDS_NoCare_AIDS_Dead_2007_2009*BC293</f>
        <v>0</v>
      </c>
      <c r="CN294" s="73">
        <f t="shared" si="2063"/>
        <v>0</v>
      </c>
      <c r="CO294" s="73">
        <f t="shared" si="2064"/>
        <v>0</v>
      </c>
      <c r="CP294" s="73">
        <f t="shared" si="2065"/>
        <v>0</v>
      </c>
      <c r="CQ294" s="73">
        <f t="shared" si="2066"/>
        <v>0</v>
      </c>
      <c r="CR294" s="73">
        <f t="shared" si="2067"/>
        <v>0</v>
      </c>
      <c r="CS294" s="73">
        <f t="shared" si="2068"/>
        <v>0</v>
      </c>
      <c r="CT294" s="73">
        <f t="shared" si="2069"/>
        <v>0</v>
      </c>
      <c r="CU294" s="73">
        <f t="shared" si="2070"/>
        <v>0</v>
      </c>
      <c r="CV294" s="73">
        <f t="shared" si="2071"/>
        <v>0</v>
      </c>
      <c r="CW294" s="73">
        <f t="shared" si="2072"/>
        <v>0</v>
      </c>
      <c r="CX294" s="73">
        <f t="shared" si="2073"/>
        <v>0</v>
      </c>
      <c r="CY294" s="73">
        <f t="shared" si="2074"/>
        <v>0</v>
      </c>
      <c r="CZ294" s="190"/>
      <c r="DA294" s="66">
        <v>2008</v>
      </c>
      <c r="DB294" s="218">
        <f t="shared" si="2043"/>
        <v>0</v>
      </c>
      <c r="DC294" s="218">
        <f t="shared" si="2044"/>
        <v>0</v>
      </c>
      <c r="DD294" s="73">
        <f t="shared" si="2045"/>
        <v>0</v>
      </c>
      <c r="DE294" s="73">
        <f t="shared" si="2046"/>
        <v>0</v>
      </c>
      <c r="DF294" s="73">
        <f t="shared" si="2047"/>
        <v>0</v>
      </c>
      <c r="DG294" s="73">
        <f t="shared" si="2048"/>
        <v>0</v>
      </c>
      <c r="DH294" s="72" t="e">
        <f t="shared" si="2075"/>
        <v>#DIV/0!</v>
      </c>
      <c r="DI294" s="72" t="e">
        <f t="shared" si="2076"/>
        <v>#DIV/0!</v>
      </c>
      <c r="DJ294" s="73">
        <f>SUM(AV290:AV294,BB290:BB294,BI290:BI294)</f>
        <v>0</v>
      </c>
      <c r="DK294" s="218">
        <v>0</v>
      </c>
      <c r="DL294" s="190"/>
    </row>
    <row r="295" spans="22:116" x14ac:dyDescent="0.25">
      <c r="V295" s="13"/>
      <c r="W295" s="66">
        <v>5</v>
      </c>
      <c r="X295" s="66">
        <v>2009</v>
      </c>
      <c r="Y295" s="69">
        <v>0</v>
      </c>
      <c r="Z295" s="69">
        <v>0</v>
      </c>
      <c r="AA295" s="69">
        <v>0</v>
      </c>
      <c r="AB295" s="69">
        <v>0</v>
      </c>
      <c r="AC295" s="69">
        <v>0</v>
      </c>
      <c r="AD295" s="69">
        <v>0</v>
      </c>
      <c r="AE295" s="69">
        <v>0</v>
      </c>
      <c r="AF295" s="69">
        <v>0</v>
      </c>
      <c r="AG295" s="69">
        <v>0</v>
      </c>
      <c r="AH295" s="69">
        <v>0</v>
      </c>
      <c r="AI295" s="69">
        <v>0</v>
      </c>
      <c r="AJ295" s="69">
        <v>0</v>
      </c>
      <c r="AK295" s="69">
        <v>0</v>
      </c>
      <c r="AL295" s="69">
        <v>0</v>
      </c>
      <c r="AM295" s="69">
        <v>0</v>
      </c>
      <c r="AN295" s="69">
        <v>0</v>
      </c>
      <c r="AO295" s="69">
        <v>0</v>
      </c>
      <c r="AP295" s="190"/>
      <c r="AQ295" s="66">
        <v>5</v>
      </c>
      <c r="AR295" s="66">
        <v>2009</v>
      </c>
      <c r="AS295" s="215">
        <f t="shared" si="2026"/>
        <v>0</v>
      </c>
      <c r="AT295" s="215">
        <f t="shared" si="2027"/>
        <v>0</v>
      </c>
      <c r="AU295" s="215">
        <f t="shared" si="2028"/>
        <v>0</v>
      </c>
      <c r="AV295" s="215">
        <f t="shared" si="2029"/>
        <v>0</v>
      </c>
      <c r="AW295" s="215">
        <f t="shared" si="2030"/>
        <v>0</v>
      </c>
      <c r="AX295" s="215">
        <f t="shared" si="2031"/>
        <v>0</v>
      </c>
      <c r="AY295" s="215">
        <f t="shared" si="2032"/>
        <v>0</v>
      </c>
      <c r="AZ295" s="215">
        <f t="shared" si="2033"/>
        <v>0</v>
      </c>
      <c r="BA295" s="215">
        <f t="shared" si="2034"/>
        <v>0</v>
      </c>
      <c r="BB295" s="215">
        <f t="shared" si="2035"/>
        <v>0</v>
      </c>
      <c r="BC295" s="215">
        <f t="shared" si="2036"/>
        <v>0</v>
      </c>
      <c r="BD295" s="215">
        <f t="shared" si="2037"/>
        <v>0</v>
      </c>
      <c r="BE295" s="215">
        <f t="shared" si="2038"/>
        <v>0</v>
      </c>
      <c r="BF295" s="215">
        <f t="shared" si="2039"/>
        <v>0</v>
      </c>
      <c r="BG295" s="215">
        <f t="shared" si="2040"/>
        <v>0</v>
      </c>
      <c r="BH295" s="215">
        <f t="shared" si="2041"/>
        <v>0</v>
      </c>
      <c r="BI295" s="215">
        <f t="shared" si="2042"/>
        <v>0</v>
      </c>
      <c r="BJ295" s="195"/>
      <c r="BK295" s="66">
        <v>5</v>
      </c>
      <c r="BL295" s="66">
        <v>2009</v>
      </c>
      <c r="BM295" s="215">
        <f t="shared" si="2049"/>
        <v>0</v>
      </c>
      <c r="BN295" s="219">
        <f t="shared" si="2050"/>
        <v>0</v>
      </c>
      <c r="BO295" s="219">
        <f t="shared" si="2051"/>
        <v>0</v>
      </c>
      <c r="BP295" s="219">
        <f t="shared" si="2077"/>
        <v>0</v>
      </c>
      <c r="BQ295" s="219">
        <f t="shared" si="2052"/>
        <v>0</v>
      </c>
      <c r="BR295" s="220">
        <f t="shared" si="2078"/>
        <v>0</v>
      </c>
      <c r="BS295" s="219">
        <f t="shared" si="2079"/>
        <v>0</v>
      </c>
      <c r="BT295" s="219">
        <f t="shared" si="2080"/>
        <v>0</v>
      </c>
      <c r="BU295" s="219">
        <f t="shared" si="2081"/>
        <v>0</v>
      </c>
      <c r="BV295" s="219">
        <f t="shared" si="2082"/>
        <v>0</v>
      </c>
      <c r="BW295" s="219">
        <f t="shared" si="2083"/>
        <v>0</v>
      </c>
      <c r="BX295" s="220">
        <f t="shared" si="2084"/>
        <v>0</v>
      </c>
      <c r="BY295" s="195"/>
      <c r="BZ295" s="66">
        <v>5</v>
      </c>
      <c r="CA295" s="66">
        <v>2009</v>
      </c>
      <c r="CB295" s="218">
        <f>pAsympt_NoCare_Asympt_Dead_2007_2009*AS294</f>
        <v>0</v>
      </c>
      <c r="CC295" s="218">
        <f t="shared" si="2053"/>
        <v>0</v>
      </c>
      <c r="CD295" s="73">
        <f t="shared" si="2054"/>
        <v>0</v>
      </c>
      <c r="CE295" s="73">
        <f>pInt_NoCare_Int_Dead_2007_2009*AW294</f>
        <v>0</v>
      </c>
      <c r="CF295" s="73">
        <f t="shared" si="2055"/>
        <v>0</v>
      </c>
      <c r="CG295" s="73">
        <f t="shared" si="2056"/>
        <v>0</v>
      </c>
      <c r="CH295" s="73">
        <f t="shared" si="2057"/>
        <v>0</v>
      </c>
      <c r="CI295" s="73">
        <f t="shared" si="2058"/>
        <v>0</v>
      </c>
      <c r="CJ295" s="73">
        <f t="shared" si="2059"/>
        <v>0</v>
      </c>
      <c r="CK295" s="73">
        <f t="shared" si="2060"/>
        <v>0</v>
      </c>
      <c r="CL295" s="73">
        <f t="shared" si="2061"/>
        <v>0</v>
      </c>
      <c r="CM295" s="73">
        <f>pAIDS_NoCare_AIDS_Dead_2007_2009*BC294</f>
        <v>0</v>
      </c>
      <c r="CN295" s="73">
        <f t="shared" si="2063"/>
        <v>0</v>
      </c>
      <c r="CO295" s="73">
        <f t="shared" si="2064"/>
        <v>0</v>
      </c>
      <c r="CP295" s="73">
        <f t="shared" si="2065"/>
        <v>0</v>
      </c>
      <c r="CQ295" s="73">
        <f t="shared" si="2066"/>
        <v>0</v>
      </c>
      <c r="CR295" s="73">
        <f t="shared" si="2067"/>
        <v>0</v>
      </c>
      <c r="CS295" s="73">
        <f t="shared" si="2068"/>
        <v>0</v>
      </c>
      <c r="CT295" s="73">
        <f t="shared" si="2069"/>
        <v>0</v>
      </c>
      <c r="CU295" s="73">
        <f t="shared" si="2070"/>
        <v>0</v>
      </c>
      <c r="CV295" s="73">
        <f t="shared" si="2071"/>
        <v>0</v>
      </c>
      <c r="CW295" s="73">
        <f t="shared" si="2072"/>
        <v>0</v>
      </c>
      <c r="CX295" s="73">
        <f t="shared" si="2073"/>
        <v>0</v>
      </c>
      <c r="CY295" s="73">
        <f t="shared" si="2074"/>
        <v>0</v>
      </c>
      <c r="CZ295" s="190"/>
      <c r="DA295" s="66">
        <v>2009</v>
      </c>
      <c r="DB295" s="218">
        <f t="shared" si="2043"/>
        <v>0</v>
      </c>
      <c r="DC295" s="218">
        <f t="shared" si="2044"/>
        <v>0</v>
      </c>
      <c r="DD295" s="73">
        <f t="shared" si="2045"/>
        <v>0</v>
      </c>
      <c r="DE295" s="73">
        <f t="shared" si="2046"/>
        <v>0</v>
      </c>
      <c r="DF295" s="73">
        <f t="shared" si="2047"/>
        <v>0</v>
      </c>
      <c r="DG295" s="73">
        <f t="shared" si="2048"/>
        <v>0</v>
      </c>
      <c r="DH295" s="72" t="e">
        <f t="shared" si="2075"/>
        <v>#DIV/0!</v>
      </c>
      <c r="DI295" s="72" t="e">
        <f t="shared" si="2076"/>
        <v>#DIV/0!</v>
      </c>
      <c r="DJ295" s="73">
        <f>SUM(AV290:AV295,BB290:BB295,BI290:BI295)</f>
        <v>0</v>
      </c>
      <c r="DK295" s="218">
        <v>0</v>
      </c>
      <c r="DL295" s="190"/>
    </row>
    <row r="296" spans="22:116" x14ac:dyDescent="0.25">
      <c r="V296" s="13"/>
      <c r="W296" s="66">
        <v>6</v>
      </c>
      <c r="X296" s="66">
        <v>2010</v>
      </c>
      <c r="Y296" s="69">
        <v>0</v>
      </c>
      <c r="Z296" s="69">
        <v>0</v>
      </c>
      <c r="AA296" s="69">
        <v>0</v>
      </c>
      <c r="AB296" s="69">
        <v>0</v>
      </c>
      <c r="AC296" s="69">
        <v>0</v>
      </c>
      <c r="AD296" s="69">
        <v>0</v>
      </c>
      <c r="AE296" s="69">
        <v>0</v>
      </c>
      <c r="AF296" s="69">
        <v>0</v>
      </c>
      <c r="AG296" s="69">
        <v>0</v>
      </c>
      <c r="AH296" s="69">
        <v>0</v>
      </c>
      <c r="AI296" s="69">
        <v>0</v>
      </c>
      <c r="AJ296" s="69">
        <v>0</v>
      </c>
      <c r="AK296" s="69">
        <v>0</v>
      </c>
      <c r="AL296" s="69">
        <v>0</v>
      </c>
      <c r="AM296" s="69">
        <v>0</v>
      </c>
      <c r="AN296" s="69">
        <v>0</v>
      </c>
      <c r="AO296" s="69">
        <v>0</v>
      </c>
      <c r="AP296" s="190"/>
      <c r="AQ296" s="66">
        <v>6</v>
      </c>
      <c r="AR296" s="66">
        <v>2010</v>
      </c>
      <c r="AS296" s="215">
        <f t="shared" si="2026"/>
        <v>0</v>
      </c>
      <c r="AT296" s="215">
        <f t="shared" si="2027"/>
        <v>0</v>
      </c>
      <c r="AU296" s="215">
        <f t="shared" si="2028"/>
        <v>0</v>
      </c>
      <c r="AV296" s="215">
        <f t="shared" si="2029"/>
        <v>0</v>
      </c>
      <c r="AW296" s="215">
        <f t="shared" si="2030"/>
        <v>0</v>
      </c>
      <c r="AX296" s="215">
        <f t="shared" si="2031"/>
        <v>0</v>
      </c>
      <c r="AY296" s="215">
        <f t="shared" si="2032"/>
        <v>0</v>
      </c>
      <c r="AZ296" s="215">
        <f t="shared" si="2033"/>
        <v>0</v>
      </c>
      <c r="BA296" s="215">
        <f t="shared" si="2034"/>
        <v>0</v>
      </c>
      <c r="BB296" s="215">
        <f t="shared" si="2035"/>
        <v>0</v>
      </c>
      <c r="BC296" s="215">
        <f t="shared" si="2036"/>
        <v>0</v>
      </c>
      <c r="BD296" s="215">
        <f t="shared" si="2037"/>
        <v>0</v>
      </c>
      <c r="BE296" s="215">
        <f t="shared" si="2038"/>
        <v>0</v>
      </c>
      <c r="BF296" s="215">
        <f t="shared" si="2039"/>
        <v>0</v>
      </c>
      <c r="BG296" s="215">
        <f t="shared" si="2040"/>
        <v>0</v>
      </c>
      <c r="BH296" s="215">
        <f t="shared" si="2041"/>
        <v>0</v>
      </c>
      <c r="BI296" s="215">
        <f t="shared" si="2042"/>
        <v>0</v>
      </c>
      <c r="BJ296" s="195"/>
      <c r="BK296" s="66">
        <v>6</v>
      </c>
      <c r="BL296" s="66">
        <v>2010</v>
      </c>
      <c r="BM296" s="215">
        <f t="shared" si="2049"/>
        <v>0</v>
      </c>
      <c r="BN296" s="219">
        <f t="shared" si="2050"/>
        <v>0</v>
      </c>
      <c r="BO296" s="219">
        <f t="shared" si="2051"/>
        <v>0</v>
      </c>
      <c r="BP296" s="219">
        <f t="shared" si="2077"/>
        <v>0</v>
      </c>
      <c r="BQ296" s="219">
        <f t="shared" si="2052"/>
        <v>0</v>
      </c>
      <c r="BR296" s="220">
        <f t="shared" si="2078"/>
        <v>0</v>
      </c>
      <c r="BS296" s="219">
        <f t="shared" si="2079"/>
        <v>0</v>
      </c>
      <c r="BT296" s="219">
        <f t="shared" si="2080"/>
        <v>0</v>
      </c>
      <c r="BU296" s="219">
        <f t="shared" si="2081"/>
        <v>0</v>
      </c>
      <c r="BV296" s="219">
        <f t="shared" si="2082"/>
        <v>0</v>
      </c>
      <c r="BW296" s="219">
        <f t="shared" si="2083"/>
        <v>0</v>
      </c>
      <c r="BX296" s="220">
        <f t="shared" si="2084"/>
        <v>0</v>
      </c>
      <c r="BY296" s="195"/>
      <c r="BZ296" s="66">
        <v>6</v>
      </c>
      <c r="CA296" s="66">
        <v>2010</v>
      </c>
      <c r="CB296" s="218">
        <f>pAsympt_NoCare_Asympt_Dead_2010_2012*AS295</f>
        <v>0</v>
      </c>
      <c r="CC296" s="218">
        <f t="shared" si="2053"/>
        <v>0</v>
      </c>
      <c r="CD296" s="73">
        <f t="shared" si="2054"/>
        <v>0</v>
      </c>
      <c r="CE296" s="73">
        <f>pInt_NoCare_Int_Dead_2010_2012*AW295</f>
        <v>0</v>
      </c>
      <c r="CF296" s="73">
        <f t="shared" si="2055"/>
        <v>0</v>
      </c>
      <c r="CG296" s="73">
        <f t="shared" si="2056"/>
        <v>0</v>
      </c>
      <c r="CH296" s="73">
        <f t="shared" si="2057"/>
        <v>0</v>
      </c>
      <c r="CI296" s="73">
        <f t="shared" si="2058"/>
        <v>0</v>
      </c>
      <c r="CJ296" s="73">
        <f t="shared" si="2059"/>
        <v>0</v>
      </c>
      <c r="CK296" s="73">
        <f t="shared" si="2060"/>
        <v>0</v>
      </c>
      <c r="CL296" s="73">
        <f t="shared" si="2061"/>
        <v>0</v>
      </c>
      <c r="CM296" s="73">
        <f>pAIDS_NoCare_AIDS_Dead_2010_2012*BC295</f>
        <v>0</v>
      </c>
      <c r="CN296" s="73">
        <f t="shared" si="2063"/>
        <v>0</v>
      </c>
      <c r="CO296" s="73">
        <f t="shared" si="2064"/>
        <v>0</v>
      </c>
      <c r="CP296" s="73">
        <f t="shared" si="2065"/>
        <v>0</v>
      </c>
      <c r="CQ296" s="73">
        <f t="shared" si="2066"/>
        <v>0</v>
      </c>
      <c r="CR296" s="73">
        <f t="shared" si="2067"/>
        <v>0</v>
      </c>
      <c r="CS296" s="73">
        <f t="shared" si="2068"/>
        <v>0</v>
      </c>
      <c r="CT296" s="73">
        <f t="shared" si="2069"/>
        <v>0</v>
      </c>
      <c r="CU296" s="73">
        <f t="shared" si="2070"/>
        <v>0</v>
      </c>
      <c r="CV296" s="73">
        <f t="shared" si="2071"/>
        <v>0</v>
      </c>
      <c r="CW296" s="73">
        <f t="shared" si="2072"/>
        <v>0</v>
      </c>
      <c r="CX296" s="73">
        <f t="shared" si="2073"/>
        <v>0</v>
      </c>
      <c r="CY296" s="73">
        <f t="shared" si="2074"/>
        <v>0</v>
      </c>
      <c r="CZ296" s="190"/>
      <c r="DA296" s="66">
        <v>2010</v>
      </c>
      <c r="DB296" s="218">
        <f t="shared" si="2043"/>
        <v>0</v>
      </c>
      <c r="DC296" s="218">
        <f t="shared" si="2044"/>
        <v>0</v>
      </c>
      <c r="DD296" s="73">
        <f t="shared" si="2045"/>
        <v>0</v>
      </c>
      <c r="DE296" s="73">
        <f t="shared" si="2046"/>
        <v>0</v>
      </c>
      <c r="DF296" s="73">
        <f t="shared" si="2047"/>
        <v>0</v>
      </c>
      <c r="DG296" s="73">
        <f t="shared" si="2048"/>
        <v>0</v>
      </c>
      <c r="DH296" s="72" t="e">
        <f t="shared" si="2075"/>
        <v>#DIV/0!</v>
      </c>
      <c r="DI296" s="72" t="e">
        <f t="shared" si="2076"/>
        <v>#DIV/0!</v>
      </c>
      <c r="DJ296" s="73">
        <f>SUM(AV290:AV296,BB290:BB296,BI290:BI296)</f>
        <v>0</v>
      </c>
      <c r="DK296" s="218">
        <f>SUM(AV296,BB296,BI296)</f>
        <v>0</v>
      </c>
      <c r="DL296" s="190"/>
    </row>
    <row r="297" spans="22:116" x14ac:dyDescent="0.25">
      <c r="V297" s="13"/>
      <c r="W297" s="66">
        <v>7</v>
      </c>
      <c r="X297" s="66">
        <v>2011</v>
      </c>
      <c r="Y297" s="69">
        <v>0</v>
      </c>
      <c r="Z297" s="69">
        <v>0</v>
      </c>
      <c r="AA297" s="69">
        <v>0</v>
      </c>
      <c r="AB297" s="69">
        <v>0</v>
      </c>
      <c r="AC297" s="69">
        <v>0</v>
      </c>
      <c r="AD297" s="69">
        <v>0</v>
      </c>
      <c r="AE297" s="69">
        <v>0</v>
      </c>
      <c r="AF297" s="69">
        <v>0</v>
      </c>
      <c r="AG297" s="69">
        <v>0</v>
      </c>
      <c r="AH297" s="69">
        <v>0</v>
      </c>
      <c r="AI297" s="69">
        <v>0</v>
      </c>
      <c r="AJ297" s="69">
        <v>0</v>
      </c>
      <c r="AK297" s="69">
        <v>0</v>
      </c>
      <c r="AL297" s="69">
        <v>0</v>
      </c>
      <c r="AM297" s="69">
        <v>0</v>
      </c>
      <c r="AN297" s="69">
        <v>0</v>
      </c>
      <c r="AO297" s="69">
        <v>0</v>
      </c>
      <c r="AP297" s="190"/>
      <c r="AQ297" s="66">
        <v>7</v>
      </c>
      <c r="AR297" s="66">
        <v>2011</v>
      </c>
      <c r="AS297" s="215">
        <f t="shared" si="2026"/>
        <v>0</v>
      </c>
      <c r="AT297" s="215">
        <f t="shared" si="2027"/>
        <v>0</v>
      </c>
      <c r="AU297" s="215">
        <f t="shared" si="2028"/>
        <v>0</v>
      </c>
      <c r="AV297" s="215">
        <f t="shared" si="2029"/>
        <v>0</v>
      </c>
      <c r="AW297" s="215">
        <f t="shared" si="2030"/>
        <v>0</v>
      </c>
      <c r="AX297" s="215">
        <f t="shared" si="2031"/>
        <v>0</v>
      </c>
      <c r="AY297" s="215">
        <f t="shared" si="2032"/>
        <v>0</v>
      </c>
      <c r="AZ297" s="215">
        <f t="shared" si="2033"/>
        <v>0</v>
      </c>
      <c r="BA297" s="215">
        <f t="shared" si="2034"/>
        <v>0</v>
      </c>
      <c r="BB297" s="215">
        <f t="shared" si="2035"/>
        <v>0</v>
      </c>
      <c r="BC297" s="215">
        <f t="shared" si="2036"/>
        <v>0</v>
      </c>
      <c r="BD297" s="215">
        <f t="shared" si="2037"/>
        <v>0</v>
      </c>
      <c r="BE297" s="215">
        <f t="shared" si="2038"/>
        <v>0</v>
      </c>
      <c r="BF297" s="215">
        <f t="shared" si="2039"/>
        <v>0</v>
      </c>
      <c r="BG297" s="215">
        <f t="shared" si="2040"/>
        <v>0</v>
      </c>
      <c r="BH297" s="215">
        <f t="shared" si="2041"/>
        <v>0</v>
      </c>
      <c r="BI297" s="215">
        <f t="shared" si="2042"/>
        <v>0</v>
      </c>
      <c r="BJ297" s="195"/>
      <c r="BK297" s="66">
        <v>7</v>
      </c>
      <c r="BL297" s="66">
        <v>2011</v>
      </c>
      <c r="BM297" s="215">
        <f t="shared" si="2049"/>
        <v>0</v>
      </c>
      <c r="BN297" s="219">
        <f t="shared" si="2050"/>
        <v>0</v>
      </c>
      <c r="BO297" s="219">
        <f t="shared" si="2051"/>
        <v>0</v>
      </c>
      <c r="BP297" s="219">
        <f t="shared" si="2077"/>
        <v>0</v>
      </c>
      <c r="BQ297" s="219">
        <f t="shared" si="2052"/>
        <v>0</v>
      </c>
      <c r="BR297" s="220">
        <f t="shared" si="2078"/>
        <v>0</v>
      </c>
      <c r="BS297" s="219">
        <f t="shared" si="2079"/>
        <v>0</v>
      </c>
      <c r="BT297" s="219">
        <f t="shared" si="2080"/>
        <v>0</v>
      </c>
      <c r="BU297" s="219">
        <f t="shared" si="2081"/>
        <v>0</v>
      </c>
      <c r="BV297" s="219">
        <f t="shared" si="2082"/>
        <v>0</v>
      </c>
      <c r="BW297" s="219">
        <f t="shared" si="2083"/>
        <v>0</v>
      </c>
      <c r="BX297" s="220">
        <f t="shared" si="2084"/>
        <v>0</v>
      </c>
      <c r="BY297" s="195"/>
      <c r="BZ297" s="66">
        <v>7</v>
      </c>
      <c r="CA297" s="66">
        <v>2011</v>
      </c>
      <c r="CB297" s="218">
        <f>pAsympt_NoCare_Asympt_Dead_2010_2012*AS296</f>
        <v>0</v>
      </c>
      <c r="CC297" s="218">
        <f t="shared" si="2053"/>
        <v>0</v>
      </c>
      <c r="CD297" s="73">
        <f t="shared" si="2054"/>
        <v>0</v>
      </c>
      <c r="CE297" s="73">
        <f>pInt_NoCare_Int_Dead_2010_2012*AW296</f>
        <v>0</v>
      </c>
      <c r="CF297" s="73">
        <f t="shared" si="2055"/>
        <v>0</v>
      </c>
      <c r="CG297" s="73">
        <f t="shared" si="2056"/>
        <v>0</v>
      </c>
      <c r="CH297" s="73">
        <f t="shared" si="2057"/>
        <v>0</v>
      </c>
      <c r="CI297" s="73">
        <f t="shared" si="2058"/>
        <v>0</v>
      </c>
      <c r="CJ297" s="73">
        <f t="shared" si="2059"/>
        <v>0</v>
      </c>
      <c r="CK297" s="73">
        <f t="shared" si="2060"/>
        <v>0</v>
      </c>
      <c r="CL297" s="73">
        <f t="shared" si="2061"/>
        <v>0</v>
      </c>
      <c r="CM297" s="73">
        <f>pAIDS_NoCare_AIDS_Dead_2010_2012*BC296</f>
        <v>0</v>
      </c>
      <c r="CN297" s="73">
        <f t="shared" si="2063"/>
        <v>0</v>
      </c>
      <c r="CO297" s="73">
        <f t="shared" si="2064"/>
        <v>0</v>
      </c>
      <c r="CP297" s="73">
        <f t="shared" si="2065"/>
        <v>0</v>
      </c>
      <c r="CQ297" s="73">
        <f t="shared" si="2066"/>
        <v>0</v>
      </c>
      <c r="CR297" s="73">
        <f t="shared" si="2067"/>
        <v>0</v>
      </c>
      <c r="CS297" s="73">
        <f t="shared" si="2068"/>
        <v>0</v>
      </c>
      <c r="CT297" s="73">
        <f t="shared" si="2069"/>
        <v>0</v>
      </c>
      <c r="CU297" s="73">
        <f t="shared" si="2070"/>
        <v>0</v>
      </c>
      <c r="CV297" s="73">
        <f t="shared" si="2071"/>
        <v>0</v>
      </c>
      <c r="CW297" s="73">
        <f t="shared" si="2072"/>
        <v>0</v>
      </c>
      <c r="CX297" s="73">
        <f t="shared" si="2073"/>
        <v>0</v>
      </c>
      <c r="CY297" s="73">
        <f t="shared" si="2074"/>
        <v>0</v>
      </c>
      <c r="CZ297" s="190"/>
      <c r="DA297" s="66">
        <v>2011</v>
      </c>
      <c r="DB297" s="218">
        <f t="shared" si="2043"/>
        <v>0</v>
      </c>
      <c r="DC297" s="218">
        <f t="shared" si="2044"/>
        <v>0</v>
      </c>
      <c r="DD297" s="73">
        <f t="shared" si="2045"/>
        <v>0</v>
      </c>
      <c r="DE297" s="73">
        <f t="shared" si="2046"/>
        <v>0</v>
      </c>
      <c r="DF297" s="73">
        <f t="shared" si="2047"/>
        <v>0</v>
      </c>
      <c r="DG297" s="73">
        <f t="shared" si="2048"/>
        <v>0</v>
      </c>
      <c r="DH297" s="72" t="e">
        <f t="shared" si="2075"/>
        <v>#DIV/0!</v>
      </c>
      <c r="DI297" s="72" t="e">
        <f t="shared" si="2076"/>
        <v>#DIV/0!</v>
      </c>
      <c r="DJ297" s="73">
        <f>SUM(AV290:AV297,BB290:BB297,BI290:BI297)</f>
        <v>0</v>
      </c>
      <c r="DK297" s="218">
        <f>SUM(AV296:AV297,BB296:BB297,BI296:BI297)</f>
        <v>0</v>
      </c>
      <c r="DL297" s="190"/>
    </row>
    <row r="298" spans="22:116" x14ac:dyDescent="0.25">
      <c r="V298" s="13"/>
      <c r="W298" s="66">
        <v>8</v>
      </c>
      <c r="X298" s="66">
        <v>2012</v>
      </c>
      <c r="Y298" s="69">
        <v>0</v>
      </c>
      <c r="Z298" s="69">
        <v>0</v>
      </c>
      <c r="AA298" s="69">
        <v>0</v>
      </c>
      <c r="AB298" s="69">
        <v>0</v>
      </c>
      <c r="AC298" s="69">
        <v>0</v>
      </c>
      <c r="AD298" s="69">
        <v>0</v>
      </c>
      <c r="AE298" s="69">
        <v>0</v>
      </c>
      <c r="AF298" s="69">
        <v>0</v>
      </c>
      <c r="AG298" s="69">
        <v>0</v>
      </c>
      <c r="AH298" s="69">
        <v>0</v>
      </c>
      <c r="AI298" s="69">
        <v>0</v>
      </c>
      <c r="AJ298" s="69">
        <v>0</v>
      </c>
      <c r="AK298" s="69">
        <v>0</v>
      </c>
      <c r="AL298" s="69">
        <v>0</v>
      </c>
      <c r="AM298" s="69">
        <v>0</v>
      </c>
      <c r="AN298" s="69">
        <v>0</v>
      </c>
      <c r="AO298" s="69">
        <v>0</v>
      </c>
      <c r="AP298" s="190"/>
      <c r="AQ298" s="66">
        <v>8</v>
      </c>
      <c r="AR298" s="66">
        <v>2012</v>
      </c>
      <c r="AS298" s="215">
        <f t="shared" si="2026"/>
        <v>0</v>
      </c>
      <c r="AT298" s="215">
        <f t="shared" si="2027"/>
        <v>0</v>
      </c>
      <c r="AU298" s="215">
        <f t="shared" si="2028"/>
        <v>0</v>
      </c>
      <c r="AV298" s="215">
        <f t="shared" si="2029"/>
        <v>0</v>
      </c>
      <c r="AW298" s="215">
        <f t="shared" si="2030"/>
        <v>0</v>
      </c>
      <c r="AX298" s="215">
        <f t="shared" si="2031"/>
        <v>0</v>
      </c>
      <c r="AY298" s="215">
        <f t="shared" si="2032"/>
        <v>0</v>
      </c>
      <c r="AZ298" s="215">
        <f t="shared" si="2033"/>
        <v>0</v>
      </c>
      <c r="BA298" s="215">
        <f t="shared" si="2034"/>
        <v>0</v>
      </c>
      <c r="BB298" s="215">
        <f t="shared" si="2035"/>
        <v>0</v>
      </c>
      <c r="BC298" s="215">
        <f t="shared" si="2036"/>
        <v>0</v>
      </c>
      <c r="BD298" s="215">
        <f t="shared" si="2037"/>
        <v>0</v>
      </c>
      <c r="BE298" s="215">
        <f t="shared" si="2038"/>
        <v>0</v>
      </c>
      <c r="BF298" s="215">
        <f t="shared" si="2039"/>
        <v>0</v>
      </c>
      <c r="BG298" s="215">
        <f t="shared" si="2040"/>
        <v>0</v>
      </c>
      <c r="BH298" s="215">
        <f t="shared" si="2041"/>
        <v>0</v>
      </c>
      <c r="BI298" s="215">
        <f t="shared" si="2042"/>
        <v>0</v>
      </c>
      <c r="BJ298" s="195"/>
      <c r="BK298" s="66">
        <v>8</v>
      </c>
      <c r="BL298" s="66">
        <v>2012</v>
      </c>
      <c r="BM298" s="215">
        <f t="shared" si="2049"/>
        <v>0</v>
      </c>
      <c r="BN298" s="219">
        <f t="shared" si="2050"/>
        <v>0</v>
      </c>
      <c r="BO298" s="219">
        <f t="shared" si="2051"/>
        <v>0</v>
      </c>
      <c r="BP298" s="219">
        <f t="shared" si="2077"/>
        <v>0</v>
      </c>
      <c r="BQ298" s="219">
        <f t="shared" si="2052"/>
        <v>0</v>
      </c>
      <c r="BR298" s="220">
        <f t="shared" si="2078"/>
        <v>0</v>
      </c>
      <c r="BS298" s="219">
        <f t="shared" si="2079"/>
        <v>0</v>
      </c>
      <c r="BT298" s="219">
        <f t="shared" si="2080"/>
        <v>0</v>
      </c>
      <c r="BU298" s="219">
        <f t="shared" si="2081"/>
        <v>0</v>
      </c>
      <c r="BV298" s="219">
        <f t="shared" si="2082"/>
        <v>0</v>
      </c>
      <c r="BW298" s="219">
        <f t="shared" si="2083"/>
        <v>0</v>
      </c>
      <c r="BX298" s="220">
        <f t="shared" si="2084"/>
        <v>0</v>
      </c>
      <c r="BY298" s="195"/>
      <c r="BZ298" s="66">
        <v>8</v>
      </c>
      <c r="CA298" s="66">
        <v>2012</v>
      </c>
      <c r="CB298" s="218">
        <f>pAsympt_NoCare_Asympt_Dead_2010_2012*AS297</f>
        <v>0</v>
      </c>
      <c r="CC298" s="218">
        <f t="shared" si="2053"/>
        <v>0</v>
      </c>
      <c r="CD298" s="73">
        <f t="shared" si="2054"/>
        <v>0</v>
      </c>
      <c r="CE298" s="73">
        <f>pInt_NoCare_Int_Dead_2010_2012*AW297</f>
        <v>0</v>
      </c>
      <c r="CF298" s="73">
        <f t="shared" si="2055"/>
        <v>0</v>
      </c>
      <c r="CG298" s="73">
        <f t="shared" si="2056"/>
        <v>0</v>
      </c>
      <c r="CH298" s="73">
        <f t="shared" si="2057"/>
        <v>0</v>
      </c>
      <c r="CI298" s="73">
        <f t="shared" si="2058"/>
        <v>0</v>
      </c>
      <c r="CJ298" s="73">
        <f t="shared" si="2059"/>
        <v>0</v>
      </c>
      <c r="CK298" s="73">
        <f t="shared" si="2060"/>
        <v>0</v>
      </c>
      <c r="CL298" s="73">
        <f t="shared" si="2061"/>
        <v>0</v>
      </c>
      <c r="CM298" s="73">
        <f>pAIDS_NoCare_AIDS_Dead_2010_2012*BC297</f>
        <v>0</v>
      </c>
      <c r="CN298" s="73">
        <f t="shared" si="2063"/>
        <v>0</v>
      </c>
      <c r="CO298" s="73">
        <f t="shared" si="2064"/>
        <v>0</v>
      </c>
      <c r="CP298" s="73">
        <f t="shared" si="2065"/>
        <v>0</v>
      </c>
      <c r="CQ298" s="73">
        <f t="shared" si="2066"/>
        <v>0</v>
      </c>
      <c r="CR298" s="73">
        <f t="shared" si="2067"/>
        <v>0</v>
      </c>
      <c r="CS298" s="73">
        <f t="shared" si="2068"/>
        <v>0</v>
      </c>
      <c r="CT298" s="73">
        <f t="shared" si="2069"/>
        <v>0</v>
      </c>
      <c r="CU298" s="73">
        <f t="shared" si="2070"/>
        <v>0</v>
      </c>
      <c r="CV298" s="73">
        <f t="shared" si="2071"/>
        <v>0</v>
      </c>
      <c r="CW298" s="73">
        <f t="shared" si="2072"/>
        <v>0</v>
      </c>
      <c r="CX298" s="73">
        <f t="shared" si="2073"/>
        <v>0</v>
      </c>
      <c r="CY298" s="73">
        <f t="shared" si="2074"/>
        <v>0</v>
      </c>
      <c r="CZ298" s="190"/>
      <c r="DA298" s="66">
        <v>2012</v>
      </c>
      <c r="DB298" s="218">
        <f t="shared" si="2043"/>
        <v>0</v>
      </c>
      <c r="DC298" s="218">
        <f t="shared" si="2044"/>
        <v>0</v>
      </c>
      <c r="DD298" s="73">
        <f t="shared" si="2045"/>
        <v>0</v>
      </c>
      <c r="DE298" s="73">
        <f t="shared" si="2046"/>
        <v>0</v>
      </c>
      <c r="DF298" s="73">
        <f t="shared" si="2047"/>
        <v>0</v>
      </c>
      <c r="DG298" s="73">
        <f t="shared" si="2048"/>
        <v>0</v>
      </c>
      <c r="DH298" s="72" t="e">
        <f t="shared" si="2075"/>
        <v>#DIV/0!</v>
      </c>
      <c r="DI298" s="72" t="e">
        <f t="shared" si="2076"/>
        <v>#DIV/0!</v>
      </c>
      <c r="DJ298" s="73">
        <f>SUM(AV290:AV298,BB290:BB298,BI290:BI298)</f>
        <v>0</v>
      </c>
      <c r="DK298" s="73">
        <f>SUM(AV296:AV298,BB296:BB298,BI296:BI298)</f>
        <v>0</v>
      </c>
      <c r="DL298" s="190"/>
    </row>
    <row r="299" spans="22:116" x14ac:dyDescent="0.25">
      <c r="V299" s="13"/>
      <c r="W299" s="66">
        <v>9</v>
      </c>
      <c r="X299" s="66">
        <v>2013</v>
      </c>
      <c r="Y299" s="69">
        <v>0</v>
      </c>
      <c r="Z299" s="69">
        <v>0</v>
      </c>
      <c r="AA299" s="69">
        <v>0</v>
      </c>
      <c r="AB299" s="69">
        <v>0</v>
      </c>
      <c r="AC299" s="69">
        <v>0</v>
      </c>
      <c r="AD299" s="69">
        <v>0</v>
      </c>
      <c r="AE299" s="69">
        <v>0</v>
      </c>
      <c r="AF299" s="69">
        <v>0</v>
      </c>
      <c r="AG299" s="69">
        <v>0</v>
      </c>
      <c r="AH299" s="69">
        <v>0</v>
      </c>
      <c r="AI299" s="69">
        <v>0</v>
      </c>
      <c r="AJ299" s="69">
        <v>0</v>
      </c>
      <c r="AK299" s="69">
        <v>0</v>
      </c>
      <c r="AL299" s="69">
        <v>0</v>
      </c>
      <c r="AM299" s="69">
        <v>0</v>
      </c>
      <c r="AN299" s="69">
        <v>0</v>
      </c>
      <c r="AO299" s="69">
        <v>0</v>
      </c>
      <c r="AP299" s="190"/>
      <c r="AQ299" s="66">
        <v>9</v>
      </c>
      <c r="AR299" s="66">
        <v>2013</v>
      </c>
      <c r="AS299" s="215">
        <f t="shared" si="2026"/>
        <v>0</v>
      </c>
      <c r="AT299" s="215">
        <f t="shared" si="2027"/>
        <v>0</v>
      </c>
      <c r="AU299" s="215">
        <f t="shared" si="2028"/>
        <v>0</v>
      </c>
      <c r="AV299" s="215">
        <f t="shared" si="2029"/>
        <v>0</v>
      </c>
      <c r="AW299" s="215">
        <f t="shared" si="2030"/>
        <v>0</v>
      </c>
      <c r="AX299" s="215">
        <f t="shared" si="2031"/>
        <v>0</v>
      </c>
      <c r="AY299" s="215">
        <f t="shared" si="2032"/>
        <v>0</v>
      </c>
      <c r="AZ299" s="215">
        <f t="shared" si="2033"/>
        <v>0</v>
      </c>
      <c r="BA299" s="215">
        <f t="shared" si="2034"/>
        <v>0</v>
      </c>
      <c r="BB299" s="215">
        <f t="shared" si="2035"/>
        <v>0</v>
      </c>
      <c r="BC299" s="215">
        <f t="shared" si="2036"/>
        <v>0</v>
      </c>
      <c r="BD299" s="215">
        <f t="shared" si="2037"/>
        <v>0</v>
      </c>
      <c r="BE299" s="215">
        <f t="shared" si="2038"/>
        <v>0</v>
      </c>
      <c r="BF299" s="215">
        <f t="shared" si="2039"/>
        <v>0</v>
      </c>
      <c r="BG299" s="215">
        <f t="shared" si="2040"/>
        <v>0</v>
      </c>
      <c r="BH299" s="215">
        <f t="shared" si="2041"/>
        <v>0</v>
      </c>
      <c r="BI299" s="215">
        <f t="shared" si="2042"/>
        <v>0</v>
      </c>
      <c r="BJ299" s="195"/>
      <c r="BK299" s="66">
        <v>9</v>
      </c>
      <c r="BL299" s="66">
        <v>2013</v>
      </c>
      <c r="BM299" s="215">
        <f t="shared" ref="BM299:BM309" si="2085">(AX298*pInt_InCare_Int_LTFU_2013plus_u)+(BM298*pInt_LTFU_2013plus_u)</f>
        <v>0</v>
      </c>
      <c r="BN299" s="219">
        <f t="shared" ref="BN299:BN309" si="2086">(AU298*pAsympt_LTFU_Int_LTFU_2013plus_u)+(BN298*pInt_LTFU_2013plus_u)</f>
        <v>0</v>
      </c>
      <c r="BO299" s="219">
        <f t="shared" ref="BO299:BO309" si="2087">(AY298*pInt_ART1_Int_LTFU_2013plus_u)+(BO298*pInt_LTFU_2013plus_u)</f>
        <v>0</v>
      </c>
      <c r="BP299" s="219">
        <f t="shared" ref="BP299:BP309" si="2088">(AZ298*pInt_ART2_Int_LTFU_2013plus_u)+(BP298*pInt_LTFU_2013plus_u)</f>
        <v>0</v>
      </c>
      <c r="BQ299" s="219">
        <f t="shared" ref="BQ299:BQ309" si="2089">(BD298*pAIDS_InCare_AIDS_LTFU_2013plus_u)+(BQ298*pAIDS_LTFU_2013plus_u)</f>
        <v>0</v>
      </c>
      <c r="BR299" s="220">
        <f t="shared" ref="BR299:BR309" si="2090">(BN298*pInt_LTFU_AIDS_LTFU_2013plus_u)+(BR298*pAIDS_LTFU_2013plus_u)</f>
        <v>0</v>
      </c>
      <c r="BS299" s="219">
        <f t="shared" ref="BS299:BS309" si="2091">(BM298*pInt_LTFU_AIDS_LTFU_2013plus_u)+(BS298*pAIDS_LTFU_2013plus_u)</f>
        <v>0</v>
      </c>
      <c r="BT299" s="219">
        <f t="shared" ref="BT299:BT309" si="2092">(BE298*pAIDS_ART1ear_AIDS_LTFU_2013plus_u)+(BT298*pAIDS_LTFU_2013plus_u)</f>
        <v>0</v>
      </c>
      <c r="BU299" s="219">
        <f t="shared" ref="BU299:BU309" si="2093">(BF298*pAIDS_ART1late_AIDS_LTFU_2013plus_u)+(BU298*pAIDS_LTFU_2013plus_u)</f>
        <v>0</v>
      </c>
      <c r="BV299" s="219">
        <f t="shared" ref="BV299:BV309" si="2094">(BO298*pInt_LTFU_AIDS_LTFU_2013plus_u)+(BV298*pAIDS_LTFU_2013plus_u)</f>
        <v>0</v>
      </c>
      <c r="BW299" s="219">
        <f t="shared" ref="BW299:BW309" si="2095">(BG298*pAIDS_ART2_AIDS_LTFU_2013plus_u)+(BW298*pAIDS_LTFU_2013plus_u)</f>
        <v>0</v>
      </c>
      <c r="BX299" s="220">
        <f t="shared" ref="BX299:BX309" si="2096">(BP298*pInt_LTFU_AIDS_LTFU_2013plus_u)+(BX298*pAIDS_LTFU_2013plus_u)</f>
        <v>0</v>
      </c>
      <c r="BY299" s="195"/>
      <c r="BZ299" s="66">
        <v>9</v>
      </c>
      <c r="CA299" s="66">
        <v>2013</v>
      </c>
      <c r="CB299" s="218">
        <f t="shared" ref="CB299:CB309" si="2097">pAsympt_NoCare_Asympt_Dead_2013plus_u*AS298</f>
        <v>0</v>
      </c>
      <c r="CC299" s="218">
        <f t="shared" ref="CC299:CC309" si="2098">pAsympt_InCare_Asympt_Dead_2013plus_u*AT298</f>
        <v>0</v>
      </c>
      <c r="CD299" s="73">
        <f t="shared" ref="CD299:CD309" si="2099">pAsympt_LTFU_Asympt_Dead_2013plus_u*AU298</f>
        <v>0</v>
      </c>
      <c r="CE299" s="73">
        <f t="shared" ref="CE299:CE309" si="2100">pInt_NoCare_Int_Dead_2013plus_u*AW298</f>
        <v>0</v>
      </c>
      <c r="CF299" s="73">
        <f t="shared" ref="CF299:CF309" si="2101">pInt_InCare_Int_Dead_2013plus_u*AX298</f>
        <v>0</v>
      </c>
      <c r="CG299" s="73">
        <f t="shared" ref="CG299:CG309" si="2102">pInt_ART1_Int_Dead_2013plus_u*AY298</f>
        <v>0</v>
      </c>
      <c r="CH299" s="73">
        <f t="shared" ref="CH299:CH309" si="2103">pInt_ART2_Int_Dead_2013plus_u*AZ298</f>
        <v>0</v>
      </c>
      <c r="CI299" s="73">
        <f t="shared" ref="CI299:CI309" si="2104">(BM298*pInt_LTFU_Int_Dead_2013plus_u)</f>
        <v>0</v>
      </c>
      <c r="CJ299" s="73">
        <f t="shared" ref="CJ299:CJ309" si="2105">(BN298*pInt_LTFU_Int_Dead_2013plus_u)</f>
        <v>0</v>
      </c>
      <c r="CK299" s="73">
        <f t="shared" ref="CK299:CK309" si="2106">(BO298*pInt_LTFU_Int_Dead_2013plus_u)</f>
        <v>0</v>
      </c>
      <c r="CL299" s="73">
        <f t="shared" ref="CL299:CL309" si="2107">(BP298*pInt_LTFU_Int_Dead_2013plus_u)</f>
        <v>0</v>
      </c>
      <c r="CM299" s="73">
        <f t="shared" ref="CM299:CM309" si="2108">pAIDS_NoCare_AIDS_Dead_2013plus_u*BC298</f>
        <v>0</v>
      </c>
      <c r="CN299" s="73">
        <f t="shared" ref="CN299:CN309" si="2109">pAIDS_InCare_AIDS_Dead_2013plus_u*BD298</f>
        <v>0</v>
      </c>
      <c r="CO299" s="73">
        <f t="shared" ref="CO299:CO309" si="2110">pAIDS_ART1ear_AIDS_Dead_2013plus_u*BE298</f>
        <v>0</v>
      </c>
      <c r="CP299" s="73">
        <f t="shared" ref="CP299:CP309" si="2111">pAIDS_ART1late_AIDS_Dead_2013plus_u*BF298</f>
        <v>0</v>
      </c>
      <c r="CQ299" s="73">
        <f t="shared" ref="CQ299:CQ309" si="2112">pAIDS_ART2_AIDS_Dead_2013plus_u*BG298</f>
        <v>0</v>
      </c>
      <c r="CR299" s="73">
        <f t="shared" ref="CR299:CR309" si="2113">(BQ298*pAIDS_LTFU_AIDS_Dead_2013plus_u)</f>
        <v>0</v>
      </c>
      <c r="CS299" s="73">
        <f t="shared" ref="CS299:CS309" si="2114">(BR298*pAIDS_LTFU_AIDS_Dead_2013plus_u)</f>
        <v>0</v>
      </c>
      <c r="CT299" s="73">
        <f t="shared" ref="CT299:CT309" si="2115">(BS298*pAIDS_LTFU_AIDS_Dead_2013plus_u)</f>
        <v>0</v>
      </c>
      <c r="CU299" s="73">
        <f t="shared" ref="CU299:CU309" si="2116">(BT298*pAIDS_LTFU_AIDS_Dead_2013plus_u)</f>
        <v>0</v>
      </c>
      <c r="CV299" s="73">
        <f t="shared" ref="CV299:CV309" si="2117">(BU298*pAIDS_LTFU_AIDS_Dead_2013plus_u)</f>
        <v>0</v>
      </c>
      <c r="CW299" s="73">
        <f t="shared" ref="CW299:CW309" si="2118">(BV298*pAIDS_LTFU_AIDS_Dead_2013plus_u)</f>
        <v>0</v>
      </c>
      <c r="CX299" s="73">
        <f t="shared" ref="CX299:CX309" si="2119">(BW298*pAIDS_LTFU_AIDS_Dead_2013plus_u)</f>
        <v>0</v>
      </c>
      <c r="CY299" s="73">
        <f t="shared" ref="CY299:CY309" si="2120">(BX298*pAIDS_LTFU_AIDS_Dead_2013plus_u)</f>
        <v>0</v>
      </c>
      <c r="CZ299" s="190"/>
      <c r="DA299" s="66">
        <v>2013</v>
      </c>
      <c r="DB299" s="218">
        <f t="shared" si="2043"/>
        <v>0</v>
      </c>
      <c r="DC299" s="218">
        <f t="shared" si="2044"/>
        <v>0</v>
      </c>
      <c r="DD299" s="73">
        <f t="shared" si="2045"/>
        <v>0</v>
      </c>
      <c r="DE299" s="73">
        <f t="shared" si="2046"/>
        <v>0</v>
      </c>
      <c r="DF299" s="73">
        <f t="shared" si="2047"/>
        <v>0</v>
      </c>
      <c r="DG299" s="73">
        <f t="shared" si="2048"/>
        <v>0</v>
      </c>
      <c r="DH299" s="72" t="e">
        <f t="shared" si="2075"/>
        <v>#DIV/0!</v>
      </c>
      <c r="DI299" s="72" t="e">
        <f t="shared" si="2076"/>
        <v>#DIV/0!</v>
      </c>
      <c r="DJ299" s="73">
        <f>SUM(AV290:AV299,BB290:BB299,BI290:BI299)</f>
        <v>0</v>
      </c>
      <c r="DK299" s="73">
        <f>SUM(AV296:AV299,BB296:BB299,BI296:BI299)</f>
        <v>0</v>
      </c>
      <c r="DL299" s="190"/>
    </row>
    <row r="300" spans="22:116" x14ac:dyDescent="0.25">
      <c r="V300" s="13"/>
      <c r="W300" s="66">
        <v>10</v>
      </c>
      <c r="X300" s="66">
        <v>2014</v>
      </c>
      <c r="Y300" s="69">
        <v>0</v>
      </c>
      <c r="Z300" s="69">
        <v>0</v>
      </c>
      <c r="AA300" s="69">
        <v>0</v>
      </c>
      <c r="AB300" s="69">
        <v>0</v>
      </c>
      <c r="AC300" s="69">
        <v>0</v>
      </c>
      <c r="AD300" s="69">
        <v>0</v>
      </c>
      <c r="AE300" s="69">
        <v>0</v>
      </c>
      <c r="AF300" s="69">
        <v>0</v>
      </c>
      <c r="AG300" s="69">
        <v>0</v>
      </c>
      <c r="AH300" s="69">
        <v>0</v>
      </c>
      <c r="AI300" s="69">
        <v>0</v>
      </c>
      <c r="AJ300" s="69">
        <v>0</v>
      </c>
      <c r="AK300" s="69">
        <v>0</v>
      </c>
      <c r="AL300" s="69">
        <v>0</v>
      </c>
      <c r="AM300" s="69">
        <v>0</v>
      </c>
      <c r="AN300" s="69">
        <v>0</v>
      </c>
      <c r="AO300" s="69">
        <v>0</v>
      </c>
      <c r="AP300" s="190"/>
      <c r="AQ300" s="66">
        <v>10</v>
      </c>
      <c r="AR300" s="66">
        <v>2014</v>
      </c>
      <c r="AS300" s="215">
        <f t="shared" si="2026"/>
        <v>0</v>
      </c>
      <c r="AT300" s="215">
        <f t="shared" si="2027"/>
        <v>0</v>
      </c>
      <c r="AU300" s="215">
        <f t="shared" si="2028"/>
        <v>0</v>
      </c>
      <c r="AV300" s="215">
        <f t="shared" si="2029"/>
        <v>0</v>
      </c>
      <c r="AW300" s="215">
        <f t="shared" si="2030"/>
        <v>0</v>
      </c>
      <c r="AX300" s="215">
        <f t="shared" si="2031"/>
        <v>0</v>
      </c>
      <c r="AY300" s="215">
        <f t="shared" si="2032"/>
        <v>0</v>
      </c>
      <c r="AZ300" s="215">
        <f t="shared" si="2033"/>
        <v>0</v>
      </c>
      <c r="BA300" s="215">
        <f t="shared" si="2034"/>
        <v>0</v>
      </c>
      <c r="BB300" s="215">
        <f t="shared" si="2035"/>
        <v>0</v>
      </c>
      <c r="BC300" s="215">
        <f t="shared" si="2036"/>
        <v>0</v>
      </c>
      <c r="BD300" s="215">
        <f t="shared" si="2037"/>
        <v>0</v>
      </c>
      <c r="BE300" s="215">
        <f t="shared" si="2038"/>
        <v>0</v>
      </c>
      <c r="BF300" s="215">
        <f t="shared" si="2039"/>
        <v>0</v>
      </c>
      <c r="BG300" s="215">
        <f t="shared" si="2040"/>
        <v>0</v>
      </c>
      <c r="BH300" s="215">
        <f t="shared" si="2041"/>
        <v>0</v>
      </c>
      <c r="BI300" s="215">
        <f t="shared" si="2042"/>
        <v>0</v>
      </c>
      <c r="BJ300" s="195"/>
      <c r="BK300" s="66">
        <v>10</v>
      </c>
      <c r="BL300" s="66">
        <v>2014</v>
      </c>
      <c r="BM300" s="215">
        <f t="shared" si="2085"/>
        <v>0</v>
      </c>
      <c r="BN300" s="219">
        <f t="shared" si="2086"/>
        <v>0</v>
      </c>
      <c r="BO300" s="219">
        <f t="shared" si="2087"/>
        <v>0</v>
      </c>
      <c r="BP300" s="219">
        <f t="shared" si="2088"/>
        <v>0</v>
      </c>
      <c r="BQ300" s="219">
        <f t="shared" si="2089"/>
        <v>0</v>
      </c>
      <c r="BR300" s="220">
        <f t="shared" si="2090"/>
        <v>0</v>
      </c>
      <c r="BS300" s="219">
        <f t="shared" si="2091"/>
        <v>0</v>
      </c>
      <c r="BT300" s="219">
        <f t="shared" si="2092"/>
        <v>0</v>
      </c>
      <c r="BU300" s="219">
        <f t="shared" si="2093"/>
        <v>0</v>
      </c>
      <c r="BV300" s="219">
        <f t="shared" si="2094"/>
        <v>0</v>
      </c>
      <c r="BW300" s="219">
        <f t="shared" si="2095"/>
        <v>0</v>
      </c>
      <c r="BX300" s="220">
        <f t="shared" si="2096"/>
        <v>0</v>
      </c>
      <c r="BY300" s="195"/>
      <c r="BZ300" s="66">
        <v>10</v>
      </c>
      <c r="CA300" s="66">
        <v>2014</v>
      </c>
      <c r="CB300" s="218">
        <f t="shared" si="2097"/>
        <v>0</v>
      </c>
      <c r="CC300" s="218">
        <f t="shared" si="2098"/>
        <v>0</v>
      </c>
      <c r="CD300" s="73">
        <f t="shared" si="2099"/>
        <v>0</v>
      </c>
      <c r="CE300" s="73">
        <f t="shared" si="2100"/>
        <v>0</v>
      </c>
      <c r="CF300" s="73">
        <f t="shared" si="2101"/>
        <v>0</v>
      </c>
      <c r="CG300" s="73">
        <f t="shared" si="2102"/>
        <v>0</v>
      </c>
      <c r="CH300" s="73">
        <f t="shared" si="2103"/>
        <v>0</v>
      </c>
      <c r="CI300" s="73">
        <f t="shared" si="2104"/>
        <v>0</v>
      </c>
      <c r="CJ300" s="73">
        <f t="shared" si="2105"/>
        <v>0</v>
      </c>
      <c r="CK300" s="73">
        <f t="shared" si="2106"/>
        <v>0</v>
      </c>
      <c r="CL300" s="73">
        <f t="shared" si="2107"/>
        <v>0</v>
      </c>
      <c r="CM300" s="73">
        <f t="shared" si="2108"/>
        <v>0</v>
      </c>
      <c r="CN300" s="73">
        <f t="shared" si="2109"/>
        <v>0</v>
      </c>
      <c r="CO300" s="73">
        <f t="shared" si="2110"/>
        <v>0</v>
      </c>
      <c r="CP300" s="73">
        <f t="shared" si="2111"/>
        <v>0</v>
      </c>
      <c r="CQ300" s="73">
        <f t="shared" si="2112"/>
        <v>0</v>
      </c>
      <c r="CR300" s="73">
        <f t="shared" si="2113"/>
        <v>0</v>
      </c>
      <c r="CS300" s="73">
        <f t="shared" si="2114"/>
        <v>0</v>
      </c>
      <c r="CT300" s="73">
        <f t="shared" si="2115"/>
        <v>0</v>
      </c>
      <c r="CU300" s="73">
        <f t="shared" si="2116"/>
        <v>0</v>
      </c>
      <c r="CV300" s="73">
        <f t="shared" si="2117"/>
        <v>0</v>
      </c>
      <c r="CW300" s="73">
        <f t="shared" si="2118"/>
        <v>0</v>
      </c>
      <c r="CX300" s="73">
        <f t="shared" si="2119"/>
        <v>0</v>
      </c>
      <c r="CY300" s="73">
        <f t="shared" si="2120"/>
        <v>0</v>
      </c>
      <c r="CZ300" s="190"/>
      <c r="DA300" s="66">
        <v>2014</v>
      </c>
      <c r="DB300" s="218">
        <f t="shared" si="2043"/>
        <v>0</v>
      </c>
      <c r="DC300" s="218">
        <f t="shared" si="2044"/>
        <v>0</v>
      </c>
      <c r="DD300" s="73">
        <f t="shared" si="2045"/>
        <v>0</v>
      </c>
      <c r="DE300" s="73">
        <f t="shared" si="2046"/>
        <v>0</v>
      </c>
      <c r="DF300" s="73">
        <f t="shared" si="2047"/>
        <v>0</v>
      </c>
      <c r="DG300" s="73">
        <f t="shared" si="2048"/>
        <v>0</v>
      </c>
      <c r="DH300" s="72" t="e">
        <f t="shared" si="2075"/>
        <v>#DIV/0!</v>
      </c>
      <c r="DI300" s="72" t="e">
        <f t="shared" si="2076"/>
        <v>#DIV/0!</v>
      </c>
      <c r="DJ300" s="73">
        <f>SUM(AV290:AV300,BB290:BB300,BI290:BI300)</f>
        <v>0</v>
      </c>
      <c r="DK300" s="73">
        <f>SUM(AV296:AV300,BB296:BB300,BI296:BI300)</f>
        <v>0</v>
      </c>
      <c r="DL300" s="190"/>
    </row>
    <row r="301" spans="22:116" x14ac:dyDescent="0.25">
      <c r="V301" s="13"/>
      <c r="W301" s="66">
        <v>11</v>
      </c>
      <c r="X301" s="66">
        <v>2015</v>
      </c>
      <c r="Y301" s="69">
        <v>0</v>
      </c>
      <c r="Z301" s="69">
        <v>0</v>
      </c>
      <c r="AA301" s="69">
        <v>0</v>
      </c>
      <c r="AB301" s="69">
        <v>0</v>
      </c>
      <c r="AC301" s="69">
        <v>0</v>
      </c>
      <c r="AD301" s="69">
        <v>0</v>
      </c>
      <c r="AE301" s="69">
        <v>0</v>
      </c>
      <c r="AF301" s="69">
        <v>0</v>
      </c>
      <c r="AG301" s="69">
        <v>0</v>
      </c>
      <c r="AH301" s="69">
        <v>0</v>
      </c>
      <c r="AI301" s="69">
        <v>0</v>
      </c>
      <c r="AJ301" s="69">
        <v>0</v>
      </c>
      <c r="AK301" s="69">
        <v>0</v>
      </c>
      <c r="AL301" s="69">
        <v>0</v>
      </c>
      <c r="AM301" s="69">
        <v>0</v>
      </c>
      <c r="AN301" s="69">
        <v>0</v>
      </c>
      <c r="AO301" s="69">
        <v>0</v>
      </c>
      <c r="AP301" s="190"/>
      <c r="AQ301" s="66">
        <v>11</v>
      </c>
      <c r="AR301" s="66">
        <v>2015</v>
      </c>
      <c r="AS301" s="215">
        <f t="shared" si="2026"/>
        <v>0</v>
      </c>
      <c r="AT301" s="215">
        <f t="shared" si="2027"/>
        <v>0</v>
      </c>
      <c r="AU301" s="215">
        <f t="shared" si="2028"/>
        <v>0</v>
      </c>
      <c r="AV301" s="215">
        <f t="shared" si="2029"/>
        <v>0</v>
      </c>
      <c r="AW301" s="215">
        <f t="shared" si="2030"/>
        <v>0</v>
      </c>
      <c r="AX301" s="215">
        <f t="shared" si="2031"/>
        <v>0</v>
      </c>
      <c r="AY301" s="215">
        <f t="shared" si="2032"/>
        <v>0</v>
      </c>
      <c r="AZ301" s="215">
        <f t="shared" si="2033"/>
        <v>0</v>
      </c>
      <c r="BA301" s="215">
        <f t="shared" si="2034"/>
        <v>0</v>
      </c>
      <c r="BB301" s="215">
        <f t="shared" si="2035"/>
        <v>0</v>
      </c>
      <c r="BC301" s="215">
        <f t="shared" si="2036"/>
        <v>0</v>
      </c>
      <c r="BD301" s="215">
        <f t="shared" si="2037"/>
        <v>0</v>
      </c>
      <c r="BE301" s="215">
        <f t="shared" si="2038"/>
        <v>0</v>
      </c>
      <c r="BF301" s="215">
        <f t="shared" si="2039"/>
        <v>0</v>
      </c>
      <c r="BG301" s="215">
        <f t="shared" si="2040"/>
        <v>0</v>
      </c>
      <c r="BH301" s="215">
        <f t="shared" si="2041"/>
        <v>0</v>
      </c>
      <c r="BI301" s="215">
        <f t="shared" si="2042"/>
        <v>0</v>
      </c>
      <c r="BJ301" s="195"/>
      <c r="BK301" s="66">
        <v>11</v>
      </c>
      <c r="BL301" s="66">
        <v>2015</v>
      </c>
      <c r="BM301" s="215">
        <f t="shared" si="2085"/>
        <v>0</v>
      </c>
      <c r="BN301" s="219">
        <f t="shared" si="2086"/>
        <v>0</v>
      </c>
      <c r="BO301" s="219">
        <f t="shared" si="2087"/>
        <v>0</v>
      </c>
      <c r="BP301" s="219">
        <f t="shared" si="2088"/>
        <v>0</v>
      </c>
      <c r="BQ301" s="219">
        <f t="shared" si="2089"/>
        <v>0</v>
      </c>
      <c r="BR301" s="220">
        <f t="shared" si="2090"/>
        <v>0</v>
      </c>
      <c r="BS301" s="219">
        <f t="shared" si="2091"/>
        <v>0</v>
      </c>
      <c r="BT301" s="219">
        <f t="shared" si="2092"/>
        <v>0</v>
      </c>
      <c r="BU301" s="219">
        <f t="shared" si="2093"/>
        <v>0</v>
      </c>
      <c r="BV301" s="219">
        <f t="shared" si="2094"/>
        <v>0</v>
      </c>
      <c r="BW301" s="219">
        <f t="shared" si="2095"/>
        <v>0</v>
      </c>
      <c r="BX301" s="220">
        <f t="shared" si="2096"/>
        <v>0</v>
      </c>
      <c r="BY301" s="195"/>
      <c r="BZ301" s="66">
        <v>11</v>
      </c>
      <c r="CA301" s="66">
        <v>2015</v>
      </c>
      <c r="CB301" s="218">
        <f t="shared" si="2097"/>
        <v>0</v>
      </c>
      <c r="CC301" s="218">
        <f t="shared" si="2098"/>
        <v>0</v>
      </c>
      <c r="CD301" s="73">
        <f t="shared" si="2099"/>
        <v>0</v>
      </c>
      <c r="CE301" s="73">
        <f t="shared" si="2100"/>
        <v>0</v>
      </c>
      <c r="CF301" s="73">
        <f t="shared" si="2101"/>
        <v>0</v>
      </c>
      <c r="CG301" s="73">
        <f t="shared" si="2102"/>
        <v>0</v>
      </c>
      <c r="CH301" s="73">
        <f t="shared" si="2103"/>
        <v>0</v>
      </c>
      <c r="CI301" s="73">
        <f t="shared" si="2104"/>
        <v>0</v>
      </c>
      <c r="CJ301" s="73">
        <f t="shared" si="2105"/>
        <v>0</v>
      </c>
      <c r="CK301" s="73">
        <f t="shared" si="2106"/>
        <v>0</v>
      </c>
      <c r="CL301" s="73">
        <f t="shared" si="2107"/>
        <v>0</v>
      </c>
      <c r="CM301" s="73">
        <f t="shared" si="2108"/>
        <v>0</v>
      </c>
      <c r="CN301" s="73">
        <f t="shared" si="2109"/>
        <v>0</v>
      </c>
      <c r="CO301" s="73">
        <f t="shared" si="2110"/>
        <v>0</v>
      </c>
      <c r="CP301" s="73">
        <f t="shared" si="2111"/>
        <v>0</v>
      </c>
      <c r="CQ301" s="73">
        <f t="shared" si="2112"/>
        <v>0</v>
      </c>
      <c r="CR301" s="73">
        <f t="shared" si="2113"/>
        <v>0</v>
      </c>
      <c r="CS301" s="73">
        <f t="shared" si="2114"/>
        <v>0</v>
      </c>
      <c r="CT301" s="73">
        <f t="shared" si="2115"/>
        <v>0</v>
      </c>
      <c r="CU301" s="73">
        <f t="shared" si="2116"/>
        <v>0</v>
      </c>
      <c r="CV301" s="73">
        <f t="shared" si="2117"/>
        <v>0</v>
      </c>
      <c r="CW301" s="73">
        <f t="shared" si="2118"/>
        <v>0</v>
      </c>
      <c r="CX301" s="73">
        <f t="shared" si="2119"/>
        <v>0</v>
      </c>
      <c r="CY301" s="73">
        <f t="shared" si="2120"/>
        <v>0</v>
      </c>
      <c r="CZ301" s="190"/>
      <c r="DA301" s="66">
        <v>2015</v>
      </c>
      <c r="DB301" s="218">
        <f t="shared" si="2043"/>
        <v>0</v>
      </c>
      <c r="DC301" s="218">
        <f t="shared" si="2044"/>
        <v>0</v>
      </c>
      <c r="DD301" s="73">
        <f t="shared" si="2045"/>
        <v>0</v>
      </c>
      <c r="DE301" s="73">
        <f t="shared" si="2046"/>
        <v>0</v>
      </c>
      <c r="DF301" s="73">
        <f t="shared" si="2047"/>
        <v>0</v>
      </c>
      <c r="DG301" s="73">
        <f t="shared" si="2048"/>
        <v>0</v>
      </c>
      <c r="DH301" s="72" t="e">
        <f t="shared" si="2075"/>
        <v>#DIV/0!</v>
      </c>
      <c r="DI301" s="72" t="e">
        <f t="shared" si="2076"/>
        <v>#DIV/0!</v>
      </c>
      <c r="DJ301" s="73">
        <f>SUM(AV290:AV301,BB290:BB301,BI290:BI301)</f>
        <v>0</v>
      </c>
      <c r="DK301" s="73">
        <f>SUM(AV296:AV301,BB296:BB301,BI296:BI301)</f>
        <v>0</v>
      </c>
      <c r="DL301" s="190"/>
    </row>
    <row r="302" spans="22:116" x14ac:dyDescent="0.25">
      <c r="V302" s="13"/>
      <c r="W302" s="66">
        <v>12</v>
      </c>
      <c r="X302" s="66">
        <v>2016</v>
      </c>
      <c r="Y302" s="69">
        <v>0</v>
      </c>
      <c r="Z302" s="69">
        <v>0</v>
      </c>
      <c r="AA302" s="69">
        <v>0</v>
      </c>
      <c r="AB302" s="69">
        <v>0</v>
      </c>
      <c r="AC302" s="69">
        <v>0</v>
      </c>
      <c r="AD302" s="69">
        <v>0</v>
      </c>
      <c r="AE302" s="69">
        <v>0</v>
      </c>
      <c r="AF302" s="69">
        <v>0</v>
      </c>
      <c r="AG302" s="69">
        <v>0</v>
      </c>
      <c r="AH302" s="69">
        <v>0</v>
      </c>
      <c r="AI302" s="69">
        <v>0</v>
      </c>
      <c r="AJ302" s="69">
        <v>0</v>
      </c>
      <c r="AK302" s="69">
        <v>0</v>
      </c>
      <c r="AL302" s="69">
        <v>0</v>
      </c>
      <c r="AM302" s="69">
        <v>0</v>
      </c>
      <c r="AN302" s="69">
        <v>0</v>
      </c>
      <c r="AO302" s="69">
        <v>0</v>
      </c>
      <c r="AP302" s="190"/>
      <c r="AQ302" s="66">
        <v>12</v>
      </c>
      <c r="AR302" s="66">
        <v>2016</v>
      </c>
      <c r="AS302" s="215">
        <f t="shared" si="2026"/>
        <v>0</v>
      </c>
      <c r="AT302" s="215">
        <f t="shared" si="2027"/>
        <v>0</v>
      </c>
      <c r="AU302" s="215">
        <f t="shared" si="2028"/>
        <v>0</v>
      </c>
      <c r="AV302" s="215">
        <f t="shared" si="2029"/>
        <v>0</v>
      </c>
      <c r="AW302" s="215">
        <f t="shared" si="2030"/>
        <v>0</v>
      </c>
      <c r="AX302" s="215">
        <f t="shared" si="2031"/>
        <v>0</v>
      </c>
      <c r="AY302" s="215">
        <f t="shared" si="2032"/>
        <v>0</v>
      </c>
      <c r="AZ302" s="215">
        <f t="shared" si="2033"/>
        <v>0</v>
      </c>
      <c r="BA302" s="215">
        <f t="shared" si="2034"/>
        <v>0</v>
      </c>
      <c r="BB302" s="215">
        <f t="shared" si="2035"/>
        <v>0</v>
      </c>
      <c r="BC302" s="215">
        <f t="shared" si="2036"/>
        <v>0</v>
      </c>
      <c r="BD302" s="215">
        <f t="shared" si="2037"/>
        <v>0</v>
      </c>
      <c r="BE302" s="215">
        <f t="shared" si="2038"/>
        <v>0</v>
      </c>
      <c r="BF302" s="215">
        <f t="shared" si="2039"/>
        <v>0</v>
      </c>
      <c r="BG302" s="215">
        <f t="shared" si="2040"/>
        <v>0</v>
      </c>
      <c r="BH302" s="215">
        <f t="shared" si="2041"/>
        <v>0</v>
      </c>
      <c r="BI302" s="215">
        <f t="shared" si="2042"/>
        <v>0</v>
      </c>
      <c r="BJ302" s="195"/>
      <c r="BK302" s="66">
        <v>12</v>
      </c>
      <c r="BL302" s="66">
        <v>2016</v>
      </c>
      <c r="BM302" s="215">
        <f t="shared" si="2085"/>
        <v>0</v>
      </c>
      <c r="BN302" s="219">
        <f t="shared" si="2086"/>
        <v>0</v>
      </c>
      <c r="BO302" s="219">
        <f t="shared" si="2087"/>
        <v>0</v>
      </c>
      <c r="BP302" s="219">
        <f t="shared" si="2088"/>
        <v>0</v>
      </c>
      <c r="BQ302" s="219">
        <f t="shared" si="2089"/>
        <v>0</v>
      </c>
      <c r="BR302" s="220">
        <f t="shared" si="2090"/>
        <v>0</v>
      </c>
      <c r="BS302" s="219">
        <f t="shared" si="2091"/>
        <v>0</v>
      </c>
      <c r="BT302" s="219">
        <f t="shared" si="2092"/>
        <v>0</v>
      </c>
      <c r="BU302" s="219">
        <f t="shared" si="2093"/>
        <v>0</v>
      </c>
      <c r="BV302" s="219">
        <f t="shared" si="2094"/>
        <v>0</v>
      </c>
      <c r="BW302" s="219">
        <f t="shared" si="2095"/>
        <v>0</v>
      </c>
      <c r="BX302" s="220">
        <f t="shared" si="2096"/>
        <v>0</v>
      </c>
      <c r="BY302" s="195"/>
      <c r="BZ302" s="66">
        <v>12</v>
      </c>
      <c r="CA302" s="66">
        <v>2016</v>
      </c>
      <c r="CB302" s="218">
        <f t="shared" si="2097"/>
        <v>0</v>
      </c>
      <c r="CC302" s="218">
        <f t="shared" si="2098"/>
        <v>0</v>
      </c>
      <c r="CD302" s="73">
        <f t="shared" si="2099"/>
        <v>0</v>
      </c>
      <c r="CE302" s="73">
        <f t="shared" si="2100"/>
        <v>0</v>
      </c>
      <c r="CF302" s="73">
        <f t="shared" si="2101"/>
        <v>0</v>
      </c>
      <c r="CG302" s="73">
        <f t="shared" si="2102"/>
        <v>0</v>
      </c>
      <c r="CH302" s="73">
        <f t="shared" si="2103"/>
        <v>0</v>
      </c>
      <c r="CI302" s="73">
        <f t="shared" si="2104"/>
        <v>0</v>
      </c>
      <c r="CJ302" s="73">
        <f t="shared" si="2105"/>
        <v>0</v>
      </c>
      <c r="CK302" s="73">
        <f t="shared" si="2106"/>
        <v>0</v>
      </c>
      <c r="CL302" s="73">
        <f t="shared" si="2107"/>
        <v>0</v>
      </c>
      <c r="CM302" s="73">
        <f t="shared" si="2108"/>
        <v>0</v>
      </c>
      <c r="CN302" s="73">
        <f t="shared" si="2109"/>
        <v>0</v>
      </c>
      <c r="CO302" s="73">
        <f t="shared" si="2110"/>
        <v>0</v>
      </c>
      <c r="CP302" s="73">
        <f t="shared" si="2111"/>
        <v>0</v>
      </c>
      <c r="CQ302" s="73">
        <f t="shared" si="2112"/>
        <v>0</v>
      </c>
      <c r="CR302" s="73">
        <f t="shared" si="2113"/>
        <v>0</v>
      </c>
      <c r="CS302" s="73">
        <f t="shared" si="2114"/>
        <v>0</v>
      </c>
      <c r="CT302" s="73">
        <f t="shared" si="2115"/>
        <v>0</v>
      </c>
      <c r="CU302" s="73">
        <f t="shared" si="2116"/>
        <v>0</v>
      </c>
      <c r="CV302" s="73">
        <f t="shared" si="2117"/>
        <v>0</v>
      </c>
      <c r="CW302" s="73">
        <f t="shared" si="2118"/>
        <v>0</v>
      </c>
      <c r="CX302" s="73">
        <f t="shared" si="2119"/>
        <v>0</v>
      </c>
      <c r="CY302" s="73">
        <f t="shared" si="2120"/>
        <v>0</v>
      </c>
      <c r="CZ302" s="190"/>
      <c r="DA302" s="66">
        <v>2016</v>
      </c>
      <c r="DB302" s="218">
        <f t="shared" si="2043"/>
        <v>0</v>
      </c>
      <c r="DC302" s="218">
        <f t="shared" si="2044"/>
        <v>0</v>
      </c>
      <c r="DD302" s="73">
        <f t="shared" si="2045"/>
        <v>0</v>
      </c>
      <c r="DE302" s="73">
        <f t="shared" si="2046"/>
        <v>0</v>
      </c>
      <c r="DF302" s="73">
        <f t="shared" si="2047"/>
        <v>0</v>
      </c>
      <c r="DG302" s="73">
        <f t="shared" si="2048"/>
        <v>0</v>
      </c>
      <c r="DH302" s="72" t="e">
        <f t="shared" si="2075"/>
        <v>#DIV/0!</v>
      </c>
      <c r="DI302" s="72" t="e">
        <f t="shared" si="2076"/>
        <v>#DIV/0!</v>
      </c>
      <c r="DJ302" s="73">
        <f>SUM(AV290:AV302,BB290:BB302,BI290:BI302)</f>
        <v>0</v>
      </c>
      <c r="DK302" s="73">
        <f>SUM(AV296:AV302,BB296:BB302,BI296:BI302)</f>
        <v>0</v>
      </c>
      <c r="DL302" s="190"/>
    </row>
    <row r="303" spans="22:116" x14ac:dyDescent="0.25">
      <c r="V303" s="13"/>
      <c r="W303" s="66">
        <v>13</v>
      </c>
      <c r="X303" s="66">
        <v>2017</v>
      </c>
      <c r="Y303" s="69">
        <v>1</v>
      </c>
      <c r="Z303" s="69">
        <v>0</v>
      </c>
      <c r="AA303" s="69">
        <v>0</v>
      </c>
      <c r="AB303" s="69">
        <v>0</v>
      </c>
      <c r="AC303" s="69">
        <v>0</v>
      </c>
      <c r="AD303" s="69">
        <v>0</v>
      </c>
      <c r="AE303" s="69">
        <v>0</v>
      </c>
      <c r="AF303" s="69">
        <v>0</v>
      </c>
      <c r="AG303" s="69">
        <v>0</v>
      </c>
      <c r="AH303" s="69">
        <v>0</v>
      </c>
      <c r="AI303" s="69">
        <v>0</v>
      </c>
      <c r="AJ303" s="69">
        <v>0</v>
      </c>
      <c r="AK303" s="69">
        <v>0</v>
      </c>
      <c r="AL303" s="69">
        <v>0</v>
      </c>
      <c r="AM303" s="69">
        <v>0</v>
      </c>
      <c r="AN303" s="69">
        <v>0</v>
      </c>
      <c r="AO303" s="69">
        <v>0</v>
      </c>
      <c r="AP303" s="190"/>
      <c r="AQ303" s="66">
        <v>13</v>
      </c>
      <c r="AR303" s="66">
        <v>2017</v>
      </c>
      <c r="AS303" s="215">
        <f t="shared" si="2026"/>
        <v>8588.0400000000009</v>
      </c>
      <c r="AT303" s="215">
        <f t="shared" si="2027"/>
        <v>0</v>
      </c>
      <c r="AU303" s="215">
        <f t="shared" si="2028"/>
        <v>0</v>
      </c>
      <c r="AV303" s="215">
        <f t="shared" si="2029"/>
        <v>0</v>
      </c>
      <c r="AW303" s="215">
        <f t="shared" si="2030"/>
        <v>0</v>
      </c>
      <c r="AX303" s="215">
        <f t="shared" si="2031"/>
        <v>0</v>
      </c>
      <c r="AY303" s="215">
        <f t="shared" si="2032"/>
        <v>0</v>
      </c>
      <c r="AZ303" s="215">
        <f t="shared" si="2033"/>
        <v>0</v>
      </c>
      <c r="BA303" s="215">
        <f t="shared" si="2034"/>
        <v>0</v>
      </c>
      <c r="BB303" s="215">
        <f t="shared" si="2035"/>
        <v>0</v>
      </c>
      <c r="BC303" s="215">
        <f t="shared" si="2036"/>
        <v>0</v>
      </c>
      <c r="BD303" s="215">
        <f t="shared" si="2037"/>
        <v>0</v>
      </c>
      <c r="BE303" s="215">
        <f t="shared" si="2038"/>
        <v>0</v>
      </c>
      <c r="BF303" s="215">
        <f t="shared" si="2039"/>
        <v>0</v>
      </c>
      <c r="BG303" s="215">
        <f t="shared" si="2040"/>
        <v>0</v>
      </c>
      <c r="BH303" s="215">
        <f t="shared" si="2041"/>
        <v>0</v>
      </c>
      <c r="BI303" s="215">
        <f t="shared" si="2042"/>
        <v>0</v>
      </c>
      <c r="BJ303" s="195"/>
      <c r="BK303" s="66">
        <v>13</v>
      </c>
      <c r="BL303" s="66">
        <v>2017</v>
      </c>
      <c r="BM303" s="215">
        <f t="shared" si="2085"/>
        <v>0</v>
      </c>
      <c r="BN303" s="219">
        <f t="shared" si="2086"/>
        <v>0</v>
      </c>
      <c r="BO303" s="219">
        <f t="shared" si="2087"/>
        <v>0</v>
      </c>
      <c r="BP303" s="219">
        <f t="shared" si="2088"/>
        <v>0</v>
      </c>
      <c r="BQ303" s="219">
        <f t="shared" si="2089"/>
        <v>0</v>
      </c>
      <c r="BR303" s="220">
        <f t="shared" si="2090"/>
        <v>0</v>
      </c>
      <c r="BS303" s="219">
        <f t="shared" si="2091"/>
        <v>0</v>
      </c>
      <c r="BT303" s="219">
        <f t="shared" si="2092"/>
        <v>0</v>
      </c>
      <c r="BU303" s="219">
        <f t="shared" si="2093"/>
        <v>0</v>
      </c>
      <c r="BV303" s="219">
        <f t="shared" si="2094"/>
        <v>0</v>
      </c>
      <c r="BW303" s="219">
        <f t="shared" si="2095"/>
        <v>0</v>
      </c>
      <c r="BX303" s="220">
        <f t="shared" si="2096"/>
        <v>0</v>
      </c>
      <c r="BY303" s="195"/>
      <c r="BZ303" s="66">
        <v>13</v>
      </c>
      <c r="CA303" s="66">
        <v>2017</v>
      </c>
      <c r="CB303" s="218">
        <f t="shared" si="2097"/>
        <v>0</v>
      </c>
      <c r="CC303" s="218">
        <f t="shared" si="2098"/>
        <v>0</v>
      </c>
      <c r="CD303" s="73">
        <f t="shared" si="2099"/>
        <v>0</v>
      </c>
      <c r="CE303" s="73">
        <f t="shared" si="2100"/>
        <v>0</v>
      </c>
      <c r="CF303" s="73">
        <f t="shared" si="2101"/>
        <v>0</v>
      </c>
      <c r="CG303" s="73">
        <f t="shared" si="2102"/>
        <v>0</v>
      </c>
      <c r="CH303" s="73">
        <f t="shared" si="2103"/>
        <v>0</v>
      </c>
      <c r="CI303" s="73">
        <f t="shared" si="2104"/>
        <v>0</v>
      </c>
      <c r="CJ303" s="73">
        <f t="shared" si="2105"/>
        <v>0</v>
      </c>
      <c r="CK303" s="73">
        <f t="shared" si="2106"/>
        <v>0</v>
      </c>
      <c r="CL303" s="73">
        <f t="shared" si="2107"/>
        <v>0</v>
      </c>
      <c r="CM303" s="73">
        <f t="shared" si="2108"/>
        <v>0</v>
      </c>
      <c r="CN303" s="73">
        <f t="shared" si="2109"/>
        <v>0</v>
      </c>
      <c r="CO303" s="73">
        <f t="shared" si="2110"/>
        <v>0</v>
      </c>
      <c r="CP303" s="73">
        <f t="shared" si="2111"/>
        <v>0</v>
      </c>
      <c r="CQ303" s="73">
        <f t="shared" si="2112"/>
        <v>0</v>
      </c>
      <c r="CR303" s="73">
        <f t="shared" si="2113"/>
        <v>0</v>
      </c>
      <c r="CS303" s="73">
        <f t="shared" si="2114"/>
        <v>0</v>
      </c>
      <c r="CT303" s="73">
        <f t="shared" si="2115"/>
        <v>0</v>
      </c>
      <c r="CU303" s="73">
        <f t="shared" si="2116"/>
        <v>0</v>
      </c>
      <c r="CV303" s="73">
        <f t="shared" si="2117"/>
        <v>0</v>
      </c>
      <c r="CW303" s="73">
        <f t="shared" si="2118"/>
        <v>0</v>
      </c>
      <c r="CX303" s="73">
        <f t="shared" si="2119"/>
        <v>0</v>
      </c>
      <c r="CY303" s="73">
        <f t="shared" si="2120"/>
        <v>0</v>
      </c>
      <c r="CZ303" s="190"/>
      <c r="DA303" s="66">
        <v>2017</v>
      </c>
      <c r="DB303" s="218">
        <f t="shared" si="2043"/>
        <v>0</v>
      </c>
      <c r="DC303" s="218">
        <f t="shared" si="2044"/>
        <v>8588.0400000000009</v>
      </c>
      <c r="DD303" s="73">
        <f t="shared" si="2045"/>
        <v>0</v>
      </c>
      <c r="DE303" s="73">
        <f t="shared" si="2046"/>
        <v>0</v>
      </c>
      <c r="DF303" s="73">
        <f t="shared" si="2047"/>
        <v>0</v>
      </c>
      <c r="DG303" s="73">
        <f t="shared" si="2048"/>
        <v>0</v>
      </c>
      <c r="DH303" s="72" t="e">
        <f t="shared" si="2075"/>
        <v>#DIV/0!</v>
      </c>
      <c r="DI303" s="72" t="e">
        <f t="shared" si="2076"/>
        <v>#DIV/0!</v>
      </c>
      <c r="DJ303" s="73">
        <f>SUM(AV290:AV303,BB290:BB303,BI290:BI303)</f>
        <v>0</v>
      </c>
      <c r="DK303" s="73">
        <f>SUM(AV296:AV303,BB296:BB303,BI296:BI303)</f>
        <v>0</v>
      </c>
      <c r="DL303" s="190"/>
    </row>
    <row r="304" spans="22:116" x14ac:dyDescent="0.25">
      <c r="V304" s="13"/>
      <c r="W304" s="66">
        <v>14</v>
      </c>
      <c r="X304" s="66">
        <v>2018</v>
      </c>
      <c r="Y304" s="70">
        <f t="shared" ref="Y304:Y309" si="2121">MMULT($Y303:$AO303,D$202:D$218)</f>
        <v>0.63376008575865694</v>
      </c>
      <c r="Z304" s="70">
        <f t="shared" ref="Z304:Z309" si="2122">MMULT($Y303:$AO303,E$202:E$218)</f>
        <v>7.4027434914144222E-2</v>
      </c>
      <c r="AA304" s="70">
        <f t="shared" ref="AA304:AA309" si="2123">MMULT($Y303:$AO303,F$202:F$218)</f>
        <v>0</v>
      </c>
      <c r="AB304" s="70">
        <f t="shared" ref="AB304:AB309" si="2124">MMULT($Y303:$AO303,G$202:G$218)</f>
        <v>1.818504441305463E-2</v>
      </c>
      <c r="AC304" s="70">
        <f t="shared" ref="AC304:AC309" si="2125">MMULT($Y303:$AO303,H$202:H$218)</f>
        <v>0.2</v>
      </c>
      <c r="AD304" s="70">
        <f t="shared" ref="AD304:AD309" si="2126">MMULT($Y303:$AO303,I$202:I$218)</f>
        <v>7.4027434914144222E-2</v>
      </c>
      <c r="AE304" s="70">
        <f t="shared" ref="AE304:AE309" si="2127">MMULT($Y303:$AO303,J$202:J$218)</f>
        <v>0</v>
      </c>
      <c r="AF304" s="70">
        <f t="shared" ref="AF304:AF309" si="2128">MMULT($Y303:$AO303,K$202:K$218)</f>
        <v>0</v>
      </c>
      <c r="AG304" s="70">
        <f t="shared" ref="AG304:AG309" si="2129">MMULT($Y303:$AO303,L$202:L$218)</f>
        <v>0</v>
      </c>
      <c r="AH304" s="70">
        <f t="shared" ref="AH304:AH309" si="2130">MMULT($Y303:$AO303,M$202:M$218)</f>
        <v>0</v>
      </c>
      <c r="AI304" s="70">
        <f t="shared" ref="AI304:AI309" si="2131">MMULT($Y303:$AO303,N$202:N$218)</f>
        <v>0</v>
      </c>
      <c r="AJ304" s="70">
        <f t="shared" ref="AJ304:AJ309" si="2132">MMULT($Y303:$AO303,O$202:O$218)</f>
        <v>0</v>
      </c>
      <c r="AK304" s="70">
        <f t="shared" ref="AK304:AK309" si="2133">MMULT($Y303:$AO303,P$202:P$218)</f>
        <v>0</v>
      </c>
      <c r="AL304" s="70">
        <f t="shared" ref="AL304:AL309" si="2134">MMULT($Y303:$AO303,Q$202:Q$218)</f>
        <v>0</v>
      </c>
      <c r="AM304" s="70">
        <f t="shared" ref="AM304:AM309" si="2135">MMULT($Y303:$AO303,R$202:R$218)</f>
        <v>0</v>
      </c>
      <c r="AN304" s="70">
        <f t="shared" ref="AN304:AN309" si="2136">MMULT($Y303:$AO303,S$202:S$218)</f>
        <v>0</v>
      </c>
      <c r="AO304" s="70">
        <f t="shared" ref="AO304:AO309" si="2137">MMULT($Y303:$AO303,T$202:T$218)</f>
        <v>0</v>
      </c>
      <c r="AP304" s="190"/>
      <c r="AQ304" s="66">
        <v>14</v>
      </c>
      <c r="AR304" s="66">
        <v>2018</v>
      </c>
      <c r="AS304" s="215">
        <f t="shared" si="2026"/>
        <v>5442.7569668987771</v>
      </c>
      <c r="AT304" s="215">
        <f t="shared" si="2027"/>
        <v>635.75057214006722</v>
      </c>
      <c r="AU304" s="215">
        <f t="shared" si="2028"/>
        <v>0</v>
      </c>
      <c r="AV304" s="215">
        <f t="shared" si="2029"/>
        <v>156.17388882108969</v>
      </c>
      <c r="AW304" s="215">
        <f t="shared" si="2030"/>
        <v>1717.6080000000002</v>
      </c>
      <c r="AX304" s="215">
        <f t="shared" si="2031"/>
        <v>635.75057214006722</v>
      </c>
      <c r="AY304" s="215">
        <f t="shared" si="2032"/>
        <v>0</v>
      </c>
      <c r="AZ304" s="215">
        <f t="shared" si="2033"/>
        <v>0</v>
      </c>
      <c r="BA304" s="215">
        <f t="shared" si="2034"/>
        <v>0</v>
      </c>
      <c r="BB304" s="215">
        <f t="shared" si="2035"/>
        <v>0</v>
      </c>
      <c r="BC304" s="215">
        <f t="shared" si="2036"/>
        <v>0</v>
      </c>
      <c r="BD304" s="215">
        <f t="shared" si="2037"/>
        <v>0</v>
      </c>
      <c r="BE304" s="215">
        <f t="shared" si="2038"/>
        <v>0</v>
      </c>
      <c r="BF304" s="215">
        <f t="shared" si="2039"/>
        <v>0</v>
      </c>
      <c r="BG304" s="215">
        <f t="shared" si="2040"/>
        <v>0</v>
      </c>
      <c r="BH304" s="215">
        <f t="shared" si="2041"/>
        <v>0</v>
      </c>
      <c r="BI304" s="215">
        <f t="shared" si="2042"/>
        <v>0</v>
      </c>
      <c r="BJ304" s="195"/>
      <c r="BK304" s="66">
        <v>14</v>
      </c>
      <c r="BL304" s="66">
        <v>2018</v>
      </c>
      <c r="BM304" s="215">
        <f t="shared" si="2085"/>
        <v>0</v>
      </c>
      <c r="BN304" s="219">
        <f t="shared" si="2086"/>
        <v>0</v>
      </c>
      <c r="BO304" s="219">
        <f t="shared" si="2087"/>
        <v>0</v>
      </c>
      <c r="BP304" s="219">
        <f t="shared" si="2088"/>
        <v>0</v>
      </c>
      <c r="BQ304" s="219">
        <f t="shared" si="2089"/>
        <v>0</v>
      </c>
      <c r="BR304" s="220">
        <f t="shared" si="2090"/>
        <v>0</v>
      </c>
      <c r="BS304" s="219">
        <f t="shared" si="2091"/>
        <v>0</v>
      </c>
      <c r="BT304" s="219">
        <f t="shared" si="2092"/>
        <v>0</v>
      </c>
      <c r="BU304" s="219">
        <f t="shared" si="2093"/>
        <v>0</v>
      </c>
      <c r="BV304" s="219">
        <f t="shared" si="2094"/>
        <v>0</v>
      </c>
      <c r="BW304" s="219">
        <f t="shared" si="2095"/>
        <v>0</v>
      </c>
      <c r="BX304" s="220">
        <f t="shared" si="2096"/>
        <v>0</v>
      </c>
      <c r="BY304" s="195"/>
      <c r="BZ304" s="66">
        <v>14</v>
      </c>
      <c r="CA304" s="66">
        <v>2018</v>
      </c>
      <c r="CB304" s="218">
        <f t="shared" si="2097"/>
        <v>156.17388882108969</v>
      </c>
      <c r="CC304" s="218">
        <f t="shared" si="2098"/>
        <v>0</v>
      </c>
      <c r="CD304" s="73">
        <f t="shared" si="2099"/>
        <v>0</v>
      </c>
      <c r="CE304" s="73">
        <f t="shared" si="2100"/>
        <v>0</v>
      </c>
      <c r="CF304" s="73">
        <f t="shared" si="2101"/>
        <v>0</v>
      </c>
      <c r="CG304" s="73">
        <f t="shared" si="2102"/>
        <v>0</v>
      </c>
      <c r="CH304" s="73">
        <f t="shared" si="2103"/>
        <v>0</v>
      </c>
      <c r="CI304" s="73">
        <f t="shared" si="2104"/>
        <v>0</v>
      </c>
      <c r="CJ304" s="73">
        <f t="shared" si="2105"/>
        <v>0</v>
      </c>
      <c r="CK304" s="73">
        <f t="shared" si="2106"/>
        <v>0</v>
      </c>
      <c r="CL304" s="73">
        <f t="shared" si="2107"/>
        <v>0</v>
      </c>
      <c r="CM304" s="73">
        <f t="shared" si="2108"/>
        <v>0</v>
      </c>
      <c r="CN304" s="73">
        <f t="shared" si="2109"/>
        <v>0</v>
      </c>
      <c r="CO304" s="73">
        <f t="shared" si="2110"/>
        <v>0</v>
      </c>
      <c r="CP304" s="73">
        <f t="shared" si="2111"/>
        <v>0</v>
      </c>
      <c r="CQ304" s="73">
        <f t="shared" si="2112"/>
        <v>0</v>
      </c>
      <c r="CR304" s="73">
        <f t="shared" si="2113"/>
        <v>0</v>
      </c>
      <c r="CS304" s="73">
        <f t="shared" si="2114"/>
        <v>0</v>
      </c>
      <c r="CT304" s="73">
        <f t="shared" si="2115"/>
        <v>0</v>
      </c>
      <c r="CU304" s="73">
        <f t="shared" si="2116"/>
        <v>0</v>
      </c>
      <c r="CV304" s="73">
        <f t="shared" si="2117"/>
        <v>0</v>
      </c>
      <c r="CW304" s="73">
        <f t="shared" si="2118"/>
        <v>0</v>
      </c>
      <c r="CX304" s="73">
        <f t="shared" si="2119"/>
        <v>0</v>
      </c>
      <c r="CY304" s="73">
        <f t="shared" si="2120"/>
        <v>0</v>
      </c>
      <c r="CZ304" s="190"/>
      <c r="DA304" s="66">
        <v>2018</v>
      </c>
      <c r="DB304" s="218">
        <f t="shared" si="2043"/>
        <v>1271.5011442801344</v>
      </c>
      <c r="DC304" s="218">
        <f t="shared" si="2044"/>
        <v>8431.8661111789115</v>
      </c>
      <c r="DD304" s="73">
        <f t="shared" si="2045"/>
        <v>0</v>
      </c>
      <c r="DE304" s="73">
        <f t="shared" si="2046"/>
        <v>0</v>
      </c>
      <c r="DF304" s="73">
        <f t="shared" si="2047"/>
        <v>0</v>
      </c>
      <c r="DG304" s="73">
        <f t="shared" si="2048"/>
        <v>2353.3585721400673</v>
      </c>
      <c r="DH304" s="72">
        <f t="shared" si="2075"/>
        <v>0</v>
      </c>
      <c r="DI304" s="72" t="e">
        <f t="shared" si="2076"/>
        <v>#DIV/0!</v>
      </c>
      <c r="DJ304" s="73">
        <f>SUM(AV290:AV304,BB290:BB304,BI290:BI304)</f>
        <v>156.17388882108969</v>
      </c>
      <c r="DK304" s="73">
        <f>SUM(AV296:AV304,BB296:BB304,BI296:BI304)</f>
        <v>156.17388882108969</v>
      </c>
      <c r="DL304" s="190"/>
    </row>
    <row r="305" spans="22:116" x14ac:dyDescent="0.25">
      <c r="V305" s="13"/>
      <c r="W305" s="66">
        <v>15</v>
      </c>
      <c r="X305" s="66">
        <v>2019</v>
      </c>
      <c r="Y305" s="70">
        <f t="shared" si="2121"/>
        <v>0.40165184630082018</v>
      </c>
      <c r="Z305" s="70">
        <f t="shared" si="2122"/>
        <v>7.9350132444030066E-2</v>
      </c>
      <c r="AA305" s="70">
        <f t="shared" si="2123"/>
        <v>2.2711269412095766E-2</v>
      </c>
      <c r="AB305" s="70">
        <f t="shared" si="2124"/>
        <v>1.2788092354875989E-2</v>
      </c>
      <c r="AC305" s="70">
        <f t="shared" si="2125"/>
        <v>0.22169301105858225</v>
      </c>
      <c r="AD305" s="70">
        <f t="shared" si="2126"/>
        <v>0.1017364552227743</v>
      </c>
      <c r="AE305" s="70">
        <f t="shared" si="2127"/>
        <v>1.2322340839651991E-2</v>
      </c>
      <c r="AF305" s="70">
        <f t="shared" si="2128"/>
        <v>0</v>
      </c>
      <c r="AG305" s="70">
        <f t="shared" si="2129"/>
        <v>1.3509635260084139E-2</v>
      </c>
      <c r="AH305" s="70">
        <f t="shared" si="2130"/>
        <v>7.5148512019901498E-3</v>
      </c>
      <c r="AI305" s="70">
        <f t="shared" si="2131"/>
        <v>0.06</v>
      </c>
      <c r="AJ305" s="70">
        <f t="shared" si="2132"/>
        <v>4.1948879784681731E-2</v>
      </c>
      <c r="AK305" s="70">
        <f t="shared" si="2133"/>
        <v>6.5884417073588351E-3</v>
      </c>
      <c r="AL305" s="70">
        <f t="shared" si="2134"/>
        <v>0</v>
      </c>
      <c r="AM305" s="70">
        <f t="shared" si="2135"/>
        <v>0</v>
      </c>
      <c r="AN305" s="70">
        <f t="shared" si="2136"/>
        <v>0</v>
      </c>
      <c r="AO305" s="70">
        <f t="shared" si="2137"/>
        <v>0</v>
      </c>
      <c r="AP305" s="190"/>
      <c r="AQ305" s="66">
        <v>15</v>
      </c>
      <c r="AR305" s="66">
        <v>2019</v>
      </c>
      <c r="AS305" s="215">
        <f t="shared" si="2026"/>
        <v>3449.4021221052963</v>
      </c>
      <c r="AT305" s="215">
        <f t="shared" si="2027"/>
        <v>681.46211143462801</v>
      </c>
      <c r="AU305" s="215">
        <f t="shared" si="2028"/>
        <v>195.04529016185495</v>
      </c>
      <c r="AV305" s="215">
        <f t="shared" si="2029"/>
        <v>109.8246486673692</v>
      </c>
      <c r="AW305" s="215">
        <f t="shared" si="2030"/>
        <v>1903.9084466915469</v>
      </c>
      <c r="AX305" s="215">
        <f t="shared" si="2031"/>
        <v>873.71674691139469</v>
      </c>
      <c r="AY305" s="215">
        <f t="shared" si="2032"/>
        <v>105.82475602456491</v>
      </c>
      <c r="AZ305" s="215">
        <f t="shared" si="2033"/>
        <v>0</v>
      </c>
      <c r="BA305" s="215">
        <f t="shared" si="2034"/>
        <v>116.021287999013</v>
      </c>
      <c r="BB305" s="215">
        <f t="shared" si="2035"/>
        <v>64.53784271673949</v>
      </c>
      <c r="BC305" s="215">
        <f t="shared" si="2036"/>
        <v>515.28240000000005</v>
      </c>
      <c r="BD305" s="215">
        <f t="shared" si="2037"/>
        <v>360.25865754603814</v>
      </c>
      <c r="BE305" s="215">
        <f t="shared" si="2038"/>
        <v>56.581800920465973</v>
      </c>
      <c r="BF305" s="215">
        <f t="shared" si="2039"/>
        <v>0</v>
      </c>
      <c r="BG305" s="215">
        <f t="shared" si="2040"/>
        <v>0</v>
      </c>
      <c r="BH305" s="215">
        <f t="shared" si="2041"/>
        <v>0</v>
      </c>
      <c r="BI305" s="215">
        <f t="shared" si="2042"/>
        <v>0</v>
      </c>
      <c r="BJ305" s="195"/>
      <c r="BK305" s="66">
        <v>15</v>
      </c>
      <c r="BL305" s="66">
        <v>2019</v>
      </c>
      <c r="BM305" s="215">
        <f t="shared" si="2085"/>
        <v>116.021287999013</v>
      </c>
      <c r="BN305" s="219">
        <f t="shared" si="2086"/>
        <v>0</v>
      </c>
      <c r="BO305" s="219">
        <f t="shared" si="2087"/>
        <v>0</v>
      </c>
      <c r="BP305" s="219">
        <f t="shared" si="2088"/>
        <v>0</v>
      </c>
      <c r="BQ305" s="219">
        <f t="shared" si="2089"/>
        <v>0</v>
      </c>
      <c r="BR305" s="220">
        <f t="shared" si="2090"/>
        <v>0</v>
      </c>
      <c r="BS305" s="219">
        <f t="shared" si="2091"/>
        <v>0</v>
      </c>
      <c r="BT305" s="219">
        <f t="shared" si="2092"/>
        <v>0</v>
      </c>
      <c r="BU305" s="219">
        <f t="shared" si="2093"/>
        <v>0</v>
      </c>
      <c r="BV305" s="219">
        <f t="shared" si="2094"/>
        <v>0</v>
      </c>
      <c r="BW305" s="219">
        <f t="shared" si="2095"/>
        <v>0</v>
      </c>
      <c r="BX305" s="220">
        <f t="shared" si="2096"/>
        <v>0</v>
      </c>
      <c r="BY305" s="195"/>
      <c r="BZ305" s="66">
        <v>15</v>
      </c>
      <c r="CA305" s="66">
        <v>2019</v>
      </c>
      <c r="CB305" s="218">
        <f t="shared" si="2097"/>
        <v>98.976777172516762</v>
      </c>
      <c r="CC305" s="218">
        <f t="shared" si="2098"/>
        <v>10.847871494852438</v>
      </c>
      <c r="CD305" s="73">
        <f t="shared" si="2099"/>
        <v>0</v>
      </c>
      <c r="CE305" s="73">
        <f t="shared" si="2100"/>
        <v>47.901574880172824</v>
      </c>
      <c r="CF305" s="73">
        <f t="shared" si="2101"/>
        <v>16.636267836566656</v>
      </c>
      <c r="CG305" s="73">
        <f t="shared" si="2102"/>
        <v>0</v>
      </c>
      <c r="CH305" s="73">
        <f t="shared" si="2103"/>
        <v>0</v>
      </c>
      <c r="CI305" s="73">
        <f t="shared" si="2104"/>
        <v>0</v>
      </c>
      <c r="CJ305" s="73">
        <f t="shared" si="2105"/>
        <v>0</v>
      </c>
      <c r="CK305" s="73">
        <f t="shared" si="2106"/>
        <v>0</v>
      </c>
      <c r="CL305" s="73">
        <f t="shared" si="2107"/>
        <v>0</v>
      </c>
      <c r="CM305" s="73">
        <f t="shared" si="2108"/>
        <v>0</v>
      </c>
      <c r="CN305" s="73">
        <f t="shared" si="2109"/>
        <v>0</v>
      </c>
      <c r="CO305" s="73">
        <f t="shared" si="2110"/>
        <v>0</v>
      </c>
      <c r="CP305" s="73">
        <f t="shared" si="2111"/>
        <v>0</v>
      </c>
      <c r="CQ305" s="73">
        <f t="shared" si="2112"/>
        <v>0</v>
      </c>
      <c r="CR305" s="73">
        <f t="shared" si="2113"/>
        <v>0</v>
      </c>
      <c r="CS305" s="73">
        <f t="shared" si="2114"/>
        <v>0</v>
      </c>
      <c r="CT305" s="73">
        <f t="shared" si="2115"/>
        <v>0</v>
      </c>
      <c r="CU305" s="73">
        <f t="shared" si="2116"/>
        <v>0</v>
      </c>
      <c r="CV305" s="73">
        <f t="shared" si="2117"/>
        <v>0</v>
      </c>
      <c r="CW305" s="73">
        <f t="shared" si="2118"/>
        <v>0</v>
      </c>
      <c r="CX305" s="73">
        <f t="shared" si="2119"/>
        <v>0</v>
      </c>
      <c r="CY305" s="73">
        <f t="shared" si="2120"/>
        <v>0</v>
      </c>
      <c r="CZ305" s="190"/>
      <c r="DA305" s="66">
        <v>2019</v>
      </c>
      <c r="DB305" s="218">
        <f t="shared" si="2043"/>
        <v>1915.4375158920609</v>
      </c>
      <c r="DC305" s="218">
        <f t="shared" si="2044"/>
        <v>8257.5036197948029</v>
      </c>
      <c r="DD305" s="73">
        <f t="shared" si="2045"/>
        <v>162.40655694503087</v>
      </c>
      <c r="DE305" s="73">
        <f t="shared" si="2046"/>
        <v>56.581800920465973</v>
      </c>
      <c r="DF305" s="73">
        <f t="shared" si="2047"/>
        <v>875.54105754603825</v>
      </c>
      <c r="DG305" s="73">
        <f t="shared" si="2048"/>
        <v>3769.187539147993</v>
      </c>
      <c r="DH305" s="72">
        <f t="shared" si="2075"/>
        <v>4.1308068171742478E-2</v>
      </c>
      <c r="DI305" s="72">
        <f t="shared" si="2076"/>
        <v>6.0702084930684311E-2</v>
      </c>
      <c r="DJ305" s="73">
        <f>SUM(AV290:AV305,BB290:BB305,BI290:BI305)</f>
        <v>330.53638020519838</v>
      </c>
      <c r="DK305" s="73">
        <f>SUM(AV296:AV305,BB296:BB305,BI296:BI305)</f>
        <v>330.53638020519838</v>
      </c>
      <c r="DL305" s="190"/>
    </row>
    <row r="306" spans="22:116" x14ac:dyDescent="0.25">
      <c r="V306" s="13"/>
      <c r="W306" s="66">
        <v>16</v>
      </c>
      <c r="X306" s="66">
        <v>2020</v>
      </c>
      <c r="Y306" s="70">
        <f t="shared" si="2121"/>
        <v>0.25455090855673068</v>
      </c>
      <c r="Z306" s="70">
        <f t="shared" si="2122"/>
        <v>6.4499850078608451E-2</v>
      </c>
      <c r="AA306" s="70">
        <f t="shared" si="2123"/>
        <v>3.9118268432763954E-2</v>
      </c>
      <c r="AB306" s="70">
        <f t="shared" si="2124"/>
        <v>9.0710208405925634E-3</v>
      </c>
      <c r="AC306" s="70">
        <f t="shared" si="2125"/>
        <v>0.18556914332068541</v>
      </c>
      <c r="AD306" s="70">
        <f t="shared" si="2126"/>
        <v>9.5348753537974687E-2</v>
      </c>
      <c r="AE306" s="70">
        <f t="shared" si="2127"/>
        <v>3.3225173226078444E-2</v>
      </c>
      <c r="AF306" s="70">
        <f t="shared" si="2128"/>
        <v>2.4263437499190883E-3</v>
      </c>
      <c r="AG306" s="70">
        <f t="shared" si="2129"/>
        <v>2.8668531751787067E-2</v>
      </c>
      <c r="AH306" s="70">
        <f t="shared" si="2130"/>
        <v>9.2840050097176517E-3</v>
      </c>
      <c r="AI306" s="70">
        <f t="shared" si="2131"/>
        <v>7.0651352353037836E-2</v>
      </c>
      <c r="AJ306" s="70">
        <f t="shared" si="2132"/>
        <v>8.569708969366624E-2</v>
      </c>
      <c r="AK306" s="70">
        <f t="shared" si="2133"/>
        <v>3.0309750692456512E-2</v>
      </c>
      <c r="AL306" s="70">
        <f t="shared" si="2134"/>
        <v>5.4057491247627015E-3</v>
      </c>
      <c r="AM306" s="70">
        <f t="shared" si="2135"/>
        <v>0</v>
      </c>
      <c r="AN306" s="70">
        <f t="shared" si="2136"/>
        <v>5.9232001121558263E-3</v>
      </c>
      <c r="AO306" s="70">
        <f t="shared" si="2137"/>
        <v>4.1762871549142107E-2</v>
      </c>
      <c r="AP306" s="190"/>
      <c r="AQ306" s="66">
        <v>16</v>
      </c>
      <c r="AR306" s="66">
        <v>2020</v>
      </c>
      <c r="AS306" s="215">
        <f t="shared" si="2026"/>
        <v>2186.0933847215456</v>
      </c>
      <c r="AT306" s="215">
        <f t="shared" si="2027"/>
        <v>553.92729246909255</v>
      </c>
      <c r="AU306" s="215">
        <f t="shared" si="2028"/>
        <v>335.94925403131418</v>
      </c>
      <c r="AV306" s="215">
        <f t="shared" si="2029"/>
        <v>77.902289819842565</v>
      </c>
      <c r="AW306" s="215">
        <f t="shared" si="2030"/>
        <v>1593.6752256037794</v>
      </c>
      <c r="AX306" s="215">
        <f t="shared" si="2031"/>
        <v>818.85890933426822</v>
      </c>
      <c r="AY306" s="215">
        <f t="shared" si="2032"/>
        <v>285.33911667249077</v>
      </c>
      <c r="AZ306" s="215">
        <f t="shared" si="2033"/>
        <v>20.837537178055129</v>
      </c>
      <c r="BA306" s="215">
        <f t="shared" si="2034"/>
        <v>246.20649742561744</v>
      </c>
      <c r="BB306" s="215">
        <f t="shared" si="2035"/>
        <v>79.731406383655596</v>
      </c>
      <c r="BC306" s="215">
        <f t="shared" si="2036"/>
        <v>606.75664006198315</v>
      </c>
      <c r="BD306" s="215">
        <f t="shared" si="2037"/>
        <v>735.97003417279348</v>
      </c>
      <c r="BE306" s="215">
        <f t="shared" si="2038"/>
        <v>260.30135133684428</v>
      </c>
      <c r="BF306" s="215">
        <f t="shared" si="2039"/>
        <v>46.424789713427074</v>
      </c>
      <c r="BG306" s="215">
        <f t="shared" si="2040"/>
        <v>0</v>
      </c>
      <c r="BH306" s="215">
        <f t="shared" si="2041"/>
        <v>50.868679491198726</v>
      </c>
      <c r="BI306" s="215">
        <f t="shared" si="2042"/>
        <v>358.66121137889439</v>
      </c>
      <c r="BJ306" s="195"/>
      <c r="BK306" s="66">
        <v>16</v>
      </c>
      <c r="BL306" s="66">
        <v>2020</v>
      </c>
      <c r="BM306" s="215">
        <f t="shared" si="2085"/>
        <v>205.67509470161843</v>
      </c>
      <c r="BN306" s="219">
        <f t="shared" si="2086"/>
        <v>39.009058032370994</v>
      </c>
      <c r="BO306" s="219">
        <f t="shared" si="2087"/>
        <v>1.5223446916279959</v>
      </c>
      <c r="BP306" s="219">
        <f t="shared" si="2088"/>
        <v>0</v>
      </c>
      <c r="BQ306" s="219">
        <f t="shared" si="2089"/>
        <v>21.185182166464188</v>
      </c>
      <c r="BR306" s="220">
        <f t="shared" si="2090"/>
        <v>0</v>
      </c>
      <c r="BS306" s="219">
        <f t="shared" si="2091"/>
        <v>27.889554306043259</v>
      </c>
      <c r="BT306" s="219">
        <f t="shared" si="2092"/>
        <v>1.7939430186912875</v>
      </c>
      <c r="BU306" s="219">
        <f t="shared" si="2093"/>
        <v>0</v>
      </c>
      <c r="BV306" s="219">
        <f t="shared" si="2094"/>
        <v>0</v>
      </c>
      <c r="BW306" s="219">
        <f t="shared" si="2095"/>
        <v>0</v>
      </c>
      <c r="BX306" s="220">
        <f t="shared" si="2096"/>
        <v>0</v>
      </c>
      <c r="BY306" s="195"/>
      <c r="BZ306" s="66">
        <v>16</v>
      </c>
      <c r="CA306" s="66">
        <v>2020</v>
      </c>
      <c r="CB306" s="218">
        <f t="shared" si="2097"/>
        <v>62.727530788969702</v>
      </c>
      <c r="CC306" s="218">
        <f t="shared" si="2098"/>
        <v>11.627851766722399</v>
      </c>
      <c r="CD306" s="73">
        <f t="shared" si="2099"/>
        <v>3.5469072641504593</v>
      </c>
      <c r="CE306" s="73">
        <f t="shared" si="2100"/>
        <v>53.097221848168303</v>
      </c>
      <c r="CF306" s="73">
        <f t="shared" si="2101"/>
        <v>22.863346809083612</v>
      </c>
      <c r="CG306" s="73">
        <f t="shared" si="2102"/>
        <v>0.53517370132995767</v>
      </c>
      <c r="CH306" s="73">
        <f t="shared" si="2103"/>
        <v>0</v>
      </c>
      <c r="CI306" s="73">
        <f t="shared" si="2104"/>
        <v>3.2356640250737172</v>
      </c>
      <c r="CJ306" s="73">
        <f t="shared" si="2105"/>
        <v>0</v>
      </c>
      <c r="CK306" s="73">
        <f t="shared" si="2106"/>
        <v>0</v>
      </c>
      <c r="CL306" s="73">
        <f t="shared" si="2107"/>
        <v>0</v>
      </c>
      <c r="CM306" s="73">
        <f t="shared" si="2108"/>
        <v>211.53101958806502</v>
      </c>
      <c r="CN306" s="73">
        <f t="shared" si="2109"/>
        <v>138.76712360248183</v>
      </c>
      <c r="CO306" s="73">
        <f t="shared" si="2110"/>
        <v>8.3630681883476132</v>
      </c>
      <c r="CP306" s="73">
        <f t="shared" si="2111"/>
        <v>0</v>
      </c>
      <c r="CQ306" s="73">
        <f t="shared" si="2112"/>
        <v>0</v>
      </c>
      <c r="CR306" s="73">
        <f t="shared" si="2113"/>
        <v>0</v>
      </c>
      <c r="CS306" s="73">
        <f t="shared" si="2114"/>
        <v>0</v>
      </c>
      <c r="CT306" s="73">
        <f t="shared" si="2115"/>
        <v>0</v>
      </c>
      <c r="CU306" s="73">
        <f t="shared" si="2116"/>
        <v>0</v>
      </c>
      <c r="CV306" s="73">
        <f t="shared" si="2117"/>
        <v>0</v>
      </c>
      <c r="CW306" s="73">
        <f t="shared" si="2118"/>
        <v>0</v>
      </c>
      <c r="CX306" s="73">
        <f t="shared" si="2119"/>
        <v>0</v>
      </c>
      <c r="CY306" s="73">
        <f t="shared" si="2120"/>
        <v>0</v>
      </c>
      <c r="CZ306" s="190"/>
      <c r="DA306" s="66">
        <v>2020</v>
      </c>
      <c r="DB306" s="218">
        <f t="shared" si="2043"/>
        <v>2108.7562359761541</v>
      </c>
      <c r="DC306" s="218">
        <f t="shared" si="2044"/>
        <v>7741.2087122124094</v>
      </c>
      <c r="DD306" s="73">
        <f t="shared" si="2045"/>
        <v>612.9027949008173</v>
      </c>
      <c r="DE306" s="73">
        <f t="shared" si="2046"/>
        <v>306.72614105027134</v>
      </c>
      <c r="DF306" s="73">
        <f t="shared" si="2047"/>
        <v>1393.5953537259752</v>
      </c>
      <c r="DG306" s="73">
        <f t="shared" si="2048"/>
        <v>4052.3359860896398</v>
      </c>
      <c r="DH306" s="72">
        <f t="shared" si="2075"/>
        <v>0.13137651118699961</v>
      </c>
      <c r="DI306" s="72">
        <f t="shared" si="2076"/>
        <v>0.18039302684380573</v>
      </c>
      <c r="DJ306" s="73">
        <f>SUM(AV290:AV306,BB290:BB306,BI290:BI306)</f>
        <v>846.83128778759101</v>
      </c>
      <c r="DK306" s="73">
        <f>SUM(AV296:AV306,BB296:BB306,BI296:BI306)</f>
        <v>846.83128778759101</v>
      </c>
      <c r="DL306" s="190"/>
    </row>
    <row r="307" spans="22:116" x14ac:dyDescent="0.25">
      <c r="V307" s="63"/>
      <c r="W307" s="66">
        <v>17</v>
      </c>
      <c r="X307" s="66">
        <v>2021</v>
      </c>
      <c r="Y307" s="70">
        <f t="shared" si="2121"/>
        <v>0.16132420563685768</v>
      </c>
      <c r="Z307" s="70">
        <f t="shared" si="2122"/>
        <v>4.71038184743756E-2</v>
      </c>
      <c r="AA307" s="70">
        <f t="shared" si="2123"/>
        <v>4.5235269776561449E-2</v>
      </c>
      <c r="AB307" s="70">
        <f t="shared" si="2124"/>
        <v>6.4409540029590553E-3</v>
      </c>
      <c r="AC307" s="70">
        <f t="shared" si="2125"/>
        <v>0.13900077623788976</v>
      </c>
      <c r="AD307" s="70">
        <f t="shared" si="2126"/>
        <v>7.6174180760404872E-2</v>
      </c>
      <c r="AE307" s="70">
        <f t="shared" si="2127"/>
        <v>5.6759597073604617E-2</v>
      </c>
      <c r="AF307" s="70">
        <f t="shared" si="2128"/>
        <v>7.5893612305730114E-3</v>
      </c>
      <c r="AG307" s="70">
        <f t="shared" si="2129"/>
        <v>3.7159545159019869E-2</v>
      </c>
      <c r="AH307" s="70">
        <f t="shared" si="2130"/>
        <v>8.6501493740506214E-3</v>
      </c>
      <c r="AI307" s="70">
        <f t="shared" si="2131"/>
        <v>6.0549747625561666E-2</v>
      </c>
      <c r="AJ307" s="70">
        <f t="shared" si="2132"/>
        <v>9.0594426191087832E-2</v>
      </c>
      <c r="AK307" s="70">
        <f t="shared" si="2133"/>
        <v>5.0485938529922988E-2</v>
      </c>
      <c r="AL307" s="70">
        <f t="shared" si="2134"/>
        <v>2.9911611370230826E-2</v>
      </c>
      <c r="AM307" s="70">
        <f t="shared" si="2135"/>
        <v>1.5413424508965083E-3</v>
      </c>
      <c r="AN307" s="70">
        <f t="shared" si="2136"/>
        <v>1.3809606340603651E-2</v>
      </c>
      <c r="AO307" s="70">
        <f t="shared" si="2137"/>
        <v>6.9063584396026889E-2</v>
      </c>
      <c r="AP307" s="190"/>
      <c r="AQ307" s="66">
        <v>17</v>
      </c>
      <c r="AR307" s="66">
        <v>2021</v>
      </c>
      <c r="AS307" s="215">
        <f t="shared" si="2026"/>
        <v>1385.4587309775593</v>
      </c>
      <c r="AT307" s="215">
        <f t="shared" si="2027"/>
        <v>404.52947721067665</v>
      </c>
      <c r="AU307" s="215">
        <f t="shared" si="2028"/>
        <v>388.48230625190081</v>
      </c>
      <c r="AV307" s="215">
        <f t="shared" si="2029"/>
        <v>55.315170615572491</v>
      </c>
      <c r="AW307" s="215">
        <f t="shared" si="2030"/>
        <v>1193.7442263620469</v>
      </c>
      <c r="AX307" s="215">
        <f t="shared" si="2031"/>
        <v>654.1869113375875</v>
      </c>
      <c r="AY307" s="215">
        <f t="shared" si="2032"/>
        <v>487.45369005199944</v>
      </c>
      <c r="AZ307" s="215">
        <f t="shared" si="2033"/>
        <v>65.177737822610254</v>
      </c>
      <c r="BA307" s="215">
        <f t="shared" si="2034"/>
        <v>319.12766020746903</v>
      </c>
      <c r="BB307" s="215">
        <f t="shared" si="2035"/>
        <v>74.2878288303217</v>
      </c>
      <c r="BC307" s="215">
        <f t="shared" si="2036"/>
        <v>520.00365459822865</v>
      </c>
      <c r="BD307" s="215">
        <f t="shared" si="2037"/>
        <v>778.02855590611</v>
      </c>
      <c r="BE307" s="215">
        <f t="shared" si="2038"/>
        <v>433.57525953251985</v>
      </c>
      <c r="BF307" s="215">
        <f t="shared" si="2039"/>
        <v>256.88211491199718</v>
      </c>
      <c r="BG307" s="215">
        <f t="shared" si="2040"/>
        <v>13.23711062199725</v>
      </c>
      <c r="BH307" s="215">
        <f t="shared" si="2041"/>
        <v>118.59745163735779</v>
      </c>
      <c r="BI307" s="215">
        <f t="shared" si="2042"/>
        <v>593.1208253364548</v>
      </c>
      <c r="BJ307" s="195"/>
      <c r="BK307" s="66">
        <v>17</v>
      </c>
      <c r="BL307" s="66">
        <v>2021</v>
      </c>
      <c r="BM307" s="215">
        <f t="shared" si="2085"/>
        <v>231.38443611982507</v>
      </c>
      <c r="BN307" s="219">
        <f t="shared" si="2086"/>
        <v>82.732166789984859</v>
      </c>
      <c r="BO307" s="219">
        <f t="shared" si="2087"/>
        <v>4.711298382058585</v>
      </c>
      <c r="BP307" s="219">
        <f t="shared" si="2088"/>
        <v>0.29975891560052059</v>
      </c>
      <c r="BQ307" s="219">
        <f t="shared" si="2089"/>
        <v>46.352726546685659</v>
      </c>
      <c r="BR307" s="220">
        <f t="shared" si="2090"/>
        <v>9.3771174340924315</v>
      </c>
      <c r="BS307" s="219">
        <f t="shared" si="2091"/>
        <v>53.487175587849435</v>
      </c>
      <c r="BT307" s="219">
        <f t="shared" si="2092"/>
        <v>8.5132073383481472</v>
      </c>
      <c r="BU307" s="219">
        <f t="shared" si="2093"/>
        <v>0.50127882785052602</v>
      </c>
      <c r="BV307" s="219">
        <f t="shared" si="2094"/>
        <v>0.36594590253158416</v>
      </c>
      <c r="BW307" s="219">
        <f t="shared" si="2095"/>
        <v>0</v>
      </c>
      <c r="BX307" s="220">
        <f t="shared" si="2096"/>
        <v>0</v>
      </c>
      <c r="BY307" s="195"/>
      <c r="BZ307" s="66">
        <v>17</v>
      </c>
      <c r="CA307" s="66">
        <v>2021</v>
      </c>
      <c r="CB307" s="218">
        <f t="shared" si="2097"/>
        <v>39.754205292246226</v>
      </c>
      <c r="CC307" s="218">
        <f t="shared" si="2098"/>
        <v>9.4517132182342465</v>
      </c>
      <c r="CD307" s="73">
        <f t="shared" si="2099"/>
        <v>6.1092521050920201</v>
      </c>
      <c r="CE307" s="73">
        <f t="shared" si="2100"/>
        <v>44.445271071126676</v>
      </c>
      <c r="CF307" s="73">
        <f t="shared" si="2101"/>
        <v>21.427831500311104</v>
      </c>
      <c r="CG307" s="73">
        <f t="shared" si="2102"/>
        <v>1.443008204700138</v>
      </c>
      <c r="CH307" s="73">
        <f t="shared" si="2103"/>
        <v>0.10537895211959421</v>
      </c>
      <c r="CI307" s="73">
        <f t="shared" si="2104"/>
        <v>5.7359775628875811</v>
      </c>
      <c r="CJ307" s="73">
        <f t="shared" si="2105"/>
        <v>1.0879055723672841</v>
      </c>
      <c r="CK307" s="73">
        <f t="shared" si="2106"/>
        <v>4.2455966809337199E-2</v>
      </c>
      <c r="CL307" s="73">
        <f t="shared" si="2107"/>
        <v>0</v>
      </c>
      <c r="CM307" s="73">
        <f t="shared" si="2108"/>
        <v>249.08254330856218</v>
      </c>
      <c r="CN307" s="73">
        <f t="shared" si="2109"/>
        <v>283.48644109053123</v>
      </c>
      <c r="CO307" s="73">
        <f t="shared" si="2110"/>
        <v>38.473818707344357</v>
      </c>
      <c r="CP307" s="73">
        <f t="shared" si="2111"/>
        <v>1.1956795808759493</v>
      </c>
      <c r="CQ307" s="73">
        <f t="shared" si="2112"/>
        <v>0</v>
      </c>
      <c r="CR307" s="73">
        <f t="shared" si="2113"/>
        <v>8.696829512964273</v>
      </c>
      <c r="CS307" s="73">
        <f t="shared" si="2114"/>
        <v>0</v>
      </c>
      <c r="CT307" s="73">
        <f t="shared" si="2115"/>
        <v>11.4490730873285</v>
      </c>
      <c r="CU307" s="73">
        <f t="shared" si="2116"/>
        <v>0.7364400488482804</v>
      </c>
      <c r="CV307" s="73">
        <f t="shared" si="2117"/>
        <v>0</v>
      </c>
      <c r="CW307" s="73">
        <f t="shared" si="2118"/>
        <v>0</v>
      </c>
      <c r="CX307" s="73">
        <f t="shared" si="2119"/>
        <v>0</v>
      </c>
      <c r="CY307" s="73">
        <f t="shared" si="2120"/>
        <v>0</v>
      </c>
      <c r="CZ307" s="190"/>
      <c r="DA307" s="66">
        <v>2021</v>
      </c>
      <c r="DB307" s="218">
        <f t="shared" si="2043"/>
        <v>1836.744944454374</v>
      </c>
      <c r="DC307" s="218">
        <f t="shared" si="2044"/>
        <v>7018.4848874300624</v>
      </c>
      <c r="DD307" s="73">
        <f t="shared" si="2045"/>
        <v>1256.325912941124</v>
      </c>
      <c r="DE307" s="73">
        <f t="shared" si="2046"/>
        <v>703.69448506651418</v>
      </c>
      <c r="DF307" s="73">
        <f t="shared" si="2047"/>
        <v>1416.6296621416966</v>
      </c>
      <c r="DG307" s="73">
        <f t="shared" si="2048"/>
        <v>3583.6884600488002</v>
      </c>
      <c r="DH307" s="72">
        <f t="shared" si="2075"/>
        <v>0.25957069878803424</v>
      </c>
      <c r="DI307" s="72">
        <f t="shared" si="2076"/>
        <v>0.33188061645812733</v>
      </c>
      <c r="DJ307" s="73">
        <f>SUM(AV290:AV307,BB290:BB307,BI290:BI307)</f>
        <v>1569.5551125699399</v>
      </c>
      <c r="DK307" s="73">
        <f>SUM(AV296:AV307,BB296:BB307,BI296:BI307)</f>
        <v>1569.5551125699399</v>
      </c>
      <c r="DL307" s="190"/>
    </row>
    <row r="308" spans="22:116" x14ac:dyDescent="0.25">
      <c r="V308" s="63"/>
      <c r="W308" s="66">
        <v>18</v>
      </c>
      <c r="X308" s="66">
        <v>2022</v>
      </c>
      <c r="Y308" s="70">
        <f t="shared" si="2121"/>
        <v>0.10224084239936213</v>
      </c>
      <c r="Z308" s="70">
        <f t="shared" si="2122"/>
        <v>3.2580559631701374E-2</v>
      </c>
      <c r="AA308" s="70">
        <f t="shared" si="2123"/>
        <v>4.3877449826514398E-2</v>
      </c>
      <c r="AB308" s="70">
        <f t="shared" si="2124"/>
        <v>4.5600300961105844E-3</v>
      </c>
      <c r="AC308" s="70">
        <f t="shared" si="2125"/>
        <v>9.8249200376616691E-2</v>
      </c>
      <c r="AD308" s="70">
        <f t="shared" si="2126"/>
        <v>5.594564639296358E-2</v>
      </c>
      <c r="AE308" s="70">
        <f t="shared" si="2127"/>
        <v>7.8683751021691631E-2</v>
      </c>
      <c r="AF308" s="70">
        <f t="shared" si="2128"/>
        <v>1.431376414662134E-2</v>
      </c>
      <c r="AG308" s="70">
        <f t="shared" si="2129"/>
        <v>3.8679570672292926E-2</v>
      </c>
      <c r="AH308" s="70">
        <f t="shared" si="2130"/>
        <v>7.2315968732316049E-3</v>
      </c>
      <c r="AI308" s="70">
        <f t="shared" si="2131"/>
        <v>4.588164609464479E-2</v>
      </c>
      <c r="AJ308" s="70">
        <f t="shared" si="2132"/>
        <v>7.6112426945225728E-2</v>
      </c>
      <c r="AK308" s="70">
        <f t="shared" si="2133"/>
        <v>5.2051084604865697E-2</v>
      </c>
      <c r="AL308" s="70">
        <f t="shared" si="2134"/>
        <v>6.9326340098585723E-2</v>
      </c>
      <c r="AM308" s="70">
        <f t="shared" si="2135"/>
        <v>5.4769104364028025E-3</v>
      </c>
      <c r="AN308" s="70">
        <f t="shared" si="2136"/>
        <v>1.8229495521526532E-2</v>
      </c>
      <c r="AO308" s="70">
        <f t="shared" si="2137"/>
        <v>7.3799111719232813E-2</v>
      </c>
      <c r="AP308" s="190"/>
      <c r="AQ308" s="66">
        <v>18</v>
      </c>
      <c r="AR308" s="66">
        <v>2022</v>
      </c>
      <c r="AS308" s="215">
        <f t="shared" si="2026"/>
        <v>878.04844415941795</v>
      </c>
      <c r="AT308" s="215">
        <f t="shared" si="2027"/>
        <v>279.80314933943669</v>
      </c>
      <c r="AU308" s="215">
        <f t="shared" si="2028"/>
        <v>376.82129420809872</v>
      </c>
      <c r="AV308" s="215">
        <f t="shared" si="2029"/>
        <v>39.161720866601549</v>
      </c>
      <c r="AW308" s="215">
        <f t="shared" si="2030"/>
        <v>843.7680628023993</v>
      </c>
      <c r="AX308" s="215">
        <f t="shared" si="2031"/>
        <v>480.46344904862701</v>
      </c>
      <c r="AY308" s="215">
        <f t="shared" si="2032"/>
        <v>675.7392011243287</v>
      </c>
      <c r="AZ308" s="215">
        <f t="shared" si="2033"/>
        <v>122.92717904174994</v>
      </c>
      <c r="BA308" s="215">
        <f t="shared" si="2034"/>
        <v>332.18170011647857</v>
      </c>
      <c r="BB308" s="215">
        <f t="shared" si="2035"/>
        <v>62.105243211187961</v>
      </c>
      <c r="BC308" s="215">
        <f t="shared" si="2036"/>
        <v>394.03341192665329</v>
      </c>
      <c r="BD308" s="215">
        <f t="shared" si="2037"/>
        <v>653.65656710267638</v>
      </c>
      <c r="BE308" s="215">
        <f t="shared" si="2038"/>
        <v>447.01679662997083</v>
      </c>
      <c r="BF308" s="215">
        <f t="shared" si="2039"/>
        <v>595.37738182025817</v>
      </c>
      <c r="BG308" s="215">
        <f t="shared" si="2040"/>
        <v>47.035925904244728</v>
      </c>
      <c r="BH308" s="215">
        <f t="shared" si="2041"/>
        <v>156.55563671869072</v>
      </c>
      <c r="BI308" s="215">
        <f t="shared" si="2042"/>
        <v>633.7897234092402</v>
      </c>
      <c r="BJ308" s="195"/>
      <c r="BK308" s="66">
        <v>18</v>
      </c>
      <c r="BL308" s="66">
        <v>2022</v>
      </c>
      <c r="BM308" s="215">
        <f t="shared" si="2085"/>
        <v>211.57595450064349</v>
      </c>
      <c r="BN308" s="219">
        <f t="shared" si="2086"/>
        <v>110.65930483406522</v>
      </c>
      <c r="BO308" s="219">
        <f t="shared" si="2087"/>
        <v>8.889392333092097</v>
      </c>
      <c r="BP308" s="219">
        <f t="shared" si="2088"/>
        <v>1.0570484486777949</v>
      </c>
      <c r="BQ308" s="219">
        <f t="shared" si="2089"/>
        <v>52.477437737848376</v>
      </c>
      <c r="BR308" s="220">
        <f t="shared" si="2090"/>
        <v>21.24789442757919</v>
      </c>
      <c r="BS308" s="219">
        <f t="shared" si="2091"/>
        <v>63.381103790109165</v>
      </c>
      <c r="BT308" s="219">
        <f t="shared" si="2092"/>
        <v>14.981774942863737</v>
      </c>
      <c r="BU308" s="219">
        <f t="shared" si="2093"/>
        <v>2.8464524291748958</v>
      </c>
      <c r="BV308" s="219">
        <f t="shared" si="2094"/>
        <v>1.1856097628139688</v>
      </c>
      <c r="BW308" s="219">
        <f t="shared" si="2095"/>
        <v>0.36330665755449837</v>
      </c>
      <c r="BX308" s="220">
        <f t="shared" si="2096"/>
        <v>7.2056970746889798E-2</v>
      </c>
      <c r="BY308" s="195"/>
      <c r="BZ308" s="66">
        <v>18</v>
      </c>
      <c r="CA308" s="66">
        <v>2022</v>
      </c>
      <c r="CB308" s="218">
        <f t="shared" si="2097"/>
        <v>25.194628555281223</v>
      </c>
      <c r="CC308" s="218">
        <f t="shared" si="2098"/>
        <v>6.9025243184436187</v>
      </c>
      <c r="CD308" s="73">
        <f t="shared" si="2099"/>
        <v>7.0645679928767064</v>
      </c>
      <c r="CE308" s="73">
        <f t="shared" si="2100"/>
        <v>33.291780456807118</v>
      </c>
      <c r="CF308" s="73">
        <f t="shared" si="2101"/>
        <v>17.118708419802445</v>
      </c>
      <c r="CG308" s="73">
        <f t="shared" si="2102"/>
        <v>2.4651358087848432</v>
      </c>
      <c r="CH308" s="73">
        <f t="shared" si="2103"/>
        <v>0.32961485105378319</v>
      </c>
      <c r="CI308" s="73">
        <f t="shared" si="2104"/>
        <v>6.4529734915652259</v>
      </c>
      <c r="CJ308" s="73">
        <f t="shared" si="2105"/>
        <v>2.307279124508856</v>
      </c>
      <c r="CK308" s="73">
        <f t="shared" si="2106"/>
        <v>0.13139122094856123</v>
      </c>
      <c r="CL308" s="73">
        <f t="shared" si="2107"/>
        <v>8.3598377171262249E-3</v>
      </c>
      <c r="CM308" s="73">
        <f t="shared" si="2108"/>
        <v>213.46916418391797</v>
      </c>
      <c r="CN308" s="73">
        <f t="shared" si="2109"/>
        <v>299.68685699076246</v>
      </c>
      <c r="CO308" s="73">
        <f t="shared" si="2110"/>
        <v>64.084553712736707</v>
      </c>
      <c r="CP308" s="73">
        <f t="shared" si="2111"/>
        <v>6.6160493432169503</v>
      </c>
      <c r="CQ308" s="73">
        <f t="shared" si="2112"/>
        <v>1.2470973563110965</v>
      </c>
      <c r="CR308" s="73">
        <f t="shared" si="2113"/>
        <v>19.028477407936279</v>
      </c>
      <c r="CS308" s="73">
        <f t="shared" si="2114"/>
        <v>3.8494449094915564</v>
      </c>
      <c r="CT308" s="73">
        <f t="shared" si="2115"/>
        <v>21.957273889004654</v>
      </c>
      <c r="CU308" s="73">
        <f t="shared" si="2116"/>
        <v>3.4947970826199004</v>
      </c>
      <c r="CV308" s="73">
        <f t="shared" si="2117"/>
        <v>0.20578234683181859</v>
      </c>
      <c r="CW308" s="73">
        <f t="shared" si="2118"/>
        <v>0.15022618641075389</v>
      </c>
      <c r="CX308" s="73">
        <f t="shared" si="2119"/>
        <v>0</v>
      </c>
      <c r="CY308" s="73">
        <f t="shared" si="2120"/>
        <v>0</v>
      </c>
      <c r="CZ308" s="190"/>
      <c r="DA308" s="66">
        <v>2022</v>
      </c>
      <c r="DB308" s="218">
        <f t="shared" si="2043"/>
        <v>1413.9231654907401</v>
      </c>
      <c r="DC308" s="218">
        <f t="shared" si="2044"/>
        <v>6283.4281999430304</v>
      </c>
      <c r="DD308" s="73">
        <f t="shared" si="2045"/>
        <v>1888.0964845205522</v>
      </c>
      <c r="DE308" s="73">
        <f t="shared" si="2046"/>
        <v>1089.4301043544738</v>
      </c>
      <c r="DF308" s="73">
        <f t="shared" si="2047"/>
        <v>1204.2456157480203</v>
      </c>
      <c r="DG308" s="73">
        <f t="shared" si="2048"/>
        <v>2860.6588277155251</v>
      </c>
      <c r="DH308" s="72">
        <f t="shared" si="2075"/>
        <v>0.39759818318191931</v>
      </c>
      <c r="DI308" s="72">
        <f t="shared" si="2076"/>
        <v>0.47497128508898029</v>
      </c>
      <c r="DJ308" s="73">
        <f>SUM(AV290:AV308,BB290:BB308,BI290:BI308)</f>
        <v>2304.6118000569695</v>
      </c>
      <c r="DK308" s="73">
        <f>SUM(AV296:AV308,BB296:BB308,BI296:BI308)</f>
        <v>2304.6118000569695</v>
      </c>
      <c r="DL308" s="190"/>
    </row>
    <row r="309" spans="22:116" x14ac:dyDescent="0.25">
      <c r="V309" s="63"/>
      <c r="W309" s="66">
        <v>19</v>
      </c>
      <c r="X309" s="66">
        <v>2023</v>
      </c>
      <c r="Y309" s="70">
        <f t="shared" si="2121"/>
        <v>6.4796165047057069E-2</v>
      </c>
      <c r="Z309" s="70">
        <f t="shared" si="2122"/>
        <v>2.1843525905788905E-2</v>
      </c>
      <c r="AA309" s="70">
        <f t="shared" si="2123"/>
        <v>3.8538500027702011E-2</v>
      </c>
      <c r="AB309" s="70">
        <f t="shared" si="2124"/>
        <v>3.2130927710022853E-3</v>
      </c>
      <c r="AC309" s="70">
        <f t="shared" si="2125"/>
        <v>6.708755215141908E-2</v>
      </c>
      <c r="AD309" s="70">
        <f t="shared" si="2126"/>
        <v>3.9104686877750108E-2</v>
      </c>
      <c r="AE309" s="70">
        <f t="shared" si="2127"/>
        <v>9.6908713206105154E-2</v>
      </c>
      <c r="AF309" s="70">
        <f t="shared" si="2128"/>
        <v>2.1358327752981344E-2</v>
      </c>
      <c r="AG309" s="70">
        <f t="shared" si="2129"/>
        <v>3.573414655183127E-2</v>
      </c>
      <c r="AH309" s="70">
        <f t="shared" si="2130"/>
        <v>5.7530283195878947E-3</v>
      </c>
      <c r="AI309" s="70">
        <f t="shared" si="2131"/>
        <v>3.2643231150590313E-2</v>
      </c>
      <c r="AJ309" s="70">
        <f t="shared" si="2132"/>
        <v>5.7361820503332731E-2</v>
      </c>
      <c r="AK309" s="70">
        <f t="shared" si="2133"/>
        <v>4.4162155736806041E-2</v>
      </c>
      <c r="AL309" s="70">
        <f t="shared" si="2134"/>
        <v>0.10737868337860562</v>
      </c>
      <c r="AM309" s="70">
        <f t="shared" si="2135"/>
        <v>1.1166275395504594E-2</v>
      </c>
      <c r="AN309" s="70">
        <f t="shared" si="2136"/>
        <v>1.8967749751596541E-2</v>
      </c>
      <c r="AO309" s="70">
        <f t="shared" si="2137"/>
        <v>6.5631033641354378E-2</v>
      </c>
      <c r="AP309" s="190"/>
      <c r="AQ309" s="66">
        <v>19</v>
      </c>
      <c r="AR309" s="66">
        <v>2023</v>
      </c>
      <c r="AS309" s="215">
        <f t="shared" si="2026"/>
        <v>556.4720572707281</v>
      </c>
      <c r="AT309" s="215">
        <f t="shared" si="2027"/>
        <v>187.59307421995138</v>
      </c>
      <c r="AU309" s="215">
        <f t="shared" si="2028"/>
        <v>330.97017977790603</v>
      </c>
      <c r="AV309" s="215">
        <f t="shared" si="2029"/>
        <v>27.594169241078468</v>
      </c>
      <c r="AW309" s="215">
        <f t="shared" si="2030"/>
        <v>576.15058137847313</v>
      </c>
      <c r="AX309" s="215">
        <f t="shared" si="2031"/>
        <v>335.83261509359306</v>
      </c>
      <c r="AY309" s="215">
        <f t="shared" si="2032"/>
        <v>832.25590536255936</v>
      </c>
      <c r="AZ309" s="215">
        <f t="shared" si="2033"/>
        <v>183.4261730757139</v>
      </c>
      <c r="BA309" s="215">
        <f t="shared" si="2034"/>
        <v>306.88627995298907</v>
      </c>
      <c r="BB309" s="215">
        <f t="shared" si="2035"/>
        <v>49.407237329753627</v>
      </c>
      <c r="BC309" s="215">
        <f t="shared" si="2036"/>
        <v>280.34137485051565</v>
      </c>
      <c r="BD309" s="215">
        <f t="shared" si="2037"/>
        <v>492.62560895544169</v>
      </c>
      <c r="BE309" s="215">
        <f t="shared" si="2038"/>
        <v>379.26635995391979</v>
      </c>
      <c r="BF309" s="215">
        <f t="shared" si="2039"/>
        <v>922.1724280028003</v>
      </c>
      <c r="BG309" s="215">
        <f t="shared" si="2040"/>
        <v>95.896419747609286</v>
      </c>
      <c r="BH309" s="215">
        <f t="shared" si="2041"/>
        <v>162.89579357670118</v>
      </c>
      <c r="BI309" s="215">
        <f t="shared" si="2042"/>
        <v>563.64194215329712</v>
      </c>
      <c r="BJ309" s="195"/>
      <c r="BK309" s="66">
        <v>19</v>
      </c>
      <c r="BL309" s="66">
        <v>2023</v>
      </c>
      <c r="BM309" s="215">
        <f t="shared" si="2085"/>
        <v>171.98003337414139</v>
      </c>
      <c r="BN309" s="219">
        <f t="shared" si="2086"/>
        <v>119.45406692780395</v>
      </c>
      <c r="BO309" s="219">
        <f t="shared" si="2087"/>
        <v>13.262649516553754</v>
      </c>
      <c r="BP309" s="219">
        <f t="shared" si="2088"/>
        <v>2.1895301344899436</v>
      </c>
      <c r="BQ309" s="219">
        <f t="shared" si="2089"/>
        <v>46.05228894851993</v>
      </c>
      <c r="BR309" s="220">
        <f t="shared" si="2090"/>
        <v>29.683380612978709</v>
      </c>
      <c r="BS309" s="219">
        <f t="shared" si="2091"/>
        <v>60.054943173270004</v>
      </c>
      <c r="BT309" s="219">
        <f t="shared" si="2092"/>
        <v>16.346436743626438</v>
      </c>
      <c r="BU309" s="219">
        <f t="shared" si="2093"/>
        <v>6.8416574114267474</v>
      </c>
      <c r="BV309" s="219">
        <f t="shared" si="2094"/>
        <v>2.3088739920085377</v>
      </c>
      <c r="BW309" s="219">
        <f t="shared" si="2095"/>
        <v>1.3436617308766126</v>
      </c>
      <c r="BX309" s="220">
        <f t="shared" si="2096"/>
        <v>0.2645509639942053</v>
      </c>
      <c r="BY309" s="195"/>
      <c r="BZ309" s="66">
        <v>19</v>
      </c>
      <c r="CA309" s="66">
        <v>2023</v>
      </c>
      <c r="CB309" s="218">
        <f t="shared" si="2097"/>
        <v>15.967349953852533</v>
      </c>
      <c r="CC309" s="218">
        <f t="shared" si="2098"/>
        <v>4.7743073162669383</v>
      </c>
      <c r="CD309" s="73">
        <f t="shared" si="2099"/>
        <v>6.8525119709590001</v>
      </c>
      <c r="CE309" s="73">
        <f t="shared" si="2100"/>
        <v>23.531457143788042</v>
      </c>
      <c r="CF309" s="73">
        <f t="shared" si="2101"/>
        <v>12.572727378202861</v>
      </c>
      <c r="CG309" s="73">
        <f t="shared" si="2102"/>
        <v>3.4173275043082487</v>
      </c>
      <c r="CH309" s="73">
        <f t="shared" si="2103"/>
        <v>0.6216635489955924</v>
      </c>
      <c r="CI309" s="73">
        <f t="shared" si="2104"/>
        <v>5.900543911856845</v>
      </c>
      <c r="CJ309" s="73">
        <f t="shared" si="2105"/>
        <v>3.0861261572470817</v>
      </c>
      <c r="CK309" s="73">
        <f t="shared" si="2106"/>
        <v>0.24791215020123641</v>
      </c>
      <c r="CL309" s="73">
        <f t="shared" si="2107"/>
        <v>2.9479535153719538E-2</v>
      </c>
      <c r="CM309" s="73">
        <f t="shared" si="2108"/>
        <v>161.75652297964956</v>
      </c>
      <c r="CN309" s="73">
        <f t="shared" si="2109"/>
        <v>251.78032433299552</v>
      </c>
      <c r="CO309" s="73">
        <f t="shared" si="2110"/>
        <v>66.071278940168028</v>
      </c>
      <c r="CP309" s="73">
        <f t="shared" si="2111"/>
        <v>15.334061451913797</v>
      </c>
      <c r="CQ309" s="73">
        <f t="shared" si="2112"/>
        <v>4.4313582111605632</v>
      </c>
      <c r="CR309" s="73">
        <f t="shared" si="2113"/>
        <v>21.542761619756984</v>
      </c>
      <c r="CS309" s="73">
        <f t="shared" si="2114"/>
        <v>8.7225738204242784</v>
      </c>
      <c r="CT309" s="73">
        <f t="shared" si="2115"/>
        <v>26.018877235742501</v>
      </c>
      <c r="CU309" s="73">
        <f t="shared" si="2116"/>
        <v>6.1502394199819177</v>
      </c>
      <c r="CV309" s="73">
        <f t="shared" si="2117"/>
        <v>1.168510674054247</v>
      </c>
      <c r="CW309" s="73">
        <f t="shared" si="2118"/>
        <v>0.48671028151088164</v>
      </c>
      <c r="CX309" s="73">
        <f t="shared" si="2119"/>
        <v>0.14914273744966841</v>
      </c>
      <c r="CY309" s="73">
        <f t="shared" si="2120"/>
        <v>2.9580448489055656E-2</v>
      </c>
      <c r="CZ309" s="190"/>
      <c r="DA309" s="66">
        <v>2023</v>
      </c>
      <c r="DB309" s="218">
        <f t="shared" si="2043"/>
        <v>1016.0512982689861</v>
      </c>
      <c r="DC309" s="218">
        <f t="shared" si="2044"/>
        <v>5642.7848512189021</v>
      </c>
      <c r="DD309" s="73">
        <f t="shared" si="2045"/>
        <v>2413.0172861426026</v>
      </c>
      <c r="DE309" s="73">
        <f t="shared" si="2046"/>
        <v>1397.3352077043294</v>
      </c>
      <c r="DF309" s="73">
        <f t="shared" si="2047"/>
        <v>935.86277738265858</v>
      </c>
      <c r="DG309" s="73">
        <f t="shared" si="2048"/>
        <v>2154.7322538077142</v>
      </c>
      <c r="DH309" s="72">
        <f t="shared" si="2075"/>
        <v>0.52827267892819907</v>
      </c>
      <c r="DI309" s="72">
        <f t="shared" si="2076"/>
        <v>0.5988926857624699</v>
      </c>
      <c r="DJ309" s="73">
        <f>SUM(AV290:AV309,BB290:BB309,BI290:BI309)</f>
        <v>2945.2551487810988</v>
      </c>
      <c r="DK309" s="73">
        <f>SUM(AV296:AV309,BB296:BB309,BI296:BI309)</f>
        <v>2945.2551487810988</v>
      </c>
      <c r="DL309" s="190"/>
    </row>
    <row r="310" spans="22:116" x14ac:dyDescent="0.25">
      <c r="V310" s="13"/>
      <c r="W310" s="197" t="s">
        <v>589</v>
      </c>
      <c r="X310" s="190"/>
      <c r="Y310" s="190"/>
      <c r="Z310" s="190"/>
      <c r="AA310" s="190"/>
      <c r="AB310" s="190"/>
      <c r="AC310" s="190"/>
      <c r="AD310" s="190"/>
      <c r="AE310" s="190"/>
      <c r="AF310" s="190"/>
      <c r="AG310" s="190"/>
      <c r="AH310" s="190"/>
      <c r="AI310" s="190"/>
      <c r="AJ310" s="190"/>
      <c r="AK310" s="190"/>
      <c r="AL310" s="190"/>
      <c r="AM310" s="190"/>
      <c r="AN310" s="190"/>
      <c r="AO310" s="190"/>
      <c r="AP310" s="190"/>
      <c r="AQ310" s="193" t="s">
        <v>90</v>
      </c>
      <c r="AR310" s="25"/>
      <c r="AS310" s="213"/>
      <c r="AT310" s="213"/>
      <c r="AU310" s="213"/>
      <c r="AV310" s="213"/>
      <c r="AW310" s="213"/>
      <c r="AX310" s="213"/>
      <c r="AY310" s="213"/>
      <c r="AZ310" s="213"/>
      <c r="BA310" s="213"/>
      <c r="BB310" s="213"/>
      <c r="BC310" s="213"/>
      <c r="BD310" s="213"/>
      <c r="BE310" s="213"/>
      <c r="BF310" s="213"/>
      <c r="BG310" s="213"/>
      <c r="BH310" s="213"/>
      <c r="BI310" s="213"/>
      <c r="BJ310" s="25"/>
      <c r="BK310" s="25"/>
      <c r="BL310" s="25"/>
      <c r="BM310" s="348" t="s">
        <v>570</v>
      </c>
      <c r="BN310" s="349"/>
      <c r="BO310" s="349"/>
      <c r="BP310" s="349"/>
      <c r="BQ310" s="350" t="s">
        <v>570</v>
      </c>
      <c r="BR310" s="350"/>
      <c r="BS310" s="350"/>
      <c r="BT310" s="350"/>
      <c r="BU310" s="350"/>
      <c r="BV310" s="350"/>
      <c r="BW310" s="350"/>
      <c r="BX310" s="351"/>
      <c r="BY310" s="199"/>
      <c r="BZ310" s="25"/>
      <c r="CA310" s="25"/>
      <c r="CB310" s="350" t="s">
        <v>302</v>
      </c>
      <c r="CC310" s="350"/>
      <c r="CD310" s="350"/>
      <c r="CE310" s="350" t="s">
        <v>302</v>
      </c>
      <c r="CF310" s="350"/>
      <c r="CG310" s="350"/>
      <c r="CH310" s="350"/>
      <c r="CI310" s="350"/>
      <c r="CJ310" s="350"/>
      <c r="CK310" s="350"/>
      <c r="CL310" s="350"/>
      <c r="CM310" s="350" t="s">
        <v>302</v>
      </c>
      <c r="CN310" s="350"/>
      <c r="CO310" s="350"/>
      <c r="CP310" s="350"/>
      <c r="CQ310" s="350"/>
      <c r="CR310" s="350"/>
      <c r="CS310" s="350"/>
      <c r="CT310" s="350"/>
      <c r="CU310" s="350"/>
      <c r="CV310" s="350"/>
      <c r="CW310" s="350"/>
      <c r="CX310" s="350"/>
      <c r="CY310" s="350"/>
      <c r="CZ310" s="190"/>
      <c r="DA310" s="190" t="s">
        <v>100</v>
      </c>
      <c r="DB310" s="217"/>
      <c r="DC310" s="217"/>
      <c r="DD310" s="217"/>
      <c r="DE310" s="217"/>
      <c r="DF310" s="217"/>
      <c r="DG310" s="217"/>
      <c r="DH310" s="222"/>
      <c r="DI310" s="222"/>
      <c r="DJ310" s="217"/>
      <c r="DK310" s="217"/>
      <c r="DL310" s="190"/>
    </row>
    <row r="311" spans="22:116" x14ac:dyDescent="0.25">
      <c r="V311" s="13"/>
      <c r="W311" s="66" t="s">
        <v>88</v>
      </c>
      <c r="X311" s="66" t="s">
        <v>89</v>
      </c>
      <c r="Y311" s="61" t="s">
        <v>320</v>
      </c>
      <c r="Z311" s="61" t="s">
        <v>319</v>
      </c>
      <c r="AA311" s="61" t="s">
        <v>318</v>
      </c>
      <c r="AB311" s="61" t="s">
        <v>317</v>
      </c>
      <c r="AC311" s="61" t="s">
        <v>321</v>
      </c>
      <c r="AD311" s="61" t="s">
        <v>322</v>
      </c>
      <c r="AE311" s="61" t="s">
        <v>323</v>
      </c>
      <c r="AF311" s="61" t="s">
        <v>324</v>
      </c>
      <c r="AG311" s="61" t="s">
        <v>325</v>
      </c>
      <c r="AH311" s="61" t="s">
        <v>326</v>
      </c>
      <c r="AI311" s="61" t="s">
        <v>327</v>
      </c>
      <c r="AJ311" s="61" t="s">
        <v>328</v>
      </c>
      <c r="AK311" s="61" t="s">
        <v>329</v>
      </c>
      <c r="AL311" s="61" t="s">
        <v>330</v>
      </c>
      <c r="AM311" s="61" t="s">
        <v>331</v>
      </c>
      <c r="AN311" s="61" t="s">
        <v>332</v>
      </c>
      <c r="AO311" s="61" t="s">
        <v>333</v>
      </c>
      <c r="AP311" s="190"/>
      <c r="AQ311" s="66" t="s">
        <v>88</v>
      </c>
      <c r="AR311" s="66" t="s">
        <v>89</v>
      </c>
      <c r="AS311" s="214" t="s">
        <v>320</v>
      </c>
      <c r="AT311" s="214" t="s">
        <v>319</v>
      </c>
      <c r="AU311" s="214" t="s">
        <v>318</v>
      </c>
      <c r="AV311" s="214" t="s">
        <v>317</v>
      </c>
      <c r="AW311" s="214" t="s">
        <v>321</v>
      </c>
      <c r="AX311" s="214" t="s">
        <v>322</v>
      </c>
      <c r="AY311" s="214" t="s">
        <v>323</v>
      </c>
      <c r="AZ311" s="214" t="s">
        <v>324</v>
      </c>
      <c r="BA311" s="214" t="s">
        <v>325</v>
      </c>
      <c r="BB311" s="214" t="s">
        <v>326</v>
      </c>
      <c r="BC311" s="214" t="s">
        <v>327</v>
      </c>
      <c r="BD311" s="214" t="s">
        <v>328</v>
      </c>
      <c r="BE311" s="214" t="s">
        <v>329</v>
      </c>
      <c r="BF311" s="214" t="s">
        <v>330</v>
      </c>
      <c r="BG311" s="214" t="s">
        <v>331</v>
      </c>
      <c r="BH311" s="214" t="s">
        <v>332</v>
      </c>
      <c r="BI311" s="214" t="s">
        <v>333</v>
      </c>
      <c r="BJ311" s="182"/>
      <c r="BK311" s="66" t="s">
        <v>88</v>
      </c>
      <c r="BL311" s="66" t="s">
        <v>89</v>
      </c>
      <c r="BM311" s="122" t="s">
        <v>627</v>
      </c>
      <c r="BN311" s="122" t="s">
        <v>715</v>
      </c>
      <c r="BO311" s="122" t="s">
        <v>628</v>
      </c>
      <c r="BP311" s="122" t="s">
        <v>629</v>
      </c>
      <c r="BQ311" s="122" t="s">
        <v>627</v>
      </c>
      <c r="BR311" s="122" t="s">
        <v>716</v>
      </c>
      <c r="BS311" s="122" t="s">
        <v>717</v>
      </c>
      <c r="BT311" s="122" t="s">
        <v>721</v>
      </c>
      <c r="BU311" s="122" t="s">
        <v>720</v>
      </c>
      <c r="BV311" s="122" t="s">
        <v>719</v>
      </c>
      <c r="BW311" s="122" t="s">
        <v>629</v>
      </c>
      <c r="BX311" s="122" t="s">
        <v>722</v>
      </c>
      <c r="BY311" s="182"/>
      <c r="BZ311" s="192" t="s">
        <v>88</v>
      </c>
      <c r="CA311" s="66" t="s">
        <v>89</v>
      </c>
      <c r="CB311" s="218" t="s">
        <v>124</v>
      </c>
      <c r="CC311" s="218" t="s">
        <v>630</v>
      </c>
      <c r="CD311" s="218" t="s">
        <v>570</v>
      </c>
      <c r="CE311" s="218" t="s">
        <v>124</v>
      </c>
      <c r="CF311" s="218" t="s">
        <v>630</v>
      </c>
      <c r="CG311" s="218" t="s">
        <v>631</v>
      </c>
      <c r="CH311" s="218" t="s">
        <v>632</v>
      </c>
      <c r="CI311" s="227" t="s">
        <v>624</v>
      </c>
      <c r="CJ311" s="227" t="s">
        <v>725</v>
      </c>
      <c r="CK311" s="227" t="s">
        <v>625</v>
      </c>
      <c r="CL311" s="227" t="s">
        <v>626</v>
      </c>
      <c r="CM311" s="218" t="s">
        <v>124</v>
      </c>
      <c r="CN311" s="218" t="s">
        <v>633</v>
      </c>
      <c r="CO311" s="218" t="s">
        <v>634</v>
      </c>
      <c r="CP311" s="218" t="s">
        <v>635</v>
      </c>
      <c r="CQ311" s="218" t="s">
        <v>632</v>
      </c>
      <c r="CR311" s="122" t="s">
        <v>624</v>
      </c>
      <c r="CS311" s="122" t="s">
        <v>726</v>
      </c>
      <c r="CT311" s="122" t="s">
        <v>727</v>
      </c>
      <c r="CU311" s="122" t="s">
        <v>637</v>
      </c>
      <c r="CV311" s="122" t="s">
        <v>638</v>
      </c>
      <c r="CW311" s="122" t="s">
        <v>728</v>
      </c>
      <c r="CX311" s="122" t="s">
        <v>626</v>
      </c>
      <c r="CY311" s="122" t="s">
        <v>729</v>
      </c>
      <c r="CZ311" s="190"/>
      <c r="DA311" s="67" t="s">
        <v>89</v>
      </c>
      <c r="DB311" s="219" t="s">
        <v>91</v>
      </c>
      <c r="DC311" s="219" t="s">
        <v>99</v>
      </c>
      <c r="DD311" s="215" t="s">
        <v>92</v>
      </c>
      <c r="DE311" s="215" t="s">
        <v>97</v>
      </c>
      <c r="DF311" s="215" t="s">
        <v>93</v>
      </c>
      <c r="DG311" s="215" t="s">
        <v>94</v>
      </c>
      <c r="DH311" s="223" t="s">
        <v>96</v>
      </c>
      <c r="DI311" s="223" t="s">
        <v>98</v>
      </c>
      <c r="DJ311" s="219" t="s">
        <v>95</v>
      </c>
      <c r="DK311" s="219" t="s">
        <v>102</v>
      </c>
      <c r="DL311" s="190"/>
    </row>
    <row r="312" spans="22:116" x14ac:dyDescent="0.25">
      <c r="V312" s="13"/>
      <c r="W312" s="66">
        <v>0</v>
      </c>
      <c r="X312" s="66">
        <v>2004</v>
      </c>
      <c r="Y312" s="69">
        <v>0</v>
      </c>
      <c r="Z312" s="69">
        <v>0</v>
      </c>
      <c r="AA312" s="69">
        <v>0</v>
      </c>
      <c r="AB312" s="69">
        <v>0</v>
      </c>
      <c r="AC312" s="69">
        <v>0</v>
      </c>
      <c r="AD312" s="69">
        <v>0</v>
      </c>
      <c r="AE312" s="69">
        <v>0</v>
      </c>
      <c r="AF312" s="69">
        <v>0</v>
      </c>
      <c r="AG312" s="69">
        <v>0</v>
      </c>
      <c r="AH312" s="69">
        <v>0</v>
      </c>
      <c r="AI312" s="69">
        <v>0</v>
      </c>
      <c r="AJ312" s="69">
        <v>0</v>
      </c>
      <c r="AK312" s="69">
        <v>0</v>
      </c>
      <c r="AL312" s="69">
        <v>0</v>
      </c>
      <c r="AM312" s="69">
        <v>0</v>
      </c>
      <c r="AN312" s="69">
        <v>0</v>
      </c>
      <c r="AO312" s="69">
        <v>0</v>
      </c>
      <c r="AP312" s="190"/>
      <c r="AQ312" s="66">
        <v>0</v>
      </c>
      <c r="AR312" s="66">
        <v>2004</v>
      </c>
      <c r="AS312" s="215">
        <f t="shared" ref="AS312:AS331" si="2138">Inc_2018*Y312</f>
        <v>0</v>
      </c>
      <c r="AT312" s="215">
        <f t="shared" ref="AT312:AT331" si="2139">Inc_2018*Z312</f>
        <v>0</v>
      </c>
      <c r="AU312" s="215">
        <f t="shared" ref="AU312:AU331" si="2140">Inc_2018*AA312</f>
        <v>0</v>
      </c>
      <c r="AV312" s="215">
        <f t="shared" ref="AV312:AV331" si="2141">Inc_2018*AB312</f>
        <v>0</v>
      </c>
      <c r="AW312" s="215">
        <f t="shared" ref="AW312:AW331" si="2142">Inc_2018*AC312</f>
        <v>0</v>
      </c>
      <c r="AX312" s="215">
        <f t="shared" ref="AX312:AX331" si="2143">Inc_2018*AD312</f>
        <v>0</v>
      </c>
      <c r="AY312" s="215">
        <f t="shared" ref="AY312:AY331" si="2144">Inc_2018*AE312</f>
        <v>0</v>
      </c>
      <c r="AZ312" s="215">
        <f t="shared" ref="AZ312:AZ331" si="2145">Inc_2018*AF312</f>
        <v>0</v>
      </c>
      <c r="BA312" s="215">
        <f t="shared" ref="BA312:BA331" si="2146">Inc_2018*AG312</f>
        <v>0</v>
      </c>
      <c r="BB312" s="215">
        <f t="shared" ref="BB312:BB331" si="2147">Inc_2018*AH312</f>
        <v>0</v>
      </c>
      <c r="BC312" s="215">
        <f t="shared" ref="BC312:BC331" si="2148">Inc_2018*AI312</f>
        <v>0</v>
      </c>
      <c r="BD312" s="215">
        <f t="shared" ref="BD312:BD331" si="2149">Inc_2018*AJ312</f>
        <v>0</v>
      </c>
      <c r="BE312" s="215">
        <f t="shared" ref="BE312:BE331" si="2150">Inc_2018*AK312</f>
        <v>0</v>
      </c>
      <c r="BF312" s="215">
        <f t="shared" ref="BF312:BF331" si="2151">Inc_2018*AL312</f>
        <v>0</v>
      </c>
      <c r="BG312" s="215">
        <f t="shared" ref="BG312:BG331" si="2152">Inc_2018*AM312</f>
        <v>0</v>
      </c>
      <c r="BH312" s="215">
        <f t="shared" ref="BH312:BH331" si="2153">Inc_2018*AN312</f>
        <v>0</v>
      </c>
      <c r="BI312" s="215">
        <f t="shared" ref="BI312:BI331" si="2154">Inc_2018*AO312</f>
        <v>0</v>
      </c>
      <c r="BJ312" s="195"/>
      <c r="BK312" s="66">
        <v>0</v>
      </c>
      <c r="BL312" s="66">
        <v>2004</v>
      </c>
      <c r="BM312" s="215">
        <f>BA312</f>
        <v>0</v>
      </c>
      <c r="BN312" s="219">
        <v>0</v>
      </c>
      <c r="BO312" s="219">
        <v>0</v>
      </c>
      <c r="BP312" s="219">
        <v>0</v>
      </c>
      <c r="BQ312" s="219">
        <f>BH312</f>
        <v>0</v>
      </c>
      <c r="BR312" s="219">
        <v>0</v>
      </c>
      <c r="BS312" s="219">
        <v>0</v>
      </c>
      <c r="BT312" s="219">
        <v>0</v>
      </c>
      <c r="BU312" s="219">
        <v>0</v>
      </c>
      <c r="BV312" s="219">
        <v>0</v>
      </c>
      <c r="BW312" s="219">
        <v>0</v>
      </c>
      <c r="BX312" s="219">
        <v>0</v>
      </c>
      <c r="BY312" s="195"/>
      <c r="BZ312" s="66">
        <v>0</v>
      </c>
      <c r="CA312" s="66">
        <v>2004</v>
      </c>
      <c r="CB312" s="218">
        <v>0</v>
      </c>
      <c r="CC312" s="218">
        <v>0</v>
      </c>
      <c r="CD312" s="218">
        <v>0</v>
      </c>
      <c r="CE312" s="218">
        <v>0</v>
      </c>
      <c r="CF312" s="218">
        <v>0</v>
      </c>
      <c r="CG312" s="218">
        <v>0</v>
      </c>
      <c r="CH312" s="218">
        <v>0</v>
      </c>
      <c r="CI312" s="218">
        <v>0</v>
      </c>
      <c r="CJ312" s="218">
        <v>0</v>
      </c>
      <c r="CK312" s="218">
        <v>0</v>
      </c>
      <c r="CL312" s="218">
        <v>0</v>
      </c>
      <c r="CM312" s="218">
        <v>0</v>
      </c>
      <c r="CN312" s="218">
        <v>0</v>
      </c>
      <c r="CO312" s="218">
        <v>0</v>
      </c>
      <c r="CP312" s="218">
        <v>0</v>
      </c>
      <c r="CQ312" s="218">
        <v>0</v>
      </c>
      <c r="CR312" s="218">
        <v>0</v>
      </c>
      <c r="CS312" s="218">
        <v>0</v>
      </c>
      <c r="CT312" s="218">
        <v>0</v>
      </c>
      <c r="CU312" s="218">
        <v>0</v>
      </c>
      <c r="CV312" s="218">
        <v>0</v>
      </c>
      <c r="CW312" s="218">
        <v>0</v>
      </c>
      <c r="CX312" s="218">
        <v>0</v>
      </c>
      <c r="CY312" s="218">
        <v>0</v>
      </c>
      <c r="CZ312" s="190"/>
      <c r="DA312" s="67">
        <v>2004</v>
      </c>
      <c r="DB312" s="218">
        <f t="shared" ref="DB312:DB331" si="2155">SUM(AT312,AX312,BD312)</f>
        <v>0</v>
      </c>
      <c r="DC312" s="218">
        <f t="shared" ref="DC312:DC331" si="2156">SUM(AS312:AU312,AW312:BA312,BC312:BH312)</f>
        <v>0</v>
      </c>
      <c r="DD312" s="73">
        <f t="shared" ref="DD312:DD331" si="2157">SUM(AY312:AZ312,BE312:BG312)</f>
        <v>0</v>
      </c>
      <c r="DE312" s="73">
        <f t="shared" ref="DE312:DE331" si="2158">SUM(BE312:BG312)</f>
        <v>0</v>
      </c>
      <c r="DF312" s="73">
        <f t="shared" ref="DF312:DF331" si="2159">SUM(BC312,BD312,BH312)</f>
        <v>0</v>
      </c>
      <c r="DG312" s="73">
        <f t="shared" ref="DG312:DG331" si="2160">SUM(BC312,BD312,BH312,AW312,AX312,BA312)</f>
        <v>0</v>
      </c>
      <c r="DH312" s="72" t="e">
        <f>DD312/(DD312+DG312)</f>
        <v>#DIV/0!</v>
      </c>
      <c r="DI312" s="72" t="e">
        <f>DE312/(DE312+DF312)</f>
        <v>#DIV/0!</v>
      </c>
      <c r="DJ312" s="73">
        <f>SUM(AV312,BB312,BI312)</f>
        <v>0</v>
      </c>
      <c r="DK312" s="73">
        <v>0</v>
      </c>
      <c r="DL312" s="190"/>
    </row>
    <row r="313" spans="22:116" x14ac:dyDescent="0.25">
      <c r="V313" s="13"/>
      <c r="W313" s="66">
        <v>1</v>
      </c>
      <c r="X313" s="66">
        <v>2005</v>
      </c>
      <c r="Y313" s="69">
        <v>0</v>
      </c>
      <c r="Z313" s="69">
        <v>0</v>
      </c>
      <c r="AA313" s="69">
        <v>0</v>
      </c>
      <c r="AB313" s="69">
        <v>0</v>
      </c>
      <c r="AC313" s="69">
        <v>0</v>
      </c>
      <c r="AD313" s="69">
        <v>0</v>
      </c>
      <c r="AE313" s="69">
        <v>0</v>
      </c>
      <c r="AF313" s="69">
        <v>0</v>
      </c>
      <c r="AG313" s="69">
        <v>0</v>
      </c>
      <c r="AH313" s="69">
        <v>0</v>
      </c>
      <c r="AI313" s="69">
        <v>0</v>
      </c>
      <c r="AJ313" s="69">
        <v>0</v>
      </c>
      <c r="AK313" s="69">
        <v>0</v>
      </c>
      <c r="AL313" s="69">
        <v>0</v>
      </c>
      <c r="AM313" s="69">
        <v>0</v>
      </c>
      <c r="AN313" s="69">
        <v>0</v>
      </c>
      <c r="AO313" s="69">
        <v>0</v>
      </c>
      <c r="AP313" s="190"/>
      <c r="AQ313" s="66">
        <v>1</v>
      </c>
      <c r="AR313" s="66">
        <v>2005</v>
      </c>
      <c r="AS313" s="215">
        <f t="shared" si="2138"/>
        <v>0</v>
      </c>
      <c r="AT313" s="215">
        <f t="shared" si="2139"/>
        <v>0</v>
      </c>
      <c r="AU313" s="215">
        <f t="shared" si="2140"/>
        <v>0</v>
      </c>
      <c r="AV313" s="215">
        <f t="shared" si="2141"/>
        <v>0</v>
      </c>
      <c r="AW313" s="215">
        <f t="shared" si="2142"/>
        <v>0</v>
      </c>
      <c r="AX313" s="215">
        <f t="shared" si="2143"/>
        <v>0</v>
      </c>
      <c r="AY313" s="215">
        <f t="shared" si="2144"/>
        <v>0</v>
      </c>
      <c r="AZ313" s="215">
        <f t="shared" si="2145"/>
        <v>0</v>
      </c>
      <c r="BA313" s="215">
        <f t="shared" si="2146"/>
        <v>0</v>
      </c>
      <c r="BB313" s="215">
        <f t="shared" si="2147"/>
        <v>0</v>
      </c>
      <c r="BC313" s="215">
        <f t="shared" si="2148"/>
        <v>0</v>
      </c>
      <c r="BD313" s="215">
        <f t="shared" si="2149"/>
        <v>0</v>
      </c>
      <c r="BE313" s="215">
        <f t="shared" si="2150"/>
        <v>0</v>
      </c>
      <c r="BF313" s="215">
        <f t="shared" si="2151"/>
        <v>0</v>
      </c>
      <c r="BG313" s="215">
        <f t="shared" si="2152"/>
        <v>0</v>
      </c>
      <c r="BH313" s="215">
        <f t="shared" si="2153"/>
        <v>0</v>
      </c>
      <c r="BI313" s="215">
        <f t="shared" si="2154"/>
        <v>0</v>
      </c>
      <c r="BJ313" s="195"/>
      <c r="BK313" s="66">
        <v>1</v>
      </c>
      <c r="BL313" s="66">
        <v>2005</v>
      </c>
      <c r="BM313" s="215">
        <f t="shared" ref="BM313:BM320" si="2161">(AX312*pInt_InCare_Int_LTFU_2004_2012)+(BM312*pInt_LTFU_2004_2012)</f>
        <v>0</v>
      </c>
      <c r="BN313" s="219">
        <f t="shared" ref="BN313:BN320" si="2162">(AU312*pAsympt_LTFU_Int_LTFU_2004_2012)+(BN312*pInt_LTFU_2004_2012)</f>
        <v>0</v>
      </c>
      <c r="BO313" s="219">
        <f t="shared" ref="BO313:BO320" si="2163">(AY312*pInt_ART1_Int_LTFU_2004_2012)+(BO312*pInt_LTFU_2004_2012)</f>
        <v>0</v>
      </c>
      <c r="BP313" s="219">
        <v>0</v>
      </c>
      <c r="BQ313" s="219">
        <f t="shared" ref="BQ313:BQ320" si="2164">(BD312*pAIDS_InCare_AIDS_LTFU_2004_2012)+(BQ312*pAIDS_LTFU_2004_2012)</f>
        <v>0</v>
      </c>
      <c r="BR313" s="220">
        <f>(BN312*pInt_LTFU_AIDS_LTFU_2004_2012)</f>
        <v>0</v>
      </c>
      <c r="BS313" s="219">
        <f>(BM312*pInt_LTFU_AIDS_LTFU_2004_2012)</f>
        <v>0</v>
      </c>
      <c r="BT313" s="219">
        <f>(BE312*pAIDS_ART1ear_AIDS_LTFU_2004_2012)</f>
        <v>0</v>
      </c>
      <c r="BU313" s="219">
        <f>(BF312*pAIDS_ART1late_AIDS_LTFU_2004_2012)</f>
        <v>0</v>
      </c>
      <c r="BV313" s="219">
        <f>(BO312*pInt_LTFU_AIDS_LTFU_2004_2012)</f>
        <v>0</v>
      </c>
      <c r="BW313" s="219">
        <f>(BG312*pAIDS_ART2_AIDS_LTFU_2004_2012)</f>
        <v>0</v>
      </c>
      <c r="BX313" s="220">
        <f>(BP312*pInt_LTFU_AIDS_LTFU_2004_2012)</f>
        <v>0</v>
      </c>
      <c r="BY313" s="195"/>
      <c r="BZ313" s="66">
        <v>1</v>
      </c>
      <c r="CA313" s="66">
        <v>2005</v>
      </c>
      <c r="CB313" s="218">
        <f>pAsympt_NoCare_Asympt_Dead_2004_2006*AS312</f>
        <v>0</v>
      </c>
      <c r="CC313" s="218">
        <f t="shared" ref="CC313:CC320" si="2165">pAsympt_InCare_Asympt_Dead_2004_2012*AT312</f>
        <v>0</v>
      </c>
      <c r="CD313" s="73">
        <f t="shared" ref="CD313:CD320" si="2166">pAsympt_LTFU_Asympt_Dead_2004_2012*AU312</f>
        <v>0</v>
      </c>
      <c r="CE313" s="73">
        <f>pInt_NoCare_Int_Dead_2004_2006*AW312</f>
        <v>0</v>
      </c>
      <c r="CF313" s="73">
        <f t="shared" ref="CF313:CF320" si="2167">pInt_InCare_Int_Dead_2004_2012*AX312</f>
        <v>0</v>
      </c>
      <c r="CG313" s="73">
        <f t="shared" ref="CG313:CG320" si="2168">pInt_ART1_Int_Dead_2004_2012*AY312</f>
        <v>0</v>
      </c>
      <c r="CH313" s="73">
        <f t="shared" ref="CH313:CH320" si="2169">pInt_ART2_Int_Dead_2004_2012*AZ312</f>
        <v>0</v>
      </c>
      <c r="CI313" s="73">
        <f t="shared" ref="CI313:CI320" si="2170">(BM312*pInt_LTFU_Int_Dead_2004_2012)</f>
        <v>0</v>
      </c>
      <c r="CJ313" s="73">
        <f t="shared" ref="CJ313:CJ320" si="2171">(BN312*pInt_LTFU_Int_Dead_2004_2012)</f>
        <v>0</v>
      </c>
      <c r="CK313" s="73">
        <f t="shared" ref="CK313:CK320" si="2172">(BO312*pInt_LTFU_Int_Dead_2004_2012)</f>
        <v>0</v>
      </c>
      <c r="CL313" s="73">
        <f t="shared" ref="CL313:CL320" si="2173">(BP312*pInt_LTFU_Int_Dead_2004_2012)</f>
        <v>0</v>
      </c>
      <c r="CM313" s="73">
        <f t="shared" ref="CM313:CM314" si="2174">pAIDS_NoCare_AIDS_Dead_2004_2006*BC312</f>
        <v>0</v>
      </c>
      <c r="CN313" s="73">
        <f t="shared" ref="CN313:CN320" si="2175">pAIDS_InCare_AIDS_Dead_2004_2012*BD312</f>
        <v>0</v>
      </c>
      <c r="CO313" s="73">
        <f t="shared" ref="CO313:CO320" si="2176">pAIDS_ART1ear_AIDS_Dead_2004_2012*BE312</f>
        <v>0</v>
      </c>
      <c r="CP313" s="73">
        <f t="shared" ref="CP313:CP320" si="2177">pAIDS_ART1late_AIDS_Dead_2004_2012*BF312</f>
        <v>0</v>
      </c>
      <c r="CQ313" s="73">
        <f t="shared" ref="CQ313:CQ320" si="2178">pAIDS_ART2_AIDS_Dead_2004_2012*BG312</f>
        <v>0</v>
      </c>
      <c r="CR313" s="73">
        <f t="shared" ref="CR313:CR320" si="2179">(BQ312*pAIDS_LTFU_AIDS_Dead_2004_2012)</f>
        <v>0</v>
      </c>
      <c r="CS313" s="73">
        <f t="shared" ref="CS313:CS320" si="2180">(BR312*pAIDS_LTFU_AIDS_Dead_2004_2012)</f>
        <v>0</v>
      </c>
      <c r="CT313" s="73">
        <f t="shared" ref="CT313:CT320" si="2181">(BS312*pAIDS_LTFU_AIDS_Dead_2004_2012)</f>
        <v>0</v>
      </c>
      <c r="CU313" s="73">
        <f t="shared" ref="CU313:CU320" si="2182">(BT312*pAIDS_LTFU_AIDS_Dead_2004_2012)</f>
        <v>0</v>
      </c>
      <c r="CV313" s="73">
        <f t="shared" ref="CV313:CV320" si="2183">(BU312*pAIDS_LTFU_AIDS_Dead_2004_2012)</f>
        <v>0</v>
      </c>
      <c r="CW313" s="73">
        <f t="shared" ref="CW313:CW320" si="2184">(BV312*pAIDS_LTFU_AIDS_Dead_2004_2012)</f>
        <v>0</v>
      </c>
      <c r="CX313" s="73">
        <f t="shared" ref="CX313:CX320" si="2185">(BW312*pAIDS_LTFU_AIDS_Dead_2004_2012)</f>
        <v>0</v>
      </c>
      <c r="CY313" s="73">
        <f t="shared" ref="CY313:CY320" si="2186">(BX312*pAIDS_LTFU_AIDS_Dead_2004_2012)</f>
        <v>0</v>
      </c>
      <c r="CZ313" s="190"/>
      <c r="DA313" s="67">
        <v>2005</v>
      </c>
      <c r="DB313" s="218">
        <f t="shared" si="2155"/>
        <v>0</v>
      </c>
      <c r="DC313" s="218">
        <f t="shared" si="2156"/>
        <v>0</v>
      </c>
      <c r="DD313" s="73">
        <f t="shared" si="2157"/>
        <v>0</v>
      </c>
      <c r="DE313" s="73">
        <f t="shared" si="2158"/>
        <v>0</v>
      </c>
      <c r="DF313" s="73">
        <f t="shared" si="2159"/>
        <v>0</v>
      </c>
      <c r="DG313" s="73">
        <f t="shared" si="2160"/>
        <v>0</v>
      </c>
      <c r="DH313" s="72" t="e">
        <f t="shared" ref="DH313:DH331" si="2187">DD313/(DD313+DG313)</f>
        <v>#DIV/0!</v>
      </c>
      <c r="DI313" s="72" t="e">
        <f t="shared" ref="DI313:DI331" si="2188">DE313/(DE313+DF313)</f>
        <v>#DIV/0!</v>
      </c>
      <c r="DJ313" s="73">
        <f>SUM(AV312:AV313,BB312:BB313,BI312:BI313)</f>
        <v>0</v>
      </c>
      <c r="DK313" s="73">
        <v>0</v>
      </c>
      <c r="DL313" s="190"/>
    </row>
    <row r="314" spans="22:116" x14ac:dyDescent="0.25">
      <c r="V314" s="13"/>
      <c r="W314" s="66">
        <v>2</v>
      </c>
      <c r="X314" s="66">
        <v>2006</v>
      </c>
      <c r="Y314" s="69">
        <v>0</v>
      </c>
      <c r="Z314" s="69">
        <v>0</v>
      </c>
      <c r="AA314" s="69">
        <v>0</v>
      </c>
      <c r="AB314" s="69">
        <v>0</v>
      </c>
      <c r="AC314" s="69">
        <v>0</v>
      </c>
      <c r="AD314" s="69">
        <v>0</v>
      </c>
      <c r="AE314" s="69">
        <v>0</v>
      </c>
      <c r="AF314" s="69">
        <v>0</v>
      </c>
      <c r="AG314" s="69">
        <v>0</v>
      </c>
      <c r="AH314" s="69">
        <v>0</v>
      </c>
      <c r="AI314" s="69">
        <v>0</v>
      </c>
      <c r="AJ314" s="69">
        <v>0</v>
      </c>
      <c r="AK314" s="69">
        <v>0</v>
      </c>
      <c r="AL314" s="69">
        <v>0</v>
      </c>
      <c r="AM314" s="69">
        <v>0</v>
      </c>
      <c r="AN314" s="69">
        <v>0</v>
      </c>
      <c r="AO314" s="69">
        <v>0</v>
      </c>
      <c r="AP314" s="190"/>
      <c r="AQ314" s="66">
        <v>2</v>
      </c>
      <c r="AR314" s="66">
        <v>2006</v>
      </c>
      <c r="AS314" s="215">
        <f t="shared" si="2138"/>
        <v>0</v>
      </c>
      <c r="AT314" s="215">
        <f t="shared" si="2139"/>
        <v>0</v>
      </c>
      <c r="AU314" s="215">
        <f t="shared" si="2140"/>
        <v>0</v>
      </c>
      <c r="AV314" s="215">
        <f t="shared" si="2141"/>
        <v>0</v>
      </c>
      <c r="AW314" s="215">
        <f t="shared" si="2142"/>
        <v>0</v>
      </c>
      <c r="AX314" s="215">
        <f t="shared" si="2143"/>
        <v>0</v>
      </c>
      <c r="AY314" s="215">
        <f t="shared" si="2144"/>
        <v>0</v>
      </c>
      <c r="AZ314" s="215">
        <f t="shared" si="2145"/>
        <v>0</v>
      </c>
      <c r="BA314" s="215">
        <f t="shared" si="2146"/>
        <v>0</v>
      </c>
      <c r="BB314" s="215">
        <f t="shared" si="2147"/>
        <v>0</v>
      </c>
      <c r="BC314" s="215">
        <f t="shared" si="2148"/>
        <v>0</v>
      </c>
      <c r="BD314" s="215">
        <f t="shared" si="2149"/>
        <v>0</v>
      </c>
      <c r="BE314" s="215">
        <f t="shared" si="2150"/>
        <v>0</v>
      </c>
      <c r="BF314" s="215">
        <f t="shared" si="2151"/>
        <v>0</v>
      </c>
      <c r="BG314" s="215">
        <f t="shared" si="2152"/>
        <v>0</v>
      </c>
      <c r="BH314" s="215">
        <f t="shared" si="2153"/>
        <v>0</v>
      </c>
      <c r="BI314" s="215">
        <f t="shared" si="2154"/>
        <v>0</v>
      </c>
      <c r="BJ314" s="195"/>
      <c r="BK314" s="66">
        <v>2</v>
      </c>
      <c r="BL314" s="66">
        <v>2006</v>
      </c>
      <c r="BM314" s="215">
        <f t="shared" si="2161"/>
        <v>0</v>
      </c>
      <c r="BN314" s="219">
        <f t="shared" si="2162"/>
        <v>0</v>
      </c>
      <c r="BO314" s="219">
        <f t="shared" si="2163"/>
        <v>0</v>
      </c>
      <c r="BP314" s="219">
        <f t="shared" ref="BP314:BP320" si="2189">(AZ313*pInt_ART2_Int_LTFU_2004_2012)+(BP313*pInt_LTFU_2004_2012)</f>
        <v>0</v>
      </c>
      <c r="BQ314" s="219">
        <f t="shared" si="2164"/>
        <v>0</v>
      </c>
      <c r="BR314" s="220">
        <f t="shared" ref="BR314:BR320" si="2190">(BN313*pInt_LTFU_AIDS_LTFU_2004_2012)+(BR313*pAIDS_LTFU_2004_2012)</f>
        <v>0</v>
      </c>
      <c r="BS314" s="219">
        <f t="shared" ref="BS314:BS320" si="2191">(BM313*pInt_LTFU_AIDS_LTFU_2004_2012)+(BS313*pAIDS_LTFU_2004_2012)</f>
        <v>0</v>
      </c>
      <c r="BT314" s="219">
        <f t="shared" ref="BT314:BT320" si="2192">(BE313*pAIDS_ART1ear_AIDS_LTFU_2004_2012)+(BT313*pAIDS_LTFU_2004_2012)</f>
        <v>0</v>
      </c>
      <c r="BU314" s="219">
        <f t="shared" ref="BU314:BU320" si="2193">(BF313*pAIDS_ART1late_AIDS_LTFU_2004_2012)+(BU313*pAIDS_LTFU_2004_2012)</f>
        <v>0</v>
      </c>
      <c r="BV314" s="219">
        <f t="shared" ref="BV314:BV320" si="2194">(BO313*pInt_LTFU_AIDS_LTFU_2004_2012)+(BV313*pAIDS_LTFU_2004_2012)</f>
        <v>0</v>
      </c>
      <c r="BW314" s="219">
        <f t="shared" ref="BW314:BW320" si="2195">(BG313*pAIDS_ART2_AIDS_LTFU_2004_2012)+(BW313*pAIDS_LTFU_2004_2012)</f>
        <v>0</v>
      </c>
      <c r="BX314" s="220">
        <f t="shared" ref="BX314:BX320" si="2196">(BP313*pInt_LTFU_AIDS_LTFU_2004_2012)+(BX313*pAIDS_LTFU_2004_2012)</f>
        <v>0</v>
      </c>
      <c r="BY314" s="195"/>
      <c r="BZ314" s="66">
        <v>2</v>
      </c>
      <c r="CA314" s="66">
        <v>2006</v>
      </c>
      <c r="CB314" s="218">
        <f>pAsympt_NoCare_Asympt_Dead_2004_2006*AS313</f>
        <v>0</v>
      </c>
      <c r="CC314" s="218">
        <f t="shared" si="2165"/>
        <v>0</v>
      </c>
      <c r="CD314" s="73">
        <f t="shared" si="2166"/>
        <v>0</v>
      </c>
      <c r="CE314" s="73">
        <f>pInt_NoCare_Int_Dead_2004_2006*AW313</f>
        <v>0</v>
      </c>
      <c r="CF314" s="73">
        <f t="shared" si="2167"/>
        <v>0</v>
      </c>
      <c r="CG314" s="73">
        <f t="shared" si="2168"/>
        <v>0</v>
      </c>
      <c r="CH314" s="73">
        <f t="shared" si="2169"/>
        <v>0</v>
      </c>
      <c r="CI314" s="73">
        <f t="shared" si="2170"/>
        <v>0</v>
      </c>
      <c r="CJ314" s="73">
        <f t="shared" si="2171"/>
        <v>0</v>
      </c>
      <c r="CK314" s="73">
        <f t="shared" si="2172"/>
        <v>0</v>
      </c>
      <c r="CL314" s="73">
        <f t="shared" si="2173"/>
        <v>0</v>
      </c>
      <c r="CM314" s="73">
        <f t="shared" si="2174"/>
        <v>0</v>
      </c>
      <c r="CN314" s="73">
        <f t="shared" si="2175"/>
        <v>0</v>
      </c>
      <c r="CO314" s="73">
        <f t="shared" si="2176"/>
        <v>0</v>
      </c>
      <c r="CP314" s="73">
        <f t="shared" si="2177"/>
        <v>0</v>
      </c>
      <c r="CQ314" s="73">
        <f t="shared" si="2178"/>
        <v>0</v>
      </c>
      <c r="CR314" s="73">
        <f t="shared" si="2179"/>
        <v>0</v>
      </c>
      <c r="CS314" s="73">
        <f t="shared" si="2180"/>
        <v>0</v>
      </c>
      <c r="CT314" s="73">
        <f t="shared" si="2181"/>
        <v>0</v>
      </c>
      <c r="CU314" s="73">
        <f t="shared" si="2182"/>
        <v>0</v>
      </c>
      <c r="CV314" s="73">
        <f t="shared" si="2183"/>
        <v>0</v>
      </c>
      <c r="CW314" s="73">
        <f t="shared" si="2184"/>
        <v>0</v>
      </c>
      <c r="CX314" s="73">
        <f t="shared" si="2185"/>
        <v>0</v>
      </c>
      <c r="CY314" s="73">
        <f t="shared" si="2186"/>
        <v>0</v>
      </c>
      <c r="CZ314" s="190"/>
      <c r="DA314" s="66">
        <v>2006</v>
      </c>
      <c r="DB314" s="218">
        <f t="shared" si="2155"/>
        <v>0</v>
      </c>
      <c r="DC314" s="218">
        <f t="shared" si="2156"/>
        <v>0</v>
      </c>
      <c r="DD314" s="73">
        <f t="shared" si="2157"/>
        <v>0</v>
      </c>
      <c r="DE314" s="73">
        <f t="shared" si="2158"/>
        <v>0</v>
      </c>
      <c r="DF314" s="73">
        <f t="shared" si="2159"/>
        <v>0</v>
      </c>
      <c r="DG314" s="73">
        <f t="shared" si="2160"/>
        <v>0</v>
      </c>
      <c r="DH314" s="72" t="e">
        <f t="shared" si="2187"/>
        <v>#DIV/0!</v>
      </c>
      <c r="DI314" s="72" t="e">
        <f t="shared" si="2188"/>
        <v>#DIV/0!</v>
      </c>
      <c r="DJ314" s="73">
        <f>SUM(AV312:AV314,BB312:BB314,BI312:BI314)</f>
        <v>0</v>
      </c>
      <c r="DK314" s="73">
        <v>0</v>
      </c>
      <c r="DL314" s="190"/>
    </row>
    <row r="315" spans="22:116" x14ac:dyDescent="0.25">
      <c r="V315" s="13"/>
      <c r="W315" s="66">
        <v>3</v>
      </c>
      <c r="X315" s="66">
        <v>2007</v>
      </c>
      <c r="Y315" s="69">
        <v>0</v>
      </c>
      <c r="Z315" s="69">
        <v>0</v>
      </c>
      <c r="AA315" s="69">
        <v>0</v>
      </c>
      <c r="AB315" s="69">
        <v>0</v>
      </c>
      <c r="AC315" s="69">
        <v>0</v>
      </c>
      <c r="AD315" s="69">
        <v>0</v>
      </c>
      <c r="AE315" s="69">
        <v>0</v>
      </c>
      <c r="AF315" s="69">
        <v>0</v>
      </c>
      <c r="AG315" s="69">
        <v>0</v>
      </c>
      <c r="AH315" s="69">
        <v>0</v>
      </c>
      <c r="AI315" s="69">
        <v>0</v>
      </c>
      <c r="AJ315" s="69">
        <v>0</v>
      </c>
      <c r="AK315" s="69">
        <v>0</v>
      </c>
      <c r="AL315" s="69">
        <v>0</v>
      </c>
      <c r="AM315" s="69">
        <v>0</v>
      </c>
      <c r="AN315" s="69">
        <v>0</v>
      </c>
      <c r="AO315" s="69">
        <v>0</v>
      </c>
      <c r="AP315" s="190"/>
      <c r="AQ315" s="66">
        <v>3</v>
      </c>
      <c r="AR315" s="66">
        <v>2007</v>
      </c>
      <c r="AS315" s="215">
        <f t="shared" si="2138"/>
        <v>0</v>
      </c>
      <c r="AT315" s="215">
        <f t="shared" si="2139"/>
        <v>0</v>
      </c>
      <c r="AU315" s="215">
        <f t="shared" si="2140"/>
        <v>0</v>
      </c>
      <c r="AV315" s="215">
        <f t="shared" si="2141"/>
        <v>0</v>
      </c>
      <c r="AW315" s="215">
        <f t="shared" si="2142"/>
        <v>0</v>
      </c>
      <c r="AX315" s="215">
        <f t="shared" si="2143"/>
        <v>0</v>
      </c>
      <c r="AY315" s="215">
        <f t="shared" si="2144"/>
        <v>0</v>
      </c>
      <c r="AZ315" s="215">
        <f t="shared" si="2145"/>
        <v>0</v>
      </c>
      <c r="BA315" s="215">
        <f t="shared" si="2146"/>
        <v>0</v>
      </c>
      <c r="BB315" s="215">
        <f t="shared" si="2147"/>
        <v>0</v>
      </c>
      <c r="BC315" s="215">
        <f t="shared" si="2148"/>
        <v>0</v>
      </c>
      <c r="BD315" s="215">
        <f t="shared" si="2149"/>
        <v>0</v>
      </c>
      <c r="BE315" s="215">
        <f t="shared" si="2150"/>
        <v>0</v>
      </c>
      <c r="BF315" s="215">
        <f t="shared" si="2151"/>
        <v>0</v>
      </c>
      <c r="BG315" s="215">
        <f t="shared" si="2152"/>
        <v>0</v>
      </c>
      <c r="BH315" s="215">
        <f t="shared" si="2153"/>
        <v>0</v>
      </c>
      <c r="BI315" s="215">
        <f t="shared" si="2154"/>
        <v>0</v>
      </c>
      <c r="BJ315" s="195"/>
      <c r="BK315" s="66">
        <v>3</v>
      </c>
      <c r="BL315" s="66">
        <v>2007</v>
      </c>
      <c r="BM315" s="215">
        <f t="shared" si="2161"/>
        <v>0</v>
      </c>
      <c r="BN315" s="219">
        <f t="shared" si="2162"/>
        <v>0</v>
      </c>
      <c r="BO315" s="219">
        <f t="shared" si="2163"/>
        <v>0</v>
      </c>
      <c r="BP315" s="219">
        <f t="shared" si="2189"/>
        <v>0</v>
      </c>
      <c r="BQ315" s="219">
        <f t="shared" si="2164"/>
        <v>0</v>
      </c>
      <c r="BR315" s="220">
        <f t="shared" si="2190"/>
        <v>0</v>
      </c>
      <c r="BS315" s="219">
        <f t="shared" si="2191"/>
        <v>0</v>
      </c>
      <c r="BT315" s="219">
        <f t="shared" si="2192"/>
        <v>0</v>
      </c>
      <c r="BU315" s="219">
        <f t="shared" si="2193"/>
        <v>0</v>
      </c>
      <c r="BV315" s="219">
        <f t="shared" si="2194"/>
        <v>0</v>
      </c>
      <c r="BW315" s="219">
        <f t="shared" si="2195"/>
        <v>0</v>
      </c>
      <c r="BX315" s="220">
        <f t="shared" si="2196"/>
        <v>0</v>
      </c>
      <c r="BY315" s="195"/>
      <c r="BZ315" s="66">
        <v>3</v>
      </c>
      <c r="CA315" s="66">
        <v>2007</v>
      </c>
      <c r="CB315" s="218">
        <f>pAsympt_NoCare_Asympt_Dead_2007_2009*AS314</f>
        <v>0</v>
      </c>
      <c r="CC315" s="218">
        <f t="shared" si="2165"/>
        <v>0</v>
      </c>
      <c r="CD315" s="73">
        <f t="shared" si="2166"/>
        <v>0</v>
      </c>
      <c r="CE315" s="73">
        <f>pInt_NoCare_Int_Dead_2007_2009*AW314</f>
        <v>0</v>
      </c>
      <c r="CF315" s="73">
        <f t="shared" si="2167"/>
        <v>0</v>
      </c>
      <c r="CG315" s="73">
        <f t="shared" si="2168"/>
        <v>0</v>
      </c>
      <c r="CH315" s="73">
        <f t="shared" si="2169"/>
        <v>0</v>
      </c>
      <c r="CI315" s="73">
        <f t="shared" si="2170"/>
        <v>0</v>
      </c>
      <c r="CJ315" s="73">
        <f t="shared" si="2171"/>
        <v>0</v>
      </c>
      <c r="CK315" s="73">
        <f t="shared" si="2172"/>
        <v>0</v>
      </c>
      <c r="CL315" s="73">
        <f t="shared" si="2173"/>
        <v>0</v>
      </c>
      <c r="CM315" s="73">
        <f>pAIDS_NoCare_AIDS_Dead_2007_2009*BC314</f>
        <v>0</v>
      </c>
      <c r="CN315" s="73">
        <f t="shared" si="2175"/>
        <v>0</v>
      </c>
      <c r="CO315" s="73">
        <f t="shared" si="2176"/>
        <v>0</v>
      </c>
      <c r="CP315" s="73">
        <f t="shared" si="2177"/>
        <v>0</v>
      </c>
      <c r="CQ315" s="73">
        <f t="shared" si="2178"/>
        <v>0</v>
      </c>
      <c r="CR315" s="73">
        <f t="shared" si="2179"/>
        <v>0</v>
      </c>
      <c r="CS315" s="73">
        <f t="shared" si="2180"/>
        <v>0</v>
      </c>
      <c r="CT315" s="73">
        <f t="shared" si="2181"/>
        <v>0</v>
      </c>
      <c r="CU315" s="73">
        <f t="shared" si="2182"/>
        <v>0</v>
      </c>
      <c r="CV315" s="73">
        <f t="shared" si="2183"/>
        <v>0</v>
      </c>
      <c r="CW315" s="73">
        <f t="shared" si="2184"/>
        <v>0</v>
      </c>
      <c r="CX315" s="73">
        <f t="shared" si="2185"/>
        <v>0</v>
      </c>
      <c r="CY315" s="73">
        <f t="shared" si="2186"/>
        <v>0</v>
      </c>
      <c r="CZ315" s="190"/>
      <c r="DA315" s="66">
        <v>2007</v>
      </c>
      <c r="DB315" s="218">
        <f t="shared" si="2155"/>
        <v>0</v>
      </c>
      <c r="DC315" s="218">
        <f t="shared" si="2156"/>
        <v>0</v>
      </c>
      <c r="DD315" s="73">
        <f t="shared" si="2157"/>
        <v>0</v>
      </c>
      <c r="DE315" s="73">
        <f t="shared" si="2158"/>
        <v>0</v>
      </c>
      <c r="DF315" s="73">
        <f t="shared" si="2159"/>
        <v>0</v>
      </c>
      <c r="DG315" s="73">
        <f t="shared" si="2160"/>
        <v>0</v>
      </c>
      <c r="DH315" s="72" t="e">
        <f t="shared" si="2187"/>
        <v>#DIV/0!</v>
      </c>
      <c r="DI315" s="72" t="e">
        <f t="shared" si="2188"/>
        <v>#DIV/0!</v>
      </c>
      <c r="DJ315" s="73">
        <f>SUM(AV312:AV315,BB312:BB315,BI312:BI315)</f>
        <v>0</v>
      </c>
      <c r="DK315" s="218">
        <v>0</v>
      </c>
      <c r="DL315" s="190"/>
    </row>
    <row r="316" spans="22:116" x14ac:dyDescent="0.25">
      <c r="V316" s="13"/>
      <c r="W316" s="66">
        <v>4</v>
      </c>
      <c r="X316" s="66">
        <v>2008</v>
      </c>
      <c r="Y316" s="69">
        <v>0</v>
      </c>
      <c r="Z316" s="69">
        <v>0</v>
      </c>
      <c r="AA316" s="69">
        <v>0</v>
      </c>
      <c r="AB316" s="69">
        <v>0</v>
      </c>
      <c r="AC316" s="69">
        <v>0</v>
      </c>
      <c r="AD316" s="69">
        <v>0</v>
      </c>
      <c r="AE316" s="69">
        <v>0</v>
      </c>
      <c r="AF316" s="69">
        <v>0</v>
      </c>
      <c r="AG316" s="69">
        <v>0</v>
      </c>
      <c r="AH316" s="69">
        <v>0</v>
      </c>
      <c r="AI316" s="69">
        <v>0</v>
      </c>
      <c r="AJ316" s="69">
        <v>0</v>
      </c>
      <c r="AK316" s="69">
        <v>0</v>
      </c>
      <c r="AL316" s="69">
        <v>0</v>
      </c>
      <c r="AM316" s="69">
        <v>0</v>
      </c>
      <c r="AN316" s="69">
        <v>0</v>
      </c>
      <c r="AO316" s="69">
        <v>0</v>
      </c>
      <c r="AP316" s="190"/>
      <c r="AQ316" s="66">
        <v>4</v>
      </c>
      <c r="AR316" s="66">
        <v>2008</v>
      </c>
      <c r="AS316" s="215">
        <f t="shared" si="2138"/>
        <v>0</v>
      </c>
      <c r="AT316" s="215">
        <f t="shared" si="2139"/>
        <v>0</v>
      </c>
      <c r="AU316" s="215">
        <f t="shared" si="2140"/>
        <v>0</v>
      </c>
      <c r="AV316" s="215">
        <f t="shared" si="2141"/>
        <v>0</v>
      </c>
      <c r="AW316" s="215">
        <f t="shared" si="2142"/>
        <v>0</v>
      </c>
      <c r="AX316" s="215">
        <f t="shared" si="2143"/>
        <v>0</v>
      </c>
      <c r="AY316" s="215">
        <f t="shared" si="2144"/>
        <v>0</v>
      </c>
      <c r="AZ316" s="215">
        <f t="shared" si="2145"/>
        <v>0</v>
      </c>
      <c r="BA316" s="215">
        <f t="shared" si="2146"/>
        <v>0</v>
      </c>
      <c r="BB316" s="215">
        <f t="shared" si="2147"/>
        <v>0</v>
      </c>
      <c r="BC316" s="215">
        <f t="shared" si="2148"/>
        <v>0</v>
      </c>
      <c r="BD316" s="215">
        <f t="shared" si="2149"/>
        <v>0</v>
      </c>
      <c r="BE316" s="215">
        <f t="shared" si="2150"/>
        <v>0</v>
      </c>
      <c r="BF316" s="215">
        <f t="shared" si="2151"/>
        <v>0</v>
      </c>
      <c r="BG316" s="215">
        <f t="shared" si="2152"/>
        <v>0</v>
      </c>
      <c r="BH316" s="215">
        <f t="shared" si="2153"/>
        <v>0</v>
      </c>
      <c r="BI316" s="215">
        <f t="shared" si="2154"/>
        <v>0</v>
      </c>
      <c r="BJ316" s="195"/>
      <c r="BK316" s="66">
        <v>4</v>
      </c>
      <c r="BL316" s="66">
        <v>2008</v>
      </c>
      <c r="BM316" s="215">
        <f t="shared" si="2161"/>
        <v>0</v>
      </c>
      <c r="BN316" s="219">
        <f t="shared" si="2162"/>
        <v>0</v>
      </c>
      <c r="BO316" s="219">
        <f t="shared" si="2163"/>
        <v>0</v>
      </c>
      <c r="BP316" s="219">
        <f t="shared" si="2189"/>
        <v>0</v>
      </c>
      <c r="BQ316" s="219">
        <f t="shared" si="2164"/>
        <v>0</v>
      </c>
      <c r="BR316" s="220">
        <f t="shared" si="2190"/>
        <v>0</v>
      </c>
      <c r="BS316" s="219">
        <f t="shared" si="2191"/>
        <v>0</v>
      </c>
      <c r="BT316" s="219">
        <f t="shared" si="2192"/>
        <v>0</v>
      </c>
      <c r="BU316" s="219">
        <f t="shared" si="2193"/>
        <v>0</v>
      </c>
      <c r="BV316" s="219">
        <f t="shared" si="2194"/>
        <v>0</v>
      </c>
      <c r="BW316" s="219">
        <f t="shared" si="2195"/>
        <v>0</v>
      </c>
      <c r="BX316" s="220">
        <f t="shared" si="2196"/>
        <v>0</v>
      </c>
      <c r="BY316" s="195"/>
      <c r="BZ316" s="66">
        <v>4</v>
      </c>
      <c r="CA316" s="66">
        <v>2008</v>
      </c>
      <c r="CB316" s="218">
        <f>pAsympt_NoCare_Asympt_Dead_2007_2009*AS315</f>
        <v>0</v>
      </c>
      <c r="CC316" s="218">
        <f t="shared" si="2165"/>
        <v>0</v>
      </c>
      <c r="CD316" s="73">
        <f t="shared" si="2166"/>
        <v>0</v>
      </c>
      <c r="CE316" s="73">
        <f>pInt_NoCare_Int_Dead_2007_2009*AW315</f>
        <v>0</v>
      </c>
      <c r="CF316" s="73">
        <f t="shared" si="2167"/>
        <v>0</v>
      </c>
      <c r="CG316" s="73">
        <f t="shared" si="2168"/>
        <v>0</v>
      </c>
      <c r="CH316" s="73">
        <f t="shared" si="2169"/>
        <v>0</v>
      </c>
      <c r="CI316" s="73">
        <f t="shared" si="2170"/>
        <v>0</v>
      </c>
      <c r="CJ316" s="73">
        <f t="shared" si="2171"/>
        <v>0</v>
      </c>
      <c r="CK316" s="73">
        <f t="shared" si="2172"/>
        <v>0</v>
      </c>
      <c r="CL316" s="73">
        <f t="shared" si="2173"/>
        <v>0</v>
      </c>
      <c r="CM316" s="73">
        <f>pAIDS_NoCare_AIDS_Dead_2007_2009*BC315</f>
        <v>0</v>
      </c>
      <c r="CN316" s="73">
        <f t="shared" si="2175"/>
        <v>0</v>
      </c>
      <c r="CO316" s="73">
        <f t="shared" si="2176"/>
        <v>0</v>
      </c>
      <c r="CP316" s="73">
        <f t="shared" si="2177"/>
        <v>0</v>
      </c>
      <c r="CQ316" s="73">
        <f t="shared" si="2178"/>
        <v>0</v>
      </c>
      <c r="CR316" s="73">
        <f t="shared" si="2179"/>
        <v>0</v>
      </c>
      <c r="CS316" s="73">
        <f t="shared" si="2180"/>
        <v>0</v>
      </c>
      <c r="CT316" s="73">
        <f t="shared" si="2181"/>
        <v>0</v>
      </c>
      <c r="CU316" s="73">
        <f t="shared" si="2182"/>
        <v>0</v>
      </c>
      <c r="CV316" s="73">
        <f t="shared" si="2183"/>
        <v>0</v>
      </c>
      <c r="CW316" s="73">
        <f t="shared" si="2184"/>
        <v>0</v>
      </c>
      <c r="CX316" s="73">
        <f t="shared" si="2185"/>
        <v>0</v>
      </c>
      <c r="CY316" s="73">
        <f t="shared" si="2186"/>
        <v>0</v>
      </c>
      <c r="CZ316" s="190"/>
      <c r="DA316" s="66">
        <v>2008</v>
      </c>
      <c r="DB316" s="218">
        <f t="shared" si="2155"/>
        <v>0</v>
      </c>
      <c r="DC316" s="218">
        <f t="shared" si="2156"/>
        <v>0</v>
      </c>
      <c r="DD316" s="73">
        <f t="shared" si="2157"/>
        <v>0</v>
      </c>
      <c r="DE316" s="73">
        <f t="shared" si="2158"/>
        <v>0</v>
      </c>
      <c r="DF316" s="73">
        <f t="shared" si="2159"/>
        <v>0</v>
      </c>
      <c r="DG316" s="73">
        <f t="shared" si="2160"/>
        <v>0</v>
      </c>
      <c r="DH316" s="72" t="e">
        <f t="shared" si="2187"/>
        <v>#DIV/0!</v>
      </c>
      <c r="DI316" s="72" t="e">
        <f t="shared" si="2188"/>
        <v>#DIV/0!</v>
      </c>
      <c r="DJ316" s="73">
        <f>SUM(AV312:AV316,BB312:BB316,BI312:BI316)</f>
        <v>0</v>
      </c>
      <c r="DK316" s="218">
        <v>0</v>
      </c>
      <c r="DL316" s="190"/>
    </row>
    <row r="317" spans="22:116" x14ac:dyDescent="0.25">
      <c r="V317" s="13"/>
      <c r="W317" s="66">
        <v>5</v>
      </c>
      <c r="X317" s="66">
        <v>2009</v>
      </c>
      <c r="Y317" s="69">
        <v>0</v>
      </c>
      <c r="Z317" s="69">
        <v>0</v>
      </c>
      <c r="AA317" s="69">
        <v>0</v>
      </c>
      <c r="AB317" s="69">
        <v>0</v>
      </c>
      <c r="AC317" s="69">
        <v>0</v>
      </c>
      <c r="AD317" s="69">
        <v>0</v>
      </c>
      <c r="AE317" s="69">
        <v>0</v>
      </c>
      <c r="AF317" s="69">
        <v>0</v>
      </c>
      <c r="AG317" s="69">
        <v>0</v>
      </c>
      <c r="AH317" s="69">
        <v>0</v>
      </c>
      <c r="AI317" s="69">
        <v>0</v>
      </c>
      <c r="AJ317" s="69">
        <v>0</v>
      </c>
      <c r="AK317" s="69">
        <v>0</v>
      </c>
      <c r="AL317" s="69">
        <v>0</v>
      </c>
      <c r="AM317" s="69">
        <v>0</v>
      </c>
      <c r="AN317" s="69">
        <v>0</v>
      </c>
      <c r="AO317" s="69">
        <v>0</v>
      </c>
      <c r="AP317" s="190"/>
      <c r="AQ317" s="66">
        <v>5</v>
      </c>
      <c r="AR317" s="66">
        <v>2009</v>
      </c>
      <c r="AS317" s="215">
        <f t="shared" si="2138"/>
        <v>0</v>
      </c>
      <c r="AT317" s="215">
        <f t="shared" si="2139"/>
        <v>0</v>
      </c>
      <c r="AU317" s="215">
        <f t="shared" si="2140"/>
        <v>0</v>
      </c>
      <c r="AV317" s="215">
        <f t="shared" si="2141"/>
        <v>0</v>
      </c>
      <c r="AW317" s="215">
        <f t="shared" si="2142"/>
        <v>0</v>
      </c>
      <c r="AX317" s="215">
        <f t="shared" si="2143"/>
        <v>0</v>
      </c>
      <c r="AY317" s="215">
        <f t="shared" si="2144"/>
        <v>0</v>
      </c>
      <c r="AZ317" s="215">
        <f t="shared" si="2145"/>
        <v>0</v>
      </c>
      <c r="BA317" s="215">
        <f t="shared" si="2146"/>
        <v>0</v>
      </c>
      <c r="BB317" s="215">
        <f t="shared" si="2147"/>
        <v>0</v>
      </c>
      <c r="BC317" s="215">
        <f t="shared" si="2148"/>
        <v>0</v>
      </c>
      <c r="BD317" s="215">
        <f t="shared" si="2149"/>
        <v>0</v>
      </c>
      <c r="BE317" s="215">
        <f t="shared" si="2150"/>
        <v>0</v>
      </c>
      <c r="BF317" s="215">
        <f t="shared" si="2151"/>
        <v>0</v>
      </c>
      <c r="BG317" s="215">
        <f t="shared" si="2152"/>
        <v>0</v>
      </c>
      <c r="BH317" s="215">
        <f t="shared" si="2153"/>
        <v>0</v>
      </c>
      <c r="BI317" s="215">
        <f t="shared" si="2154"/>
        <v>0</v>
      </c>
      <c r="BJ317" s="195"/>
      <c r="BK317" s="66">
        <v>5</v>
      </c>
      <c r="BL317" s="66">
        <v>2009</v>
      </c>
      <c r="BM317" s="215">
        <f t="shared" si="2161"/>
        <v>0</v>
      </c>
      <c r="BN317" s="219">
        <f t="shared" si="2162"/>
        <v>0</v>
      </c>
      <c r="BO317" s="219">
        <f t="shared" si="2163"/>
        <v>0</v>
      </c>
      <c r="BP317" s="219">
        <f t="shared" si="2189"/>
        <v>0</v>
      </c>
      <c r="BQ317" s="219">
        <f t="shared" si="2164"/>
        <v>0</v>
      </c>
      <c r="BR317" s="220">
        <f t="shared" si="2190"/>
        <v>0</v>
      </c>
      <c r="BS317" s="219">
        <f t="shared" si="2191"/>
        <v>0</v>
      </c>
      <c r="BT317" s="219">
        <f t="shared" si="2192"/>
        <v>0</v>
      </c>
      <c r="BU317" s="219">
        <f t="shared" si="2193"/>
        <v>0</v>
      </c>
      <c r="BV317" s="219">
        <f t="shared" si="2194"/>
        <v>0</v>
      </c>
      <c r="BW317" s="219">
        <f t="shared" si="2195"/>
        <v>0</v>
      </c>
      <c r="BX317" s="220">
        <f t="shared" si="2196"/>
        <v>0</v>
      </c>
      <c r="BY317" s="195"/>
      <c r="BZ317" s="66">
        <v>5</v>
      </c>
      <c r="CA317" s="66">
        <v>2009</v>
      </c>
      <c r="CB317" s="218">
        <f>pAsympt_NoCare_Asympt_Dead_2007_2009*AS316</f>
        <v>0</v>
      </c>
      <c r="CC317" s="218">
        <f t="shared" si="2165"/>
        <v>0</v>
      </c>
      <c r="CD317" s="73">
        <f t="shared" si="2166"/>
        <v>0</v>
      </c>
      <c r="CE317" s="73">
        <f>pInt_NoCare_Int_Dead_2007_2009*AW316</f>
        <v>0</v>
      </c>
      <c r="CF317" s="73">
        <f t="shared" si="2167"/>
        <v>0</v>
      </c>
      <c r="CG317" s="73">
        <f t="shared" si="2168"/>
        <v>0</v>
      </c>
      <c r="CH317" s="73">
        <f t="shared" si="2169"/>
        <v>0</v>
      </c>
      <c r="CI317" s="73">
        <f t="shared" si="2170"/>
        <v>0</v>
      </c>
      <c r="CJ317" s="73">
        <f t="shared" si="2171"/>
        <v>0</v>
      </c>
      <c r="CK317" s="73">
        <f t="shared" si="2172"/>
        <v>0</v>
      </c>
      <c r="CL317" s="73">
        <f t="shared" si="2173"/>
        <v>0</v>
      </c>
      <c r="CM317" s="73">
        <f>pAIDS_NoCare_AIDS_Dead_2007_2009*BC316</f>
        <v>0</v>
      </c>
      <c r="CN317" s="73">
        <f t="shared" si="2175"/>
        <v>0</v>
      </c>
      <c r="CO317" s="73">
        <f t="shared" si="2176"/>
        <v>0</v>
      </c>
      <c r="CP317" s="73">
        <f t="shared" si="2177"/>
        <v>0</v>
      </c>
      <c r="CQ317" s="73">
        <f t="shared" si="2178"/>
        <v>0</v>
      </c>
      <c r="CR317" s="73">
        <f t="shared" si="2179"/>
        <v>0</v>
      </c>
      <c r="CS317" s="73">
        <f t="shared" si="2180"/>
        <v>0</v>
      </c>
      <c r="CT317" s="73">
        <f t="shared" si="2181"/>
        <v>0</v>
      </c>
      <c r="CU317" s="73">
        <f t="shared" si="2182"/>
        <v>0</v>
      </c>
      <c r="CV317" s="73">
        <f t="shared" si="2183"/>
        <v>0</v>
      </c>
      <c r="CW317" s="73">
        <f t="shared" si="2184"/>
        <v>0</v>
      </c>
      <c r="CX317" s="73">
        <f t="shared" si="2185"/>
        <v>0</v>
      </c>
      <c r="CY317" s="73">
        <f t="shared" si="2186"/>
        <v>0</v>
      </c>
      <c r="CZ317" s="190"/>
      <c r="DA317" s="66">
        <v>2009</v>
      </c>
      <c r="DB317" s="218">
        <f t="shared" si="2155"/>
        <v>0</v>
      </c>
      <c r="DC317" s="218">
        <f t="shared" si="2156"/>
        <v>0</v>
      </c>
      <c r="DD317" s="73">
        <f t="shared" si="2157"/>
        <v>0</v>
      </c>
      <c r="DE317" s="73">
        <f t="shared" si="2158"/>
        <v>0</v>
      </c>
      <c r="DF317" s="73">
        <f t="shared" si="2159"/>
        <v>0</v>
      </c>
      <c r="DG317" s="73">
        <f t="shared" si="2160"/>
        <v>0</v>
      </c>
      <c r="DH317" s="72" t="e">
        <f t="shared" si="2187"/>
        <v>#DIV/0!</v>
      </c>
      <c r="DI317" s="72" t="e">
        <f t="shared" si="2188"/>
        <v>#DIV/0!</v>
      </c>
      <c r="DJ317" s="73">
        <f>SUM(AV312:AV317,BB312:BB317,BI312:BI317)</f>
        <v>0</v>
      </c>
      <c r="DK317" s="218">
        <v>0</v>
      </c>
      <c r="DL317" s="190"/>
    </row>
    <row r="318" spans="22:116" x14ac:dyDescent="0.25">
      <c r="V318" s="13"/>
      <c r="W318" s="66">
        <v>6</v>
      </c>
      <c r="X318" s="66">
        <v>2010</v>
      </c>
      <c r="Y318" s="69">
        <v>0</v>
      </c>
      <c r="Z318" s="69">
        <v>0</v>
      </c>
      <c r="AA318" s="69">
        <v>0</v>
      </c>
      <c r="AB318" s="69">
        <v>0</v>
      </c>
      <c r="AC318" s="69">
        <v>0</v>
      </c>
      <c r="AD318" s="69">
        <v>0</v>
      </c>
      <c r="AE318" s="69">
        <v>0</v>
      </c>
      <c r="AF318" s="69">
        <v>0</v>
      </c>
      <c r="AG318" s="69">
        <v>0</v>
      </c>
      <c r="AH318" s="69">
        <v>0</v>
      </c>
      <c r="AI318" s="69">
        <v>0</v>
      </c>
      <c r="AJ318" s="69">
        <v>0</v>
      </c>
      <c r="AK318" s="69">
        <v>0</v>
      </c>
      <c r="AL318" s="69">
        <v>0</v>
      </c>
      <c r="AM318" s="69">
        <v>0</v>
      </c>
      <c r="AN318" s="69">
        <v>0</v>
      </c>
      <c r="AO318" s="69">
        <v>0</v>
      </c>
      <c r="AP318" s="190"/>
      <c r="AQ318" s="66">
        <v>6</v>
      </c>
      <c r="AR318" s="66">
        <v>2010</v>
      </c>
      <c r="AS318" s="215">
        <f t="shared" si="2138"/>
        <v>0</v>
      </c>
      <c r="AT318" s="215">
        <f t="shared" si="2139"/>
        <v>0</v>
      </c>
      <c r="AU318" s="215">
        <f t="shared" si="2140"/>
        <v>0</v>
      </c>
      <c r="AV318" s="215">
        <f t="shared" si="2141"/>
        <v>0</v>
      </c>
      <c r="AW318" s="215">
        <f t="shared" si="2142"/>
        <v>0</v>
      </c>
      <c r="AX318" s="215">
        <f t="shared" si="2143"/>
        <v>0</v>
      </c>
      <c r="AY318" s="215">
        <f t="shared" si="2144"/>
        <v>0</v>
      </c>
      <c r="AZ318" s="215">
        <f t="shared" si="2145"/>
        <v>0</v>
      </c>
      <c r="BA318" s="215">
        <f t="shared" si="2146"/>
        <v>0</v>
      </c>
      <c r="BB318" s="215">
        <f t="shared" si="2147"/>
        <v>0</v>
      </c>
      <c r="BC318" s="215">
        <f t="shared" si="2148"/>
        <v>0</v>
      </c>
      <c r="BD318" s="215">
        <f t="shared" si="2149"/>
        <v>0</v>
      </c>
      <c r="BE318" s="215">
        <f t="shared" si="2150"/>
        <v>0</v>
      </c>
      <c r="BF318" s="215">
        <f t="shared" si="2151"/>
        <v>0</v>
      </c>
      <c r="BG318" s="215">
        <f t="shared" si="2152"/>
        <v>0</v>
      </c>
      <c r="BH318" s="215">
        <f t="shared" si="2153"/>
        <v>0</v>
      </c>
      <c r="BI318" s="215">
        <f t="shared" si="2154"/>
        <v>0</v>
      </c>
      <c r="BJ318" s="195"/>
      <c r="BK318" s="66">
        <v>6</v>
      </c>
      <c r="BL318" s="66">
        <v>2010</v>
      </c>
      <c r="BM318" s="215">
        <f t="shared" si="2161"/>
        <v>0</v>
      </c>
      <c r="BN318" s="219">
        <f t="shared" si="2162"/>
        <v>0</v>
      </c>
      <c r="BO318" s="219">
        <f t="shared" si="2163"/>
        <v>0</v>
      </c>
      <c r="BP318" s="219">
        <f t="shared" si="2189"/>
        <v>0</v>
      </c>
      <c r="BQ318" s="219">
        <f t="shared" si="2164"/>
        <v>0</v>
      </c>
      <c r="BR318" s="220">
        <f t="shared" si="2190"/>
        <v>0</v>
      </c>
      <c r="BS318" s="219">
        <f t="shared" si="2191"/>
        <v>0</v>
      </c>
      <c r="BT318" s="219">
        <f t="shared" si="2192"/>
        <v>0</v>
      </c>
      <c r="BU318" s="219">
        <f t="shared" si="2193"/>
        <v>0</v>
      </c>
      <c r="BV318" s="219">
        <f t="shared" si="2194"/>
        <v>0</v>
      </c>
      <c r="BW318" s="219">
        <f t="shared" si="2195"/>
        <v>0</v>
      </c>
      <c r="BX318" s="220">
        <f t="shared" si="2196"/>
        <v>0</v>
      </c>
      <c r="BY318" s="195"/>
      <c r="BZ318" s="66">
        <v>6</v>
      </c>
      <c r="CA318" s="66">
        <v>2010</v>
      </c>
      <c r="CB318" s="218">
        <f>pAsympt_NoCare_Asympt_Dead_2010_2012*AS317</f>
        <v>0</v>
      </c>
      <c r="CC318" s="218">
        <f t="shared" si="2165"/>
        <v>0</v>
      </c>
      <c r="CD318" s="73">
        <f t="shared" si="2166"/>
        <v>0</v>
      </c>
      <c r="CE318" s="73">
        <f>pInt_NoCare_Int_Dead_2010_2012*AW317</f>
        <v>0</v>
      </c>
      <c r="CF318" s="73">
        <f t="shared" si="2167"/>
        <v>0</v>
      </c>
      <c r="CG318" s="73">
        <f t="shared" si="2168"/>
        <v>0</v>
      </c>
      <c r="CH318" s="73">
        <f t="shared" si="2169"/>
        <v>0</v>
      </c>
      <c r="CI318" s="73">
        <f t="shared" si="2170"/>
        <v>0</v>
      </c>
      <c r="CJ318" s="73">
        <f t="shared" si="2171"/>
        <v>0</v>
      </c>
      <c r="CK318" s="73">
        <f t="shared" si="2172"/>
        <v>0</v>
      </c>
      <c r="CL318" s="73">
        <f t="shared" si="2173"/>
        <v>0</v>
      </c>
      <c r="CM318" s="73">
        <f>pAIDS_NoCare_AIDS_Dead_2010_2012*BC317</f>
        <v>0</v>
      </c>
      <c r="CN318" s="73">
        <f t="shared" si="2175"/>
        <v>0</v>
      </c>
      <c r="CO318" s="73">
        <f t="shared" si="2176"/>
        <v>0</v>
      </c>
      <c r="CP318" s="73">
        <f t="shared" si="2177"/>
        <v>0</v>
      </c>
      <c r="CQ318" s="73">
        <f t="shared" si="2178"/>
        <v>0</v>
      </c>
      <c r="CR318" s="73">
        <f t="shared" si="2179"/>
        <v>0</v>
      </c>
      <c r="CS318" s="73">
        <f t="shared" si="2180"/>
        <v>0</v>
      </c>
      <c r="CT318" s="73">
        <f t="shared" si="2181"/>
        <v>0</v>
      </c>
      <c r="CU318" s="73">
        <f t="shared" si="2182"/>
        <v>0</v>
      </c>
      <c r="CV318" s="73">
        <f t="shared" si="2183"/>
        <v>0</v>
      </c>
      <c r="CW318" s="73">
        <f t="shared" si="2184"/>
        <v>0</v>
      </c>
      <c r="CX318" s="73">
        <f t="shared" si="2185"/>
        <v>0</v>
      </c>
      <c r="CY318" s="73">
        <f t="shared" si="2186"/>
        <v>0</v>
      </c>
      <c r="CZ318" s="190"/>
      <c r="DA318" s="66">
        <v>2010</v>
      </c>
      <c r="DB318" s="218">
        <f t="shared" si="2155"/>
        <v>0</v>
      </c>
      <c r="DC318" s="218">
        <f t="shared" si="2156"/>
        <v>0</v>
      </c>
      <c r="DD318" s="73">
        <f t="shared" si="2157"/>
        <v>0</v>
      </c>
      <c r="DE318" s="73">
        <f t="shared" si="2158"/>
        <v>0</v>
      </c>
      <c r="DF318" s="73">
        <f t="shared" si="2159"/>
        <v>0</v>
      </c>
      <c r="DG318" s="73">
        <f t="shared" si="2160"/>
        <v>0</v>
      </c>
      <c r="DH318" s="72" t="e">
        <f t="shared" si="2187"/>
        <v>#DIV/0!</v>
      </c>
      <c r="DI318" s="72" t="e">
        <f t="shared" si="2188"/>
        <v>#DIV/0!</v>
      </c>
      <c r="DJ318" s="73">
        <f>SUM(AV312:AV318,BB312:BB318,BI312:BI318)</f>
        <v>0</v>
      </c>
      <c r="DK318" s="218">
        <f>SUM(AV318,BB318,BI318)</f>
        <v>0</v>
      </c>
      <c r="DL318" s="190"/>
    </row>
    <row r="319" spans="22:116" x14ac:dyDescent="0.25">
      <c r="V319" s="13"/>
      <c r="W319" s="66">
        <v>7</v>
      </c>
      <c r="X319" s="66">
        <v>2011</v>
      </c>
      <c r="Y319" s="69">
        <v>0</v>
      </c>
      <c r="Z319" s="69">
        <v>0</v>
      </c>
      <c r="AA319" s="69">
        <v>0</v>
      </c>
      <c r="AB319" s="69">
        <v>0</v>
      </c>
      <c r="AC319" s="69">
        <v>0</v>
      </c>
      <c r="AD319" s="69">
        <v>0</v>
      </c>
      <c r="AE319" s="69">
        <v>0</v>
      </c>
      <c r="AF319" s="69">
        <v>0</v>
      </c>
      <c r="AG319" s="69">
        <v>0</v>
      </c>
      <c r="AH319" s="69">
        <v>0</v>
      </c>
      <c r="AI319" s="69">
        <v>0</v>
      </c>
      <c r="AJ319" s="69">
        <v>0</v>
      </c>
      <c r="AK319" s="69">
        <v>0</v>
      </c>
      <c r="AL319" s="69">
        <v>0</v>
      </c>
      <c r="AM319" s="69">
        <v>0</v>
      </c>
      <c r="AN319" s="69">
        <v>0</v>
      </c>
      <c r="AO319" s="69">
        <v>0</v>
      </c>
      <c r="AP319" s="190"/>
      <c r="AQ319" s="66">
        <v>7</v>
      </c>
      <c r="AR319" s="66">
        <v>2011</v>
      </c>
      <c r="AS319" s="215">
        <f t="shared" si="2138"/>
        <v>0</v>
      </c>
      <c r="AT319" s="215">
        <f t="shared" si="2139"/>
        <v>0</v>
      </c>
      <c r="AU319" s="215">
        <f t="shared" si="2140"/>
        <v>0</v>
      </c>
      <c r="AV319" s="215">
        <f t="shared" si="2141"/>
        <v>0</v>
      </c>
      <c r="AW319" s="215">
        <f t="shared" si="2142"/>
        <v>0</v>
      </c>
      <c r="AX319" s="215">
        <f t="shared" si="2143"/>
        <v>0</v>
      </c>
      <c r="AY319" s="215">
        <f t="shared" si="2144"/>
        <v>0</v>
      </c>
      <c r="AZ319" s="215">
        <f t="shared" si="2145"/>
        <v>0</v>
      </c>
      <c r="BA319" s="215">
        <f t="shared" si="2146"/>
        <v>0</v>
      </c>
      <c r="BB319" s="215">
        <f t="shared" si="2147"/>
        <v>0</v>
      </c>
      <c r="BC319" s="215">
        <f t="shared" si="2148"/>
        <v>0</v>
      </c>
      <c r="BD319" s="215">
        <f t="shared" si="2149"/>
        <v>0</v>
      </c>
      <c r="BE319" s="215">
        <f t="shared" si="2150"/>
        <v>0</v>
      </c>
      <c r="BF319" s="215">
        <f t="shared" si="2151"/>
        <v>0</v>
      </c>
      <c r="BG319" s="215">
        <f t="shared" si="2152"/>
        <v>0</v>
      </c>
      <c r="BH319" s="215">
        <f t="shared" si="2153"/>
        <v>0</v>
      </c>
      <c r="BI319" s="215">
        <f t="shared" si="2154"/>
        <v>0</v>
      </c>
      <c r="BJ319" s="195"/>
      <c r="BK319" s="66">
        <v>7</v>
      </c>
      <c r="BL319" s="66">
        <v>2011</v>
      </c>
      <c r="BM319" s="215">
        <f t="shared" si="2161"/>
        <v>0</v>
      </c>
      <c r="BN319" s="219">
        <f t="shared" si="2162"/>
        <v>0</v>
      </c>
      <c r="BO319" s="219">
        <f t="shared" si="2163"/>
        <v>0</v>
      </c>
      <c r="BP319" s="219">
        <f t="shared" si="2189"/>
        <v>0</v>
      </c>
      <c r="BQ319" s="219">
        <f t="shared" si="2164"/>
        <v>0</v>
      </c>
      <c r="BR319" s="220">
        <f t="shared" si="2190"/>
        <v>0</v>
      </c>
      <c r="BS319" s="219">
        <f t="shared" si="2191"/>
        <v>0</v>
      </c>
      <c r="BT319" s="219">
        <f t="shared" si="2192"/>
        <v>0</v>
      </c>
      <c r="BU319" s="219">
        <f t="shared" si="2193"/>
        <v>0</v>
      </c>
      <c r="BV319" s="219">
        <f t="shared" si="2194"/>
        <v>0</v>
      </c>
      <c r="BW319" s="219">
        <f t="shared" si="2195"/>
        <v>0</v>
      </c>
      <c r="BX319" s="220">
        <f t="shared" si="2196"/>
        <v>0</v>
      </c>
      <c r="BY319" s="195"/>
      <c r="BZ319" s="66">
        <v>7</v>
      </c>
      <c r="CA319" s="66">
        <v>2011</v>
      </c>
      <c r="CB319" s="218">
        <f>pAsympt_NoCare_Asympt_Dead_2010_2012*AS318</f>
        <v>0</v>
      </c>
      <c r="CC319" s="218">
        <f t="shared" si="2165"/>
        <v>0</v>
      </c>
      <c r="CD319" s="73">
        <f t="shared" si="2166"/>
        <v>0</v>
      </c>
      <c r="CE319" s="73">
        <f>pInt_NoCare_Int_Dead_2010_2012*AW318</f>
        <v>0</v>
      </c>
      <c r="CF319" s="73">
        <f t="shared" si="2167"/>
        <v>0</v>
      </c>
      <c r="CG319" s="73">
        <f t="shared" si="2168"/>
        <v>0</v>
      </c>
      <c r="CH319" s="73">
        <f t="shared" si="2169"/>
        <v>0</v>
      </c>
      <c r="CI319" s="73">
        <f t="shared" si="2170"/>
        <v>0</v>
      </c>
      <c r="CJ319" s="73">
        <f t="shared" si="2171"/>
        <v>0</v>
      </c>
      <c r="CK319" s="73">
        <f t="shared" si="2172"/>
        <v>0</v>
      </c>
      <c r="CL319" s="73">
        <f t="shared" si="2173"/>
        <v>0</v>
      </c>
      <c r="CM319" s="73">
        <f>pAIDS_NoCare_AIDS_Dead_2010_2012*BC318</f>
        <v>0</v>
      </c>
      <c r="CN319" s="73">
        <f t="shared" si="2175"/>
        <v>0</v>
      </c>
      <c r="CO319" s="73">
        <f t="shared" si="2176"/>
        <v>0</v>
      </c>
      <c r="CP319" s="73">
        <f t="shared" si="2177"/>
        <v>0</v>
      </c>
      <c r="CQ319" s="73">
        <f t="shared" si="2178"/>
        <v>0</v>
      </c>
      <c r="CR319" s="73">
        <f t="shared" si="2179"/>
        <v>0</v>
      </c>
      <c r="CS319" s="73">
        <f t="shared" si="2180"/>
        <v>0</v>
      </c>
      <c r="CT319" s="73">
        <f t="shared" si="2181"/>
        <v>0</v>
      </c>
      <c r="CU319" s="73">
        <f t="shared" si="2182"/>
        <v>0</v>
      </c>
      <c r="CV319" s="73">
        <f t="shared" si="2183"/>
        <v>0</v>
      </c>
      <c r="CW319" s="73">
        <f t="shared" si="2184"/>
        <v>0</v>
      </c>
      <c r="CX319" s="73">
        <f t="shared" si="2185"/>
        <v>0</v>
      </c>
      <c r="CY319" s="73">
        <f t="shared" si="2186"/>
        <v>0</v>
      </c>
      <c r="CZ319" s="190"/>
      <c r="DA319" s="66">
        <v>2011</v>
      </c>
      <c r="DB319" s="218">
        <f t="shared" si="2155"/>
        <v>0</v>
      </c>
      <c r="DC319" s="218">
        <f t="shared" si="2156"/>
        <v>0</v>
      </c>
      <c r="DD319" s="73">
        <f t="shared" si="2157"/>
        <v>0</v>
      </c>
      <c r="DE319" s="73">
        <f t="shared" si="2158"/>
        <v>0</v>
      </c>
      <c r="DF319" s="73">
        <f t="shared" si="2159"/>
        <v>0</v>
      </c>
      <c r="DG319" s="73">
        <f t="shared" si="2160"/>
        <v>0</v>
      </c>
      <c r="DH319" s="72" t="e">
        <f t="shared" si="2187"/>
        <v>#DIV/0!</v>
      </c>
      <c r="DI319" s="72" t="e">
        <f t="shared" si="2188"/>
        <v>#DIV/0!</v>
      </c>
      <c r="DJ319" s="73">
        <f>SUM(AV312:AV319,BB312:BB319,BI312:BI319)</f>
        <v>0</v>
      </c>
      <c r="DK319" s="218">
        <f>SUM(AV318:AV319,BB318:BB319,BI318:BI319)</f>
        <v>0</v>
      </c>
      <c r="DL319" s="190"/>
    </row>
    <row r="320" spans="22:116" x14ac:dyDescent="0.25">
      <c r="V320" s="13"/>
      <c r="W320" s="66">
        <v>8</v>
      </c>
      <c r="X320" s="66">
        <v>2012</v>
      </c>
      <c r="Y320" s="69">
        <v>0</v>
      </c>
      <c r="Z320" s="69">
        <v>0</v>
      </c>
      <c r="AA320" s="69">
        <v>0</v>
      </c>
      <c r="AB320" s="69">
        <v>0</v>
      </c>
      <c r="AC320" s="69">
        <v>0</v>
      </c>
      <c r="AD320" s="69">
        <v>0</v>
      </c>
      <c r="AE320" s="69">
        <v>0</v>
      </c>
      <c r="AF320" s="69">
        <v>0</v>
      </c>
      <c r="AG320" s="69">
        <v>0</v>
      </c>
      <c r="AH320" s="69">
        <v>0</v>
      </c>
      <c r="AI320" s="69">
        <v>0</v>
      </c>
      <c r="AJ320" s="69">
        <v>0</v>
      </c>
      <c r="AK320" s="69">
        <v>0</v>
      </c>
      <c r="AL320" s="69">
        <v>0</v>
      </c>
      <c r="AM320" s="69">
        <v>0</v>
      </c>
      <c r="AN320" s="69">
        <v>0</v>
      </c>
      <c r="AO320" s="69">
        <v>0</v>
      </c>
      <c r="AP320" s="190"/>
      <c r="AQ320" s="66">
        <v>8</v>
      </c>
      <c r="AR320" s="66">
        <v>2012</v>
      </c>
      <c r="AS320" s="215">
        <f t="shared" si="2138"/>
        <v>0</v>
      </c>
      <c r="AT320" s="215">
        <f t="shared" si="2139"/>
        <v>0</v>
      </c>
      <c r="AU320" s="215">
        <f t="shared" si="2140"/>
        <v>0</v>
      </c>
      <c r="AV320" s="215">
        <f t="shared" si="2141"/>
        <v>0</v>
      </c>
      <c r="AW320" s="215">
        <f t="shared" si="2142"/>
        <v>0</v>
      </c>
      <c r="AX320" s="215">
        <f t="shared" si="2143"/>
        <v>0</v>
      </c>
      <c r="AY320" s="215">
        <f t="shared" si="2144"/>
        <v>0</v>
      </c>
      <c r="AZ320" s="215">
        <f t="shared" si="2145"/>
        <v>0</v>
      </c>
      <c r="BA320" s="215">
        <f t="shared" si="2146"/>
        <v>0</v>
      </c>
      <c r="BB320" s="215">
        <f t="shared" si="2147"/>
        <v>0</v>
      </c>
      <c r="BC320" s="215">
        <f t="shared" si="2148"/>
        <v>0</v>
      </c>
      <c r="BD320" s="215">
        <f t="shared" si="2149"/>
        <v>0</v>
      </c>
      <c r="BE320" s="215">
        <f t="shared" si="2150"/>
        <v>0</v>
      </c>
      <c r="BF320" s="215">
        <f t="shared" si="2151"/>
        <v>0</v>
      </c>
      <c r="BG320" s="215">
        <f t="shared" si="2152"/>
        <v>0</v>
      </c>
      <c r="BH320" s="215">
        <f t="shared" si="2153"/>
        <v>0</v>
      </c>
      <c r="BI320" s="215">
        <f t="shared" si="2154"/>
        <v>0</v>
      </c>
      <c r="BJ320" s="195"/>
      <c r="BK320" s="66">
        <v>8</v>
      </c>
      <c r="BL320" s="66">
        <v>2012</v>
      </c>
      <c r="BM320" s="215">
        <f t="shared" si="2161"/>
        <v>0</v>
      </c>
      <c r="BN320" s="219">
        <f t="shared" si="2162"/>
        <v>0</v>
      </c>
      <c r="BO320" s="219">
        <f t="shared" si="2163"/>
        <v>0</v>
      </c>
      <c r="BP320" s="219">
        <f t="shared" si="2189"/>
        <v>0</v>
      </c>
      <c r="BQ320" s="219">
        <f t="shared" si="2164"/>
        <v>0</v>
      </c>
      <c r="BR320" s="220">
        <f t="shared" si="2190"/>
        <v>0</v>
      </c>
      <c r="BS320" s="219">
        <f t="shared" si="2191"/>
        <v>0</v>
      </c>
      <c r="BT320" s="219">
        <f t="shared" si="2192"/>
        <v>0</v>
      </c>
      <c r="BU320" s="219">
        <f t="shared" si="2193"/>
        <v>0</v>
      </c>
      <c r="BV320" s="219">
        <f t="shared" si="2194"/>
        <v>0</v>
      </c>
      <c r="BW320" s="219">
        <f t="shared" si="2195"/>
        <v>0</v>
      </c>
      <c r="BX320" s="220">
        <f t="shared" si="2196"/>
        <v>0</v>
      </c>
      <c r="BY320" s="195"/>
      <c r="BZ320" s="66">
        <v>8</v>
      </c>
      <c r="CA320" s="66">
        <v>2012</v>
      </c>
      <c r="CB320" s="218">
        <f>pAsympt_NoCare_Asympt_Dead_2010_2012*AS319</f>
        <v>0</v>
      </c>
      <c r="CC320" s="218">
        <f t="shared" si="2165"/>
        <v>0</v>
      </c>
      <c r="CD320" s="73">
        <f t="shared" si="2166"/>
        <v>0</v>
      </c>
      <c r="CE320" s="73">
        <f>pInt_NoCare_Int_Dead_2010_2012*AW319</f>
        <v>0</v>
      </c>
      <c r="CF320" s="73">
        <f t="shared" si="2167"/>
        <v>0</v>
      </c>
      <c r="CG320" s="73">
        <f t="shared" si="2168"/>
        <v>0</v>
      </c>
      <c r="CH320" s="73">
        <f t="shared" si="2169"/>
        <v>0</v>
      </c>
      <c r="CI320" s="73">
        <f t="shared" si="2170"/>
        <v>0</v>
      </c>
      <c r="CJ320" s="73">
        <f t="shared" si="2171"/>
        <v>0</v>
      </c>
      <c r="CK320" s="73">
        <f t="shared" si="2172"/>
        <v>0</v>
      </c>
      <c r="CL320" s="73">
        <f t="shared" si="2173"/>
        <v>0</v>
      </c>
      <c r="CM320" s="73">
        <f>pAIDS_NoCare_AIDS_Dead_2010_2012*BC319</f>
        <v>0</v>
      </c>
      <c r="CN320" s="73">
        <f t="shared" si="2175"/>
        <v>0</v>
      </c>
      <c r="CO320" s="73">
        <f t="shared" si="2176"/>
        <v>0</v>
      </c>
      <c r="CP320" s="73">
        <f t="shared" si="2177"/>
        <v>0</v>
      </c>
      <c r="CQ320" s="73">
        <f t="shared" si="2178"/>
        <v>0</v>
      </c>
      <c r="CR320" s="73">
        <f t="shared" si="2179"/>
        <v>0</v>
      </c>
      <c r="CS320" s="73">
        <f t="shared" si="2180"/>
        <v>0</v>
      </c>
      <c r="CT320" s="73">
        <f t="shared" si="2181"/>
        <v>0</v>
      </c>
      <c r="CU320" s="73">
        <f t="shared" si="2182"/>
        <v>0</v>
      </c>
      <c r="CV320" s="73">
        <f t="shared" si="2183"/>
        <v>0</v>
      </c>
      <c r="CW320" s="73">
        <f t="shared" si="2184"/>
        <v>0</v>
      </c>
      <c r="CX320" s="73">
        <f t="shared" si="2185"/>
        <v>0</v>
      </c>
      <c r="CY320" s="73">
        <f t="shared" si="2186"/>
        <v>0</v>
      </c>
      <c r="CZ320" s="190"/>
      <c r="DA320" s="66">
        <v>2012</v>
      </c>
      <c r="DB320" s="218">
        <f t="shared" si="2155"/>
        <v>0</v>
      </c>
      <c r="DC320" s="218">
        <f t="shared" si="2156"/>
        <v>0</v>
      </c>
      <c r="DD320" s="73">
        <f t="shared" si="2157"/>
        <v>0</v>
      </c>
      <c r="DE320" s="73">
        <f t="shared" si="2158"/>
        <v>0</v>
      </c>
      <c r="DF320" s="73">
        <f t="shared" si="2159"/>
        <v>0</v>
      </c>
      <c r="DG320" s="73">
        <f t="shared" si="2160"/>
        <v>0</v>
      </c>
      <c r="DH320" s="72" t="e">
        <f t="shared" si="2187"/>
        <v>#DIV/0!</v>
      </c>
      <c r="DI320" s="72" t="e">
        <f t="shared" si="2188"/>
        <v>#DIV/0!</v>
      </c>
      <c r="DJ320" s="73">
        <f>SUM(AV312:AV320,BB312:BB320,BI312:BI320)</f>
        <v>0</v>
      </c>
      <c r="DK320" s="73">
        <f>SUM(AV318:AV320,BB318:BB320,BI318:BI320)</f>
        <v>0</v>
      </c>
      <c r="DL320" s="190"/>
    </row>
    <row r="321" spans="22:116" x14ac:dyDescent="0.25">
      <c r="V321" s="13"/>
      <c r="W321" s="66">
        <v>9</v>
      </c>
      <c r="X321" s="66">
        <v>2013</v>
      </c>
      <c r="Y321" s="69">
        <v>0</v>
      </c>
      <c r="Z321" s="69">
        <v>0</v>
      </c>
      <c r="AA321" s="69">
        <v>0</v>
      </c>
      <c r="AB321" s="69">
        <v>0</v>
      </c>
      <c r="AC321" s="69">
        <v>0</v>
      </c>
      <c r="AD321" s="69">
        <v>0</v>
      </c>
      <c r="AE321" s="69">
        <v>0</v>
      </c>
      <c r="AF321" s="69">
        <v>0</v>
      </c>
      <c r="AG321" s="69">
        <v>0</v>
      </c>
      <c r="AH321" s="69">
        <v>0</v>
      </c>
      <c r="AI321" s="69">
        <v>0</v>
      </c>
      <c r="AJ321" s="69">
        <v>0</v>
      </c>
      <c r="AK321" s="69">
        <v>0</v>
      </c>
      <c r="AL321" s="69">
        <v>0</v>
      </c>
      <c r="AM321" s="69">
        <v>0</v>
      </c>
      <c r="AN321" s="69">
        <v>0</v>
      </c>
      <c r="AO321" s="69">
        <v>0</v>
      </c>
      <c r="AP321" s="190"/>
      <c r="AQ321" s="66">
        <v>9</v>
      </c>
      <c r="AR321" s="66">
        <v>2013</v>
      </c>
      <c r="AS321" s="215">
        <f t="shared" si="2138"/>
        <v>0</v>
      </c>
      <c r="AT321" s="215">
        <f t="shared" si="2139"/>
        <v>0</v>
      </c>
      <c r="AU321" s="215">
        <f t="shared" si="2140"/>
        <v>0</v>
      </c>
      <c r="AV321" s="215">
        <f t="shared" si="2141"/>
        <v>0</v>
      </c>
      <c r="AW321" s="215">
        <f t="shared" si="2142"/>
        <v>0</v>
      </c>
      <c r="AX321" s="215">
        <f t="shared" si="2143"/>
        <v>0</v>
      </c>
      <c r="AY321" s="215">
        <f t="shared" si="2144"/>
        <v>0</v>
      </c>
      <c r="AZ321" s="215">
        <f t="shared" si="2145"/>
        <v>0</v>
      </c>
      <c r="BA321" s="215">
        <f t="shared" si="2146"/>
        <v>0</v>
      </c>
      <c r="BB321" s="215">
        <f t="shared" si="2147"/>
        <v>0</v>
      </c>
      <c r="BC321" s="215">
        <f t="shared" si="2148"/>
        <v>0</v>
      </c>
      <c r="BD321" s="215">
        <f t="shared" si="2149"/>
        <v>0</v>
      </c>
      <c r="BE321" s="215">
        <f t="shared" si="2150"/>
        <v>0</v>
      </c>
      <c r="BF321" s="215">
        <f t="shared" si="2151"/>
        <v>0</v>
      </c>
      <c r="BG321" s="215">
        <f t="shared" si="2152"/>
        <v>0</v>
      </c>
      <c r="BH321" s="215">
        <f t="shared" si="2153"/>
        <v>0</v>
      </c>
      <c r="BI321" s="215">
        <f t="shared" si="2154"/>
        <v>0</v>
      </c>
      <c r="BJ321" s="195"/>
      <c r="BK321" s="66">
        <v>9</v>
      </c>
      <c r="BL321" s="66">
        <v>2013</v>
      </c>
      <c r="BM321" s="215">
        <f t="shared" ref="BM321:BM331" si="2197">(AX320*pInt_InCare_Int_LTFU_2013plus_u)+(BM320*pInt_LTFU_2013plus_u)</f>
        <v>0</v>
      </c>
      <c r="BN321" s="219">
        <f t="shared" ref="BN321:BN331" si="2198">(AU320*pAsympt_LTFU_Int_LTFU_2013plus_u)+(BN320*pInt_LTFU_2013plus_u)</f>
        <v>0</v>
      </c>
      <c r="BO321" s="219">
        <f t="shared" ref="BO321:BO331" si="2199">(AY320*pInt_ART1_Int_LTFU_2013plus_u)+(BO320*pInt_LTFU_2013plus_u)</f>
        <v>0</v>
      </c>
      <c r="BP321" s="219">
        <f t="shared" ref="BP321:BP331" si="2200">(AZ320*pInt_ART2_Int_LTFU_2013plus_u)+(BP320*pInt_LTFU_2013plus_u)</f>
        <v>0</v>
      </c>
      <c r="BQ321" s="219">
        <f t="shared" ref="BQ321:BQ331" si="2201">(BD320*pAIDS_InCare_AIDS_LTFU_2013plus_u)+(BQ320*pAIDS_LTFU_2013plus_u)</f>
        <v>0</v>
      </c>
      <c r="BR321" s="220">
        <f t="shared" ref="BR321:BR331" si="2202">(BN320*pInt_LTFU_AIDS_LTFU_2013plus_u)+(BR320*pAIDS_LTFU_2013plus_u)</f>
        <v>0</v>
      </c>
      <c r="BS321" s="219">
        <f t="shared" ref="BS321:BS331" si="2203">(BM320*pInt_LTFU_AIDS_LTFU_2013plus_u)+(BS320*pAIDS_LTFU_2013plus_u)</f>
        <v>0</v>
      </c>
      <c r="BT321" s="219">
        <f t="shared" ref="BT321:BT331" si="2204">(BE320*pAIDS_ART1ear_AIDS_LTFU_2013plus_u)+(BT320*pAIDS_LTFU_2013plus_u)</f>
        <v>0</v>
      </c>
      <c r="BU321" s="219">
        <f t="shared" ref="BU321:BU331" si="2205">(BF320*pAIDS_ART1late_AIDS_LTFU_2013plus_u)+(BU320*pAIDS_LTFU_2013plus_u)</f>
        <v>0</v>
      </c>
      <c r="BV321" s="219">
        <f t="shared" ref="BV321:BV331" si="2206">(BO320*pInt_LTFU_AIDS_LTFU_2013plus_u)+(BV320*pAIDS_LTFU_2013plus_u)</f>
        <v>0</v>
      </c>
      <c r="BW321" s="219">
        <f t="shared" ref="BW321:BW331" si="2207">(BG320*pAIDS_ART2_AIDS_LTFU_2013plus_u)+(BW320*pAIDS_LTFU_2013plus_u)</f>
        <v>0</v>
      </c>
      <c r="BX321" s="220">
        <f t="shared" ref="BX321:BX331" si="2208">(BP320*pInt_LTFU_AIDS_LTFU_2013plus_u)+(BX320*pAIDS_LTFU_2013plus_u)</f>
        <v>0</v>
      </c>
      <c r="BY321" s="195"/>
      <c r="BZ321" s="66">
        <v>9</v>
      </c>
      <c r="CA321" s="66">
        <v>2013</v>
      </c>
      <c r="CB321" s="218">
        <f t="shared" ref="CB321:CB331" si="2209">pAsympt_NoCare_Asympt_Dead_2013plus_u*AS320</f>
        <v>0</v>
      </c>
      <c r="CC321" s="218">
        <f t="shared" ref="CC321:CC331" si="2210">pAsympt_InCare_Asympt_Dead_2013plus_u*AT320</f>
        <v>0</v>
      </c>
      <c r="CD321" s="73">
        <f t="shared" ref="CD321:CD331" si="2211">pAsympt_LTFU_Asympt_Dead_2013plus_u*AU320</f>
        <v>0</v>
      </c>
      <c r="CE321" s="73">
        <f t="shared" ref="CE321:CE331" si="2212">pInt_NoCare_Int_Dead_2013plus_u*AW320</f>
        <v>0</v>
      </c>
      <c r="CF321" s="73">
        <f t="shared" ref="CF321:CF331" si="2213">pInt_InCare_Int_Dead_2013plus_u*AX320</f>
        <v>0</v>
      </c>
      <c r="CG321" s="73">
        <f t="shared" ref="CG321:CG331" si="2214">pInt_ART1_Int_Dead_2013plus_u*AY320</f>
        <v>0</v>
      </c>
      <c r="CH321" s="73">
        <f t="shared" ref="CH321:CH331" si="2215">pInt_ART2_Int_Dead_2013plus_u*AZ320</f>
        <v>0</v>
      </c>
      <c r="CI321" s="73">
        <f t="shared" ref="CI321:CI331" si="2216">(BM320*pInt_LTFU_Int_Dead_2013plus_u)</f>
        <v>0</v>
      </c>
      <c r="CJ321" s="73">
        <f t="shared" ref="CJ321:CJ331" si="2217">(BN320*pInt_LTFU_Int_Dead_2013plus_u)</f>
        <v>0</v>
      </c>
      <c r="CK321" s="73">
        <f t="shared" ref="CK321:CK331" si="2218">(BO320*pInt_LTFU_Int_Dead_2013plus_u)</f>
        <v>0</v>
      </c>
      <c r="CL321" s="73">
        <f t="shared" ref="CL321:CL331" si="2219">(BP320*pInt_LTFU_Int_Dead_2013plus_u)</f>
        <v>0</v>
      </c>
      <c r="CM321" s="73">
        <f t="shared" ref="CM321:CM331" si="2220">pAIDS_NoCare_AIDS_Dead_2013plus_u*BC320</f>
        <v>0</v>
      </c>
      <c r="CN321" s="73">
        <f t="shared" ref="CN321:CN331" si="2221">pAIDS_InCare_AIDS_Dead_2013plus_u*BD320</f>
        <v>0</v>
      </c>
      <c r="CO321" s="73">
        <f t="shared" ref="CO321:CO331" si="2222">pAIDS_ART1ear_AIDS_Dead_2013plus_u*BE320</f>
        <v>0</v>
      </c>
      <c r="CP321" s="73">
        <f t="shared" ref="CP321:CP331" si="2223">pAIDS_ART1late_AIDS_Dead_2013plus_u*BF320</f>
        <v>0</v>
      </c>
      <c r="CQ321" s="73">
        <f t="shared" ref="CQ321:CQ331" si="2224">pAIDS_ART2_AIDS_Dead_2013plus_u*BG320</f>
        <v>0</v>
      </c>
      <c r="CR321" s="73">
        <f t="shared" ref="CR321:CR331" si="2225">(BQ320*pAIDS_LTFU_AIDS_Dead_2013plus_u)</f>
        <v>0</v>
      </c>
      <c r="CS321" s="73">
        <f t="shared" ref="CS321:CS331" si="2226">(BR320*pAIDS_LTFU_AIDS_Dead_2013plus_u)</f>
        <v>0</v>
      </c>
      <c r="CT321" s="73">
        <f t="shared" ref="CT321:CT331" si="2227">(BS320*pAIDS_LTFU_AIDS_Dead_2013plus_u)</f>
        <v>0</v>
      </c>
      <c r="CU321" s="73">
        <f t="shared" ref="CU321:CU331" si="2228">(BT320*pAIDS_LTFU_AIDS_Dead_2013plus_u)</f>
        <v>0</v>
      </c>
      <c r="CV321" s="73">
        <f t="shared" ref="CV321:CV331" si="2229">(BU320*pAIDS_LTFU_AIDS_Dead_2013plus_u)</f>
        <v>0</v>
      </c>
      <c r="CW321" s="73">
        <f t="shared" ref="CW321:CW331" si="2230">(BV320*pAIDS_LTFU_AIDS_Dead_2013plus_u)</f>
        <v>0</v>
      </c>
      <c r="CX321" s="73">
        <f t="shared" ref="CX321:CX331" si="2231">(BW320*pAIDS_LTFU_AIDS_Dead_2013plus_u)</f>
        <v>0</v>
      </c>
      <c r="CY321" s="73">
        <f t="shared" ref="CY321:CY331" si="2232">(BX320*pAIDS_LTFU_AIDS_Dead_2013plus_u)</f>
        <v>0</v>
      </c>
      <c r="CZ321" s="190"/>
      <c r="DA321" s="66">
        <v>2013</v>
      </c>
      <c r="DB321" s="218">
        <f t="shared" si="2155"/>
        <v>0</v>
      </c>
      <c r="DC321" s="218">
        <f t="shared" si="2156"/>
        <v>0</v>
      </c>
      <c r="DD321" s="73">
        <f t="shared" si="2157"/>
        <v>0</v>
      </c>
      <c r="DE321" s="73">
        <f t="shared" si="2158"/>
        <v>0</v>
      </c>
      <c r="DF321" s="73">
        <f t="shared" si="2159"/>
        <v>0</v>
      </c>
      <c r="DG321" s="73">
        <f t="shared" si="2160"/>
        <v>0</v>
      </c>
      <c r="DH321" s="72" t="e">
        <f t="shared" si="2187"/>
        <v>#DIV/0!</v>
      </c>
      <c r="DI321" s="72" t="e">
        <f t="shared" si="2188"/>
        <v>#DIV/0!</v>
      </c>
      <c r="DJ321" s="73">
        <f>SUM(AV312:AV321,BB312:BB321,BI312:BI321)</f>
        <v>0</v>
      </c>
      <c r="DK321" s="73">
        <f>SUM(AV318:AV321,BB318:BB321,BI318:BI321)</f>
        <v>0</v>
      </c>
      <c r="DL321" s="190"/>
    </row>
    <row r="322" spans="22:116" x14ac:dyDescent="0.25">
      <c r="V322" s="13"/>
      <c r="W322" s="66">
        <v>10</v>
      </c>
      <c r="X322" s="66">
        <v>2014</v>
      </c>
      <c r="Y322" s="69">
        <v>0</v>
      </c>
      <c r="Z322" s="69">
        <v>0</v>
      </c>
      <c r="AA322" s="69">
        <v>0</v>
      </c>
      <c r="AB322" s="69">
        <v>0</v>
      </c>
      <c r="AC322" s="69">
        <v>0</v>
      </c>
      <c r="AD322" s="69">
        <v>0</v>
      </c>
      <c r="AE322" s="69">
        <v>0</v>
      </c>
      <c r="AF322" s="69">
        <v>0</v>
      </c>
      <c r="AG322" s="69">
        <v>0</v>
      </c>
      <c r="AH322" s="69">
        <v>0</v>
      </c>
      <c r="AI322" s="69">
        <v>0</v>
      </c>
      <c r="AJ322" s="69">
        <v>0</v>
      </c>
      <c r="AK322" s="69">
        <v>0</v>
      </c>
      <c r="AL322" s="69">
        <v>0</v>
      </c>
      <c r="AM322" s="69">
        <v>0</v>
      </c>
      <c r="AN322" s="69">
        <v>0</v>
      </c>
      <c r="AO322" s="69">
        <v>0</v>
      </c>
      <c r="AP322" s="190"/>
      <c r="AQ322" s="66">
        <v>10</v>
      </c>
      <c r="AR322" s="66">
        <v>2014</v>
      </c>
      <c r="AS322" s="215">
        <f t="shared" si="2138"/>
        <v>0</v>
      </c>
      <c r="AT322" s="215">
        <f t="shared" si="2139"/>
        <v>0</v>
      </c>
      <c r="AU322" s="215">
        <f t="shared" si="2140"/>
        <v>0</v>
      </c>
      <c r="AV322" s="215">
        <f t="shared" si="2141"/>
        <v>0</v>
      </c>
      <c r="AW322" s="215">
        <f t="shared" si="2142"/>
        <v>0</v>
      </c>
      <c r="AX322" s="215">
        <f t="shared" si="2143"/>
        <v>0</v>
      </c>
      <c r="AY322" s="215">
        <f t="shared" si="2144"/>
        <v>0</v>
      </c>
      <c r="AZ322" s="215">
        <f t="shared" si="2145"/>
        <v>0</v>
      </c>
      <c r="BA322" s="215">
        <f t="shared" si="2146"/>
        <v>0</v>
      </c>
      <c r="BB322" s="215">
        <f t="shared" si="2147"/>
        <v>0</v>
      </c>
      <c r="BC322" s="215">
        <f t="shared" si="2148"/>
        <v>0</v>
      </c>
      <c r="BD322" s="215">
        <f t="shared" si="2149"/>
        <v>0</v>
      </c>
      <c r="BE322" s="215">
        <f t="shared" si="2150"/>
        <v>0</v>
      </c>
      <c r="BF322" s="215">
        <f t="shared" si="2151"/>
        <v>0</v>
      </c>
      <c r="BG322" s="215">
        <f t="shared" si="2152"/>
        <v>0</v>
      </c>
      <c r="BH322" s="215">
        <f t="shared" si="2153"/>
        <v>0</v>
      </c>
      <c r="BI322" s="215">
        <f t="shared" si="2154"/>
        <v>0</v>
      </c>
      <c r="BJ322" s="195"/>
      <c r="BK322" s="66">
        <v>10</v>
      </c>
      <c r="BL322" s="66">
        <v>2014</v>
      </c>
      <c r="BM322" s="215">
        <f t="shared" si="2197"/>
        <v>0</v>
      </c>
      <c r="BN322" s="219">
        <f t="shared" si="2198"/>
        <v>0</v>
      </c>
      <c r="BO322" s="219">
        <f t="shared" si="2199"/>
        <v>0</v>
      </c>
      <c r="BP322" s="219">
        <f t="shared" si="2200"/>
        <v>0</v>
      </c>
      <c r="BQ322" s="219">
        <f t="shared" si="2201"/>
        <v>0</v>
      </c>
      <c r="BR322" s="220">
        <f t="shared" si="2202"/>
        <v>0</v>
      </c>
      <c r="BS322" s="219">
        <f t="shared" si="2203"/>
        <v>0</v>
      </c>
      <c r="BT322" s="219">
        <f t="shared" si="2204"/>
        <v>0</v>
      </c>
      <c r="BU322" s="219">
        <f t="shared" si="2205"/>
        <v>0</v>
      </c>
      <c r="BV322" s="219">
        <f t="shared" si="2206"/>
        <v>0</v>
      </c>
      <c r="BW322" s="219">
        <f t="shared" si="2207"/>
        <v>0</v>
      </c>
      <c r="BX322" s="220">
        <f t="shared" si="2208"/>
        <v>0</v>
      </c>
      <c r="BY322" s="195"/>
      <c r="BZ322" s="66">
        <v>10</v>
      </c>
      <c r="CA322" s="66">
        <v>2014</v>
      </c>
      <c r="CB322" s="218">
        <f t="shared" si="2209"/>
        <v>0</v>
      </c>
      <c r="CC322" s="218">
        <f t="shared" si="2210"/>
        <v>0</v>
      </c>
      <c r="CD322" s="73">
        <f t="shared" si="2211"/>
        <v>0</v>
      </c>
      <c r="CE322" s="73">
        <f t="shared" si="2212"/>
        <v>0</v>
      </c>
      <c r="CF322" s="73">
        <f t="shared" si="2213"/>
        <v>0</v>
      </c>
      <c r="CG322" s="73">
        <f t="shared" si="2214"/>
        <v>0</v>
      </c>
      <c r="CH322" s="73">
        <f t="shared" si="2215"/>
        <v>0</v>
      </c>
      <c r="CI322" s="73">
        <f t="shared" si="2216"/>
        <v>0</v>
      </c>
      <c r="CJ322" s="73">
        <f t="shared" si="2217"/>
        <v>0</v>
      </c>
      <c r="CK322" s="73">
        <f t="shared" si="2218"/>
        <v>0</v>
      </c>
      <c r="CL322" s="73">
        <f t="shared" si="2219"/>
        <v>0</v>
      </c>
      <c r="CM322" s="73">
        <f t="shared" si="2220"/>
        <v>0</v>
      </c>
      <c r="CN322" s="73">
        <f t="shared" si="2221"/>
        <v>0</v>
      </c>
      <c r="CO322" s="73">
        <f t="shared" si="2222"/>
        <v>0</v>
      </c>
      <c r="CP322" s="73">
        <f t="shared" si="2223"/>
        <v>0</v>
      </c>
      <c r="CQ322" s="73">
        <f t="shared" si="2224"/>
        <v>0</v>
      </c>
      <c r="CR322" s="73">
        <f t="shared" si="2225"/>
        <v>0</v>
      </c>
      <c r="CS322" s="73">
        <f t="shared" si="2226"/>
        <v>0</v>
      </c>
      <c r="CT322" s="73">
        <f t="shared" si="2227"/>
        <v>0</v>
      </c>
      <c r="CU322" s="73">
        <f t="shared" si="2228"/>
        <v>0</v>
      </c>
      <c r="CV322" s="73">
        <f t="shared" si="2229"/>
        <v>0</v>
      </c>
      <c r="CW322" s="73">
        <f t="shared" si="2230"/>
        <v>0</v>
      </c>
      <c r="CX322" s="73">
        <f t="shared" si="2231"/>
        <v>0</v>
      </c>
      <c r="CY322" s="73">
        <f t="shared" si="2232"/>
        <v>0</v>
      </c>
      <c r="CZ322" s="190"/>
      <c r="DA322" s="66">
        <v>2014</v>
      </c>
      <c r="DB322" s="218">
        <f t="shared" si="2155"/>
        <v>0</v>
      </c>
      <c r="DC322" s="218">
        <f t="shared" si="2156"/>
        <v>0</v>
      </c>
      <c r="DD322" s="73">
        <f t="shared" si="2157"/>
        <v>0</v>
      </c>
      <c r="DE322" s="73">
        <f t="shared" si="2158"/>
        <v>0</v>
      </c>
      <c r="DF322" s="73">
        <f t="shared" si="2159"/>
        <v>0</v>
      </c>
      <c r="DG322" s="73">
        <f t="shared" si="2160"/>
        <v>0</v>
      </c>
      <c r="DH322" s="72" t="e">
        <f t="shared" si="2187"/>
        <v>#DIV/0!</v>
      </c>
      <c r="DI322" s="72" t="e">
        <f t="shared" si="2188"/>
        <v>#DIV/0!</v>
      </c>
      <c r="DJ322" s="73">
        <f>SUM(AV312:AV322,BB312:BB322,BI312:BI322)</f>
        <v>0</v>
      </c>
      <c r="DK322" s="73">
        <f>SUM(AV318:AV322,BB318:BB322,BI318:BI322)</f>
        <v>0</v>
      </c>
      <c r="DL322" s="190"/>
    </row>
    <row r="323" spans="22:116" x14ac:dyDescent="0.25">
      <c r="V323" s="13"/>
      <c r="W323" s="66">
        <v>11</v>
      </c>
      <c r="X323" s="66">
        <v>2015</v>
      </c>
      <c r="Y323" s="69">
        <v>0</v>
      </c>
      <c r="Z323" s="69">
        <v>0</v>
      </c>
      <c r="AA323" s="69">
        <v>0</v>
      </c>
      <c r="AB323" s="69">
        <v>0</v>
      </c>
      <c r="AC323" s="69">
        <v>0</v>
      </c>
      <c r="AD323" s="69">
        <v>0</v>
      </c>
      <c r="AE323" s="69">
        <v>0</v>
      </c>
      <c r="AF323" s="69">
        <v>0</v>
      </c>
      <c r="AG323" s="69">
        <v>0</v>
      </c>
      <c r="AH323" s="69">
        <v>0</v>
      </c>
      <c r="AI323" s="69">
        <v>0</v>
      </c>
      <c r="AJ323" s="69">
        <v>0</v>
      </c>
      <c r="AK323" s="69">
        <v>0</v>
      </c>
      <c r="AL323" s="69">
        <v>0</v>
      </c>
      <c r="AM323" s="69">
        <v>0</v>
      </c>
      <c r="AN323" s="69">
        <v>0</v>
      </c>
      <c r="AO323" s="69">
        <v>0</v>
      </c>
      <c r="AP323" s="190"/>
      <c r="AQ323" s="66">
        <v>11</v>
      </c>
      <c r="AR323" s="66">
        <v>2015</v>
      </c>
      <c r="AS323" s="215">
        <f t="shared" si="2138"/>
        <v>0</v>
      </c>
      <c r="AT323" s="215">
        <f t="shared" si="2139"/>
        <v>0</v>
      </c>
      <c r="AU323" s="215">
        <f t="shared" si="2140"/>
        <v>0</v>
      </c>
      <c r="AV323" s="215">
        <f t="shared" si="2141"/>
        <v>0</v>
      </c>
      <c r="AW323" s="215">
        <f t="shared" si="2142"/>
        <v>0</v>
      </c>
      <c r="AX323" s="215">
        <f t="shared" si="2143"/>
        <v>0</v>
      </c>
      <c r="AY323" s="215">
        <f t="shared" si="2144"/>
        <v>0</v>
      </c>
      <c r="AZ323" s="215">
        <f t="shared" si="2145"/>
        <v>0</v>
      </c>
      <c r="BA323" s="215">
        <f t="shared" si="2146"/>
        <v>0</v>
      </c>
      <c r="BB323" s="215">
        <f t="shared" si="2147"/>
        <v>0</v>
      </c>
      <c r="BC323" s="215">
        <f t="shared" si="2148"/>
        <v>0</v>
      </c>
      <c r="BD323" s="215">
        <f t="shared" si="2149"/>
        <v>0</v>
      </c>
      <c r="BE323" s="215">
        <f t="shared" si="2150"/>
        <v>0</v>
      </c>
      <c r="BF323" s="215">
        <f t="shared" si="2151"/>
        <v>0</v>
      </c>
      <c r="BG323" s="215">
        <f t="shared" si="2152"/>
        <v>0</v>
      </c>
      <c r="BH323" s="215">
        <f t="shared" si="2153"/>
        <v>0</v>
      </c>
      <c r="BI323" s="215">
        <f t="shared" si="2154"/>
        <v>0</v>
      </c>
      <c r="BJ323" s="195"/>
      <c r="BK323" s="66">
        <v>11</v>
      </c>
      <c r="BL323" s="66">
        <v>2015</v>
      </c>
      <c r="BM323" s="215">
        <f t="shared" si="2197"/>
        <v>0</v>
      </c>
      <c r="BN323" s="219">
        <f t="shared" si="2198"/>
        <v>0</v>
      </c>
      <c r="BO323" s="219">
        <f t="shared" si="2199"/>
        <v>0</v>
      </c>
      <c r="BP323" s="219">
        <f t="shared" si="2200"/>
        <v>0</v>
      </c>
      <c r="BQ323" s="219">
        <f t="shared" si="2201"/>
        <v>0</v>
      </c>
      <c r="BR323" s="220">
        <f t="shared" si="2202"/>
        <v>0</v>
      </c>
      <c r="BS323" s="219">
        <f t="shared" si="2203"/>
        <v>0</v>
      </c>
      <c r="BT323" s="219">
        <f t="shared" si="2204"/>
        <v>0</v>
      </c>
      <c r="BU323" s="219">
        <f t="shared" si="2205"/>
        <v>0</v>
      </c>
      <c r="BV323" s="219">
        <f t="shared" si="2206"/>
        <v>0</v>
      </c>
      <c r="BW323" s="219">
        <f t="shared" si="2207"/>
        <v>0</v>
      </c>
      <c r="BX323" s="220">
        <f t="shared" si="2208"/>
        <v>0</v>
      </c>
      <c r="BY323" s="195"/>
      <c r="BZ323" s="66">
        <v>11</v>
      </c>
      <c r="CA323" s="66">
        <v>2015</v>
      </c>
      <c r="CB323" s="218">
        <f t="shared" si="2209"/>
        <v>0</v>
      </c>
      <c r="CC323" s="218">
        <f t="shared" si="2210"/>
        <v>0</v>
      </c>
      <c r="CD323" s="73">
        <f t="shared" si="2211"/>
        <v>0</v>
      </c>
      <c r="CE323" s="73">
        <f t="shared" si="2212"/>
        <v>0</v>
      </c>
      <c r="CF323" s="73">
        <f t="shared" si="2213"/>
        <v>0</v>
      </c>
      <c r="CG323" s="73">
        <f t="shared" si="2214"/>
        <v>0</v>
      </c>
      <c r="CH323" s="73">
        <f t="shared" si="2215"/>
        <v>0</v>
      </c>
      <c r="CI323" s="73">
        <f t="shared" si="2216"/>
        <v>0</v>
      </c>
      <c r="CJ323" s="73">
        <f t="shared" si="2217"/>
        <v>0</v>
      </c>
      <c r="CK323" s="73">
        <f t="shared" si="2218"/>
        <v>0</v>
      </c>
      <c r="CL323" s="73">
        <f t="shared" si="2219"/>
        <v>0</v>
      </c>
      <c r="CM323" s="73">
        <f t="shared" si="2220"/>
        <v>0</v>
      </c>
      <c r="CN323" s="73">
        <f t="shared" si="2221"/>
        <v>0</v>
      </c>
      <c r="CO323" s="73">
        <f t="shared" si="2222"/>
        <v>0</v>
      </c>
      <c r="CP323" s="73">
        <f t="shared" si="2223"/>
        <v>0</v>
      </c>
      <c r="CQ323" s="73">
        <f t="shared" si="2224"/>
        <v>0</v>
      </c>
      <c r="CR323" s="73">
        <f t="shared" si="2225"/>
        <v>0</v>
      </c>
      <c r="CS323" s="73">
        <f t="shared" si="2226"/>
        <v>0</v>
      </c>
      <c r="CT323" s="73">
        <f t="shared" si="2227"/>
        <v>0</v>
      </c>
      <c r="CU323" s="73">
        <f t="shared" si="2228"/>
        <v>0</v>
      </c>
      <c r="CV323" s="73">
        <f t="shared" si="2229"/>
        <v>0</v>
      </c>
      <c r="CW323" s="73">
        <f t="shared" si="2230"/>
        <v>0</v>
      </c>
      <c r="CX323" s="73">
        <f t="shared" si="2231"/>
        <v>0</v>
      </c>
      <c r="CY323" s="73">
        <f t="shared" si="2232"/>
        <v>0</v>
      </c>
      <c r="CZ323" s="190"/>
      <c r="DA323" s="66">
        <v>2015</v>
      </c>
      <c r="DB323" s="218">
        <f t="shared" si="2155"/>
        <v>0</v>
      </c>
      <c r="DC323" s="218">
        <f t="shared" si="2156"/>
        <v>0</v>
      </c>
      <c r="DD323" s="73">
        <f t="shared" si="2157"/>
        <v>0</v>
      </c>
      <c r="DE323" s="73">
        <f t="shared" si="2158"/>
        <v>0</v>
      </c>
      <c r="DF323" s="73">
        <f t="shared" si="2159"/>
        <v>0</v>
      </c>
      <c r="DG323" s="73">
        <f t="shared" si="2160"/>
        <v>0</v>
      </c>
      <c r="DH323" s="72" t="e">
        <f t="shared" si="2187"/>
        <v>#DIV/0!</v>
      </c>
      <c r="DI323" s="72" t="e">
        <f t="shared" si="2188"/>
        <v>#DIV/0!</v>
      </c>
      <c r="DJ323" s="73">
        <f>SUM(AV312:AV323,BB312:BB323,BI312:BI323)</f>
        <v>0</v>
      </c>
      <c r="DK323" s="73">
        <f>SUM(AV318:AV323,BB318:BB323,BI318:BI323)</f>
        <v>0</v>
      </c>
      <c r="DL323" s="190"/>
    </row>
    <row r="324" spans="22:116" x14ac:dyDescent="0.25">
      <c r="V324" s="13"/>
      <c r="W324" s="66">
        <v>12</v>
      </c>
      <c r="X324" s="66">
        <v>2016</v>
      </c>
      <c r="Y324" s="69">
        <v>0</v>
      </c>
      <c r="Z324" s="69">
        <v>0</v>
      </c>
      <c r="AA324" s="69">
        <v>0</v>
      </c>
      <c r="AB324" s="69">
        <v>0</v>
      </c>
      <c r="AC324" s="69">
        <v>0</v>
      </c>
      <c r="AD324" s="69">
        <v>0</v>
      </c>
      <c r="AE324" s="69">
        <v>0</v>
      </c>
      <c r="AF324" s="69">
        <v>0</v>
      </c>
      <c r="AG324" s="69">
        <v>0</v>
      </c>
      <c r="AH324" s="69">
        <v>0</v>
      </c>
      <c r="AI324" s="69">
        <v>0</v>
      </c>
      <c r="AJ324" s="69">
        <v>0</v>
      </c>
      <c r="AK324" s="69">
        <v>0</v>
      </c>
      <c r="AL324" s="69">
        <v>0</v>
      </c>
      <c r="AM324" s="69">
        <v>0</v>
      </c>
      <c r="AN324" s="69">
        <v>0</v>
      </c>
      <c r="AO324" s="69">
        <v>0</v>
      </c>
      <c r="AP324" s="190"/>
      <c r="AQ324" s="66">
        <v>12</v>
      </c>
      <c r="AR324" s="66">
        <v>2016</v>
      </c>
      <c r="AS324" s="215">
        <f t="shared" si="2138"/>
        <v>0</v>
      </c>
      <c r="AT324" s="215">
        <f t="shared" si="2139"/>
        <v>0</v>
      </c>
      <c r="AU324" s="215">
        <f t="shared" si="2140"/>
        <v>0</v>
      </c>
      <c r="AV324" s="215">
        <f t="shared" si="2141"/>
        <v>0</v>
      </c>
      <c r="AW324" s="215">
        <f t="shared" si="2142"/>
        <v>0</v>
      </c>
      <c r="AX324" s="215">
        <f t="shared" si="2143"/>
        <v>0</v>
      </c>
      <c r="AY324" s="215">
        <f t="shared" si="2144"/>
        <v>0</v>
      </c>
      <c r="AZ324" s="215">
        <f t="shared" si="2145"/>
        <v>0</v>
      </c>
      <c r="BA324" s="215">
        <f t="shared" si="2146"/>
        <v>0</v>
      </c>
      <c r="BB324" s="215">
        <f t="shared" si="2147"/>
        <v>0</v>
      </c>
      <c r="BC324" s="215">
        <f t="shared" si="2148"/>
        <v>0</v>
      </c>
      <c r="BD324" s="215">
        <f t="shared" si="2149"/>
        <v>0</v>
      </c>
      <c r="BE324" s="215">
        <f t="shared" si="2150"/>
        <v>0</v>
      </c>
      <c r="BF324" s="215">
        <f t="shared" si="2151"/>
        <v>0</v>
      </c>
      <c r="BG324" s="215">
        <f t="shared" si="2152"/>
        <v>0</v>
      </c>
      <c r="BH324" s="215">
        <f t="shared" si="2153"/>
        <v>0</v>
      </c>
      <c r="BI324" s="215">
        <f t="shared" si="2154"/>
        <v>0</v>
      </c>
      <c r="BJ324" s="195"/>
      <c r="BK324" s="66">
        <v>12</v>
      </c>
      <c r="BL324" s="66">
        <v>2016</v>
      </c>
      <c r="BM324" s="215">
        <f t="shared" si="2197"/>
        <v>0</v>
      </c>
      <c r="BN324" s="219">
        <f t="shared" si="2198"/>
        <v>0</v>
      </c>
      <c r="BO324" s="219">
        <f t="shared" si="2199"/>
        <v>0</v>
      </c>
      <c r="BP324" s="219">
        <f t="shared" si="2200"/>
        <v>0</v>
      </c>
      <c r="BQ324" s="219">
        <f t="shared" si="2201"/>
        <v>0</v>
      </c>
      <c r="BR324" s="220">
        <f t="shared" si="2202"/>
        <v>0</v>
      </c>
      <c r="BS324" s="219">
        <f t="shared" si="2203"/>
        <v>0</v>
      </c>
      <c r="BT324" s="219">
        <f t="shared" si="2204"/>
        <v>0</v>
      </c>
      <c r="BU324" s="219">
        <f t="shared" si="2205"/>
        <v>0</v>
      </c>
      <c r="BV324" s="219">
        <f t="shared" si="2206"/>
        <v>0</v>
      </c>
      <c r="BW324" s="219">
        <f t="shared" si="2207"/>
        <v>0</v>
      </c>
      <c r="BX324" s="220">
        <f t="shared" si="2208"/>
        <v>0</v>
      </c>
      <c r="BY324" s="195"/>
      <c r="BZ324" s="66">
        <v>12</v>
      </c>
      <c r="CA324" s="66">
        <v>2016</v>
      </c>
      <c r="CB324" s="218">
        <f t="shared" si="2209"/>
        <v>0</v>
      </c>
      <c r="CC324" s="218">
        <f t="shared" si="2210"/>
        <v>0</v>
      </c>
      <c r="CD324" s="73">
        <f t="shared" si="2211"/>
        <v>0</v>
      </c>
      <c r="CE324" s="73">
        <f t="shared" si="2212"/>
        <v>0</v>
      </c>
      <c r="CF324" s="73">
        <f t="shared" si="2213"/>
        <v>0</v>
      </c>
      <c r="CG324" s="73">
        <f t="shared" si="2214"/>
        <v>0</v>
      </c>
      <c r="CH324" s="73">
        <f t="shared" si="2215"/>
        <v>0</v>
      </c>
      <c r="CI324" s="73">
        <f t="shared" si="2216"/>
        <v>0</v>
      </c>
      <c r="CJ324" s="73">
        <f t="shared" si="2217"/>
        <v>0</v>
      </c>
      <c r="CK324" s="73">
        <f t="shared" si="2218"/>
        <v>0</v>
      </c>
      <c r="CL324" s="73">
        <f t="shared" si="2219"/>
        <v>0</v>
      </c>
      <c r="CM324" s="73">
        <f t="shared" si="2220"/>
        <v>0</v>
      </c>
      <c r="CN324" s="73">
        <f t="shared" si="2221"/>
        <v>0</v>
      </c>
      <c r="CO324" s="73">
        <f t="shared" si="2222"/>
        <v>0</v>
      </c>
      <c r="CP324" s="73">
        <f t="shared" si="2223"/>
        <v>0</v>
      </c>
      <c r="CQ324" s="73">
        <f t="shared" si="2224"/>
        <v>0</v>
      </c>
      <c r="CR324" s="73">
        <f t="shared" si="2225"/>
        <v>0</v>
      </c>
      <c r="CS324" s="73">
        <f t="shared" si="2226"/>
        <v>0</v>
      </c>
      <c r="CT324" s="73">
        <f t="shared" si="2227"/>
        <v>0</v>
      </c>
      <c r="CU324" s="73">
        <f t="shared" si="2228"/>
        <v>0</v>
      </c>
      <c r="CV324" s="73">
        <f t="shared" si="2229"/>
        <v>0</v>
      </c>
      <c r="CW324" s="73">
        <f t="shared" si="2230"/>
        <v>0</v>
      </c>
      <c r="CX324" s="73">
        <f t="shared" si="2231"/>
        <v>0</v>
      </c>
      <c r="CY324" s="73">
        <f t="shared" si="2232"/>
        <v>0</v>
      </c>
      <c r="CZ324" s="190"/>
      <c r="DA324" s="66">
        <v>2016</v>
      </c>
      <c r="DB324" s="218">
        <f t="shared" si="2155"/>
        <v>0</v>
      </c>
      <c r="DC324" s="218">
        <f t="shared" si="2156"/>
        <v>0</v>
      </c>
      <c r="DD324" s="73">
        <f t="shared" si="2157"/>
        <v>0</v>
      </c>
      <c r="DE324" s="73">
        <f t="shared" si="2158"/>
        <v>0</v>
      </c>
      <c r="DF324" s="73">
        <f t="shared" si="2159"/>
        <v>0</v>
      </c>
      <c r="DG324" s="73">
        <f t="shared" si="2160"/>
        <v>0</v>
      </c>
      <c r="DH324" s="72" t="e">
        <f t="shared" si="2187"/>
        <v>#DIV/0!</v>
      </c>
      <c r="DI324" s="72" t="e">
        <f t="shared" si="2188"/>
        <v>#DIV/0!</v>
      </c>
      <c r="DJ324" s="73">
        <f>SUM(AV312:AV324,BB312:BB324,BI312:BI324)</f>
        <v>0</v>
      </c>
      <c r="DK324" s="73">
        <f>SUM(AV318:AV324,BB318:BB324,BI318:BI324)</f>
        <v>0</v>
      </c>
      <c r="DL324" s="190"/>
    </row>
    <row r="325" spans="22:116" x14ac:dyDescent="0.25">
      <c r="V325" s="13"/>
      <c r="W325" s="66">
        <v>13</v>
      </c>
      <c r="X325" s="66">
        <v>2017</v>
      </c>
      <c r="Y325" s="69">
        <v>0</v>
      </c>
      <c r="Z325" s="69">
        <v>0</v>
      </c>
      <c r="AA325" s="69">
        <v>0</v>
      </c>
      <c r="AB325" s="69">
        <v>0</v>
      </c>
      <c r="AC325" s="69">
        <v>0</v>
      </c>
      <c r="AD325" s="69">
        <v>0</v>
      </c>
      <c r="AE325" s="69">
        <v>0</v>
      </c>
      <c r="AF325" s="69">
        <v>0</v>
      </c>
      <c r="AG325" s="69">
        <v>0</v>
      </c>
      <c r="AH325" s="69">
        <v>0</v>
      </c>
      <c r="AI325" s="69">
        <v>0</v>
      </c>
      <c r="AJ325" s="69">
        <v>0</v>
      </c>
      <c r="AK325" s="69">
        <v>0</v>
      </c>
      <c r="AL325" s="69">
        <v>0</v>
      </c>
      <c r="AM325" s="69">
        <v>0</v>
      </c>
      <c r="AN325" s="69">
        <v>0</v>
      </c>
      <c r="AO325" s="69">
        <v>0</v>
      </c>
      <c r="AP325" s="190"/>
      <c r="AQ325" s="66">
        <v>13</v>
      </c>
      <c r="AR325" s="66">
        <v>2017</v>
      </c>
      <c r="AS325" s="215">
        <f t="shared" si="2138"/>
        <v>0</v>
      </c>
      <c r="AT325" s="215">
        <f t="shared" si="2139"/>
        <v>0</v>
      </c>
      <c r="AU325" s="215">
        <f t="shared" si="2140"/>
        <v>0</v>
      </c>
      <c r="AV325" s="215">
        <f t="shared" si="2141"/>
        <v>0</v>
      </c>
      <c r="AW325" s="215">
        <f t="shared" si="2142"/>
        <v>0</v>
      </c>
      <c r="AX325" s="215">
        <f t="shared" si="2143"/>
        <v>0</v>
      </c>
      <c r="AY325" s="215">
        <f t="shared" si="2144"/>
        <v>0</v>
      </c>
      <c r="AZ325" s="215">
        <f t="shared" si="2145"/>
        <v>0</v>
      </c>
      <c r="BA325" s="215">
        <f t="shared" si="2146"/>
        <v>0</v>
      </c>
      <c r="BB325" s="215">
        <f t="shared" si="2147"/>
        <v>0</v>
      </c>
      <c r="BC325" s="215">
        <f t="shared" si="2148"/>
        <v>0</v>
      </c>
      <c r="BD325" s="215">
        <f t="shared" si="2149"/>
        <v>0</v>
      </c>
      <c r="BE325" s="215">
        <f t="shared" si="2150"/>
        <v>0</v>
      </c>
      <c r="BF325" s="215">
        <f t="shared" si="2151"/>
        <v>0</v>
      </c>
      <c r="BG325" s="215">
        <f t="shared" si="2152"/>
        <v>0</v>
      </c>
      <c r="BH325" s="215">
        <f t="shared" si="2153"/>
        <v>0</v>
      </c>
      <c r="BI325" s="215">
        <f t="shared" si="2154"/>
        <v>0</v>
      </c>
      <c r="BJ325" s="195"/>
      <c r="BK325" s="66">
        <v>13</v>
      </c>
      <c r="BL325" s="66">
        <v>2017</v>
      </c>
      <c r="BM325" s="215">
        <f t="shared" si="2197"/>
        <v>0</v>
      </c>
      <c r="BN325" s="219">
        <f t="shared" si="2198"/>
        <v>0</v>
      </c>
      <c r="BO325" s="219">
        <f t="shared" si="2199"/>
        <v>0</v>
      </c>
      <c r="BP325" s="219">
        <f t="shared" si="2200"/>
        <v>0</v>
      </c>
      <c r="BQ325" s="219">
        <f t="shared" si="2201"/>
        <v>0</v>
      </c>
      <c r="BR325" s="220">
        <f t="shared" si="2202"/>
        <v>0</v>
      </c>
      <c r="BS325" s="219">
        <f t="shared" si="2203"/>
        <v>0</v>
      </c>
      <c r="BT325" s="219">
        <f t="shared" si="2204"/>
        <v>0</v>
      </c>
      <c r="BU325" s="219">
        <f t="shared" si="2205"/>
        <v>0</v>
      </c>
      <c r="BV325" s="219">
        <f t="shared" si="2206"/>
        <v>0</v>
      </c>
      <c r="BW325" s="219">
        <f t="shared" si="2207"/>
        <v>0</v>
      </c>
      <c r="BX325" s="220">
        <f t="shared" si="2208"/>
        <v>0</v>
      </c>
      <c r="BY325" s="195"/>
      <c r="BZ325" s="66">
        <v>13</v>
      </c>
      <c r="CA325" s="66">
        <v>2017</v>
      </c>
      <c r="CB325" s="218">
        <f t="shared" si="2209"/>
        <v>0</v>
      </c>
      <c r="CC325" s="218">
        <f t="shared" si="2210"/>
        <v>0</v>
      </c>
      <c r="CD325" s="73">
        <f t="shared" si="2211"/>
        <v>0</v>
      </c>
      <c r="CE325" s="73">
        <f t="shared" si="2212"/>
        <v>0</v>
      </c>
      <c r="CF325" s="73">
        <f t="shared" si="2213"/>
        <v>0</v>
      </c>
      <c r="CG325" s="73">
        <f t="shared" si="2214"/>
        <v>0</v>
      </c>
      <c r="CH325" s="73">
        <f t="shared" si="2215"/>
        <v>0</v>
      </c>
      <c r="CI325" s="73">
        <f t="shared" si="2216"/>
        <v>0</v>
      </c>
      <c r="CJ325" s="73">
        <f t="shared" si="2217"/>
        <v>0</v>
      </c>
      <c r="CK325" s="73">
        <f t="shared" si="2218"/>
        <v>0</v>
      </c>
      <c r="CL325" s="73">
        <f t="shared" si="2219"/>
        <v>0</v>
      </c>
      <c r="CM325" s="73">
        <f t="shared" si="2220"/>
        <v>0</v>
      </c>
      <c r="CN325" s="73">
        <f t="shared" si="2221"/>
        <v>0</v>
      </c>
      <c r="CO325" s="73">
        <f t="shared" si="2222"/>
        <v>0</v>
      </c>
      <c r="CP325" s="73">
        <f t="shared" si="2223"/>
        <v>0</v>
      </c>
      <c r="CQ325" s="73">
        <f t="shared" si="2224"/>
        <v>0</v>
      </c>
      <c r="CR325" s="73">
        <f t="shared" si="2225"/>
        <v>0</v>
      </c>
      <c r="CS325" s="73">
        <f t="shared" si="2226"/>
        <v>0</v>
      </c>
      <c r="CT325" s="73">
        <f t="shared" si="2227"/>
        <v>0</v>
      </c>
      <c r="CU325" s="73">
        <f t="shared" si="2228"/>
        <v>0</v>
      </c>
      <c r="CV325" s="73">
        <f t="shared" si="2229"/>
        <v>0</v>
      </c>
      <c r="CW325" s="73">
        <f t="shared" si="2230"/>
        <v>0</v>
      </c>
      <c r="CX325" s="73">
        <f t="shared" si="2231"/>
        <v>0</v>
      </c>
      <c r="CY325" s="73">
        <f t="shared" si="2232"/>
        <v>0</v>
      </c>
      <c r="CZ325" s="190"/>
      <c r="DA325" s="66">
        <v>2017</v>
      </c>
      <c r="DB325" s="218">
        <f t="shared" si="2155"/>
        <v>0</v>
      </c>
      <c r="DC325" s="218">
        <f t="shared" si="2156"/>
        <v>0</v>
      </c>
      <c r="DD325" s="73">
        <f t="shared" si="2157"/>
        <v>0</v>
      </c>
      <c r="DE325" s="73">
        <f t="shared" si="2158"/>
        <v>0</v>
      </c>
      <c r="DF325" s="73">
        <f t="shared" si="2159"/>
        <v>0</v>
      </c>
      <c r="DG325" s="73">
        <f t="shared" si="2160"/>
        <v>0</v>
      </c>
      <c r="DH325" s="72" t="e">
        <f t="shared" si="2187"/>
        <v>#DIV/0!</v>
      </c>
      <c r="DI325" s="72" t="e">
        <f t="shared" si="2188"/>
        <v>#DIV/0!</v>
      </c>
      <c r="DJ325" s="73">
        <f>SUM(AV312:AV325,BB312:BB325,BI312:BI325)</f>
        <v>0</v>
      </c>
      <c r="DK325" s="73">
        <f>SUM(AV318:AV325,BB318:BB325,BI318:BI325)</f>
        <v>0</v>
      </c>
      <c r="DL325" s="190"/>
    </row>
    <row r="326" spans="22:116" x14ac:dyDescent="0.25">
      <c r="V326" s="13"/>
      <c r="W326" s="66">
        <v>14</v>
      </c>
      <c r="X326" s="66">
        <v>2018</v>
      </c>
      <c r="Y326" s="69">
        <v>1</v>
      </c>
      <c r="Z326" s="69">
        <v>0</v>
      </c>
      <c r="AA326" s="69">
        <v>0</v>
      </c>
      <c r="AB326" s="69">
        <v>0</v>
      </c>
      <c r="AC326" s="69">
        <v>0</v>
      </c>
      <c r="AD326" s="69">
        <v>0</v>
      </c>
      <c r="AE326" s="69">
        <v>0</v>
      </c>
      <c r="AF326" s="69">
        <v>0</v>
      </c>
      <c r="AG326" s="69">
        <v>0</v>
      </c>
      <c r="AH326" s="69">
        <v>0</v>
      </c>
      <c r="AI326" s="69">
        <v>0</v>
      </c>
      <c r="AJ326" s="69">
        <v>0</v>
      </c>
      <c r="AK326" s="69">
        <v>0</v>
      </c>
      <c r="AL326" s="69">
        <v>0</v>
      </c>
      <c r="AM326" s="69">
        <v>0</v>
      </c>
      <c r="AN326" s="69">
        <v>0</v>
      </c>
      <c r="AO326" s="69">
        <v>0</v>
      </c>
      <c r="AP326" s="190"/>
      <c r="AQ326" s="66">
        <v>14</v>
      </c>
      <c r="AR326" s="66">
        <v>2018</v>
      </c>
      <c r="AS326" s="215">
        <f t="shared" si="2138"/>
        <v>8588.0400000000009</v>
      </c>
      <c r="AT326" s="215">
        <f t="shared" si="2139"/>
        <v>0</v>
      </c>
      <c r="AU326" s="215">
        <f t="shared" si="2140"/>
        <v>0</v>
      </c>
      <c r="AV326" s="215">
        <f t="shared" si="2141"/>
        <v>0</v>
      </c>
      <c r="AW326" s="215">
        <f t="shared" si="2142"/>
        <v>0</v>
      </c>
      <c r="AX326" s="215">
        <f t="shared" si="2143"/>
        <v>0</v>
      </c>
      <c r="AY326" s="215">
        <f t="shared" si="2144"/>
        <v>0</v>
      </c>
      <c r="AZ326" s="215">
        <f t="shared" si="2145"/>
        <v>0</v>
      </c>
      <c r="BA326" s="215">
        <f t="shared" si="2146"/>
        <v>0</v>
      </c>
      <c r="BB326" s="215">
        <f t="shared" si="2147"/>
        <v>0</v>
      </c>
      <c r="BC326" s="215">
        <f t="shared" si="2148"/>
        <v>0</v>
      </c>
      <c r="BD326" s="215">
        <f t="shared" si="2149"/>
        <v>0</v>
      </c>
      <c r="BE326" s="215">
        <f t="shared" si="2150"/>
        <v>0</v>
      </c>
      <c r="BF326" s="215">
        <f t="shared" si="2151"/>
        <v>0</v>
      </c>
      <c r="BG326" s="215">
        <f t="shared" si="2152"/>
        <v>0</v>
      </c>
      <c r="BH326" s="215">
        <f t="shared" si="2153"/>
        <v>0</v>
      </c>
      <c r="BI326" s="215">
        <f t="shared" si="2154"/>
        <v>0</v>
      </c>
      <c r="BJ326" s="195"/>
      <c r="BK326" s="66">
        <v>14</v>
      </c>
      <c r="BL326" s="66">
        <v>2018</v>
      </c>
      <c r="BM326" s="215">
        <f t="shared" si="2197"/>
        <v>0</v>
      </c>
      <c r="BN326" s="219">
        <f t="shared" si="2198"/>
        <v>0</v>
      </c>
      <c r="BO326" s="219">
        <f t="shared" si="2199"/>
        <v>0</v>
      </c>
      <c r="BP326" s="219">
        <f t="shared" si="2200"/>
        <v>0</v>
      </c>
      <c r="BQ326" s="219">
        <f t="shared" si="2201"/>
        <v>0</v>
      </c>
      <c r="BR326" s="220">
        <f t="shared" si="2202"/>
        <v>0</v>
      </c>
      <c r="BS326" s="219">
        <f t="shared" si="2203"/>
        <v>0</v>
      </c>
      <c r="BT326" s="219">
        <f t="shared" si="2204"/>
        <v>0</v>
      </c>
      <c r="BU326" s="219">
        <f t="shared" si="2205"/>
        <v>0</v>
      </c>
      <c r="BV326" s="219">
        <f t="shared" si="2206"/>
        <v>0</v>
      </c>
      <c r="BW326" s="219">
        <f t="shared" si="2207"/>
        <v>0</v>
      </c>
      <c r="BX326" s="220">
        <f t="shared" si="2208"/>
        <v>0</v>
      </c>
      <c r="BY326" s="195"/>
      <c r="BZ326" s="66">
        <v>14</v>
      </c>
      <c r="CA326" s="66">
        <v>2018</v>
      </c>
      <c r="CB326" s="218">
        <f t="shared" si="2209"/>
        <v>0</v>
      </c>
      <c r="CC326" s="218">
        <f t="shared" si="2210"/>
        <v>0</v>
      </c>
      <c r="CD326" s="73">
        <f t="shared" si="2211"/>
        <v>0</v>
      </c>
      <c r="CE326" s="73">
        <f t="shared" si="2212"/>
        <v>0</v>
      </c>
      <c r="CF326" s="73">
        <f t="shared" si="2213"/>
        <v>0</v>
      </c>
      <c r="CG326" s="73">
        <f t="shared" si="2214"/>
        <v>0</v>
      </c>
      <c r="CH326" s="73">
        <f t="shared" si="2215"/>
        <v>0</v>
      </c>
      <c r="CI326" s="73">
        <f t="shared" si="2216"/>
        <v>0</v>
      </c>
      <c r="CJ326" s="73">
        <f t="shared" si="2217"/>
        <v>0</v>
      </c>
      <c r="CK326" s="73">
        <f t="shared" si="2218"/>
        <v>0</v>
      </c>
      <c r="CL326" s="73">
        <f t="shared" si="2219"/>
        <v>0</v>
      </c>
      <c r="CM326" s="73">
        <f t="shared" si="2220"/>
        <v>0</v>
      </c>
      <c r="CN326" s="73">
        <f t="shared" si="2221"/>
        <v>0</v>
      </c>
      <c r="CO326" s="73">
        <f t="shared" si="2222"/>
        <v>0</v>
      </c>
      <c r="CP326" s="73">
        <f t="shared" si="2223"/>
        <v>0</v>
      </c>
      <c r="CQ326" s="73">
        <f t="shared" si="2224"/>
        <v>0</v>
      </c>
      <c r="CR326" s="73">
        <f t="shared" si="2225"/>
        <v>0</v>
      </c>
      <c r="CS326" s="73">
        <f t="shared" si="2226"/>
        <v>0</v>
      </c>
      <c r="CT326" s="73">
        <f t="shared" si="2227"/>
        <v>0</v>
      </c>
      <c r="CU326" s="73">
        <f t="shared" si="2228"/>
        <v>0</v>
      </c>
      <c r="CV326" s="73">
        <f t="shared" si="2229"/>
        <v>0</v>
      </c>
      <c r="CW326" s="73">
        <f t="shared" si="2230"/>
        <v>0</v>
      </c>
      <c r="CX326" s="73">
        <f t="shared" si="2231"/>
        <v>0</v>
      </c>
      <c r="CY326" s="73">
        <f t="shared" si="2232"/>
        <v>0</v>
      </c>
      <c r="CZ326" s="190"/>
      <c r="DA326" s="66">
        <v>2018</v>
      </c>
      <c r="DB326" s="218">
        <f t="shared" si="2155"/>
        <v>0</v>
      </c>
      <c r="DC326" s="218">
        <f t="shared" si="2156"/>
        <v>8588.0400000000009</v>
      </c>
      <c r="DD326" s="73">
        <f t="shared" si="2157"/>
        <v>0</v>
      </c>
      <c r="DE326" s="73">
        <f t="shared" si="2158"/>
        <v>0</v>
      </c>
      <c r="DF326" s="73">
        <f t="shared" si="2159"/>
        <v>0</v>
      </c>
      <c r="DG326" s="73">
        <f t="shared" si="2160"/>
        <v>0</v>
      </c>
      <c r="DH326" s="72" t="e">
        <f t="shared" si="2187"/>
        <v>#DIV/0!</v>
      </c>
      <c r="DI326" s="72" t="e">
        <f t="shared" si="2188"/>
        <v>#DIV/0!</v>
      </c>
      <c r="DJ326" s="73">
        <f>SUM(AV312:AV326,BB312:BB326,BI312:BI326)</f>
        <v>0</v>
      </c>
      <c r="DK326" s="73">
        <f>SUM(AV318:AV326,BB318:BB326,BI318:BI326)</f>
        <v>0</v>
      </c>
      <c r="DL326" s="190"/>
    </row>
    <row r="327" spans="22:116" x14ac:dyDescent="0.25">
      <c r="V327" s="13"/>
      <c r="W327" s="66">
        <v>15</v>
      </c>
      <c r="X327" s="66">
        <v>2019</v>
      </c>
      <c r="Y327" s="70">
        <f t="shared" ref="Y327:Y331" si="2233">MMULT($Y326:$AO326,D$202:D$218)</f>
        <v>0.63376008575865694</v>
      </c>
      <c r="Z327" s="70">
        <f t="shared" ref="Z327:Z331" si="2234">MMULT($Y326:$AO326,E$202:E$218)</f>
        <v>7.4027434914144222E-2</v>
      </c>
      <c r="AA327" s="70">
        <f t="shared" ref="AA327:AA331" si="2235">MMULT($Y326:$AO326,F$202:F$218)</f>
        <v>0</v>
      </c>
      <c r="AB327" s="70">
        <f t="shared" ref="AB327:AB331" si="2236">MMULT($Y326:$AO326,G$202:G$218)</f>
        <v>1.818504441305463E-2</v>
      </c>
      <c r="AC327" s="70">
        <f t="shared" ref="AC327:AC331" si="2237">MMULT($Y326:$AO326,H$202:H$218)</f>
        <v>0.2</v>
      </c>
      <c r="AD327" s="70">
        <f t="shared" ref="AD327:AD331" si="2238">MMULT($Y326:$AO326,I$202:I$218)</f>
        <v>7.4027434914144222E-2</v>
      </c>
      <c r="AE327" s="70">
        <f t="shared" ref="AE327:AE331" si="2239">MMULT($Y326:$AO326,J$202:J$218)</f>
        <v>0</v>
      </c>
      <c r="AF327" s="70">
        <f t="shared" ref="AF327:AF331" si="2240">MMULT($Y326:$AO326,K$202:K$218)</f>
        <v>0</v>
      </c>
      <c r="AG327" s="70">
        <f t="shared" ref="AG327:AG331" si="2241">MMULT($Y326:$AO326,L$202:L$218)</f>
        <v>0</v>
      </c>
      <c r="AH327" s="70">
        <f t="shared" ref="AH327:AH331" si="2242">MMULT($Y326:$AO326,M$202:M$218)</f>
        <v>0</v>
      </c>
      <c r="AI327" s="70">
        <f t="shared" ref="AI327:AI331" si="2243">MMULT($Y326:$AO326,N$202:N$218)</f>
        <v>0</v>
      </c>
      <c r="AJ327" s="70">
        <f t="shared" ref="AJ327:AJ331" si="2244">MMULT($Y326:$AO326,O$202:O$218)</f>
        <v>0</v>
      </c>
      <c r="AK327" s="70">
        <f t="shared" ref="AK327:AK331" si="2245">MMULT($Y326:$AO326,P$202:P$218)</f>
        <v>0</v>
      </c>
      <c r="AL327" s="70">
        <f t="shared" ref="AL327:AL331" si="2246">MMULT($Y326:$AO326,Q$202:Q$218)</f>
        <v>0</v>
      </c>
      <c r="AM327" s="70">
        <f t="shared" ref="AM327:AM331" si="2247">MMULT($Y326:$AO326,R$202:R$218)</f>
        <v>0</v>
      </c>
      <c r="AN327" s="70">
        <f t="shared" ref="AN327:AN331" si="2248">MMULT($Y326:$AO326,S$202:S$218)</f>
        <v>0</v>
      </c>
      <c r="AO327" s="70">
        <f t="shared" ref="AO327:AO331" si="2249">MMULT($Y326:$AO326,T$202:T$218)</f>
        <v>0</v>
      </c>
      <c r="AP327" s="190"/>
      <c r="AQ327" s="66">
        <v>15</v>
      </c>
      <c r="AR327" s="66">
        <v>2019</v>
      </c>
      <c r="AS327" s="215">
        <f t="shared" si="2138"/>
        <v>5442.7569668987771</v>
      </c>
      <c r="AT327" s="215">
        <f t="shared" si="2139"/>
        <v>635.75057214006722</v>
      </c>
      <c r="AU327" s="215">
        <f t="shared" si="2140"/>
        <v>0</v>
      </c>
      <c r="AV327" s="215">
        <f t="shared" si="2141"/>
        <v>156.17388882108969</v>
      </c>
      <c r="AW327" s="215">
        <f t="shared" si="2142"/>
        <v>1717.6080000000002</v>
      </c>
      <c r="AX327" s="215">
        <f t="shared" si="2143"/>
        <v>635.75057214006722</v>
      </c>
      <c r="AY327" s="215">
        <f t="shared" si="2144"/>
        <v>0</v>
      </c>
      <c r="AZ327" s="215">
        <f t="shared" si="2145"/>
        <v>0</v>
      </c>
      <c r="BA327" s="215">
        <f t="shared" si="2146"/>
        <v>0</v>
      </c>
      <c r="BB327" s="215">
        <f t="shared" si="2147"/>
        <v>0</v>
      </c>
      <c r="BC327" s="215">
        <f t="shared" si="2148"/>
        <v>0</v>
      </c>
      <c r="BD327" s="215">
        <f t="shared" si="2149"/>
        <v>0</v>
      </c>
      <c r="BE327" s="215">
        <f t="shared" si="2150"/>
        <v>0</v>
      </c>
      <c r="BF327" s="215">
        <f t="shared" si="2151"/>
        <v>0</v>
      </c>
      <c r="BG327" s="215">
        <f t="shared" si="2152"/>
        <v>0</v>
      </c>
      <c r="BH327" s="215">
        <f t="shared" si="2153"/>
        <v>0</v>
      </c>
      <c r="BI327" s="215">
        <f t="shared" si="2154"/>
        <v>0</v>
      </c>
      <c r="BJ327" s="195"/>
      <c r="BK327" s="66">
        <v>15</v>
      </c>
      <c r="BL327" s="66">
        <v>2019</v>
      </c>
      <c r="BM327" s="215">
        <f t="shared" si="2197"/>
        <v>0</v>
      </c>
      <c r="BN327" s="219">
        <f t="shared" si="2198"/>
        <v>0</v>
      </c>
      <c r="BO327" s="219">
        <f t="shared" si="2199"/>
        <v>0</v>
      </c>
      <c r="BP327" s="219">
        <f t="shared" si="2200"/>
        <v>0</v>
      </c>
      <c r="BQ327" s="219">
        <f t="shared" si="2201"/>
        <v>0</v>
      </c>
      <c r="BR327" s="220">
        <f t="shared" si="2202"/>
        <v>0</v>
      </c>
      <c r="BS327" s="219">
        <f t="shared" si="2203"/>
        <v>0</v>
      </c>
      <c r="BT327" s="219">
        <f t="shared" si="2204"/>
        <v>0</v>
      </c>
      <c r="BU327" s="219">
        <f t="shared" si="2205"/>
        <v>0</v>
      </c>
      <c r="BV327" s="219">
        <f t="shared" si="2206"/>
        <v>0</v>
      </c>
      <c r="BW327" s="219">
        <f t="shared" si="2207"/>
        <v>0</v>
      </c>
      <c r="BX327" s="220">
        <f t="shared" si="2208"/>
        <v>0</v>
      </c>
      <c r="BY327" s="195"/>
      <c r="BZ327" s="66">
        <v>15</v>
      </c>
      <c r="CA327" s="66">
        <v>2019</v>
      </c>
      <c r="CB327" s="218">
        <f t="shared" si="2209"/>
        <v>156.17388882108969</v>
      </c>
      <c r="CC327" s="218">
        <f t="shared" si="2210"/>
        <v>0</v>
      </c>
      <c r="CD327" s="73">
        <f t="shared" si="2211"/>
        <v>0</v>
      </c>
      <c r="CE327" s="73">
        <f t="shared" si="2212"/>
        <v>0</v>
      </c>
      <c r="CF327" s="73">
        <f t="shared" si="2213"/>
        <v>0</v>
      </c>
      <c r="CG327" s="73">
        <f t="shared" si="2214"/>
        <v>0</v>
      </c>
      <c r="CH327" s="73">
        <f t="shared" si="2215"/>
        <v>0</v>
      </c>
      <c r="CI327" s="73">
        <f t="shared" si="2216"/>
        <v>0</v>
      </c>
      <c r="CJ327" s="73">
        <f t="shared" si="2217"/>
        <v>0</v>
      </c>
      <c r="CK327" s="73">
        <f t="shared" si="2218"/>
        <v>0</v>
      </c>
      <c r="CL327" s="73">
        <f t="shared" si="2219"/>
        <v>0</v>
      </c>
      <c r="CM327" s="73">
        <f t="shared" si="2220"/>
        <v>0</v>
      </c>
      <c r="CN327" s="73">
        <f t="shared" si="2221"/>
        <v>0</v>
      </c>
      <c r="CO327" s="73">
        <f t="shared" si="2222"/>
        <v>0</v>
      </c>
      <c r="CP327" s="73">
        <f t="shared" si="2223"/>
        <v>0</v>
      </c>
      <c r="CQ327" s="73">
        <f t="shared" si="2224"/>
        <v>0</v>
      </c>
      <c r="CR327" s="73">
        <f t="shared" si="2225"/>
        <v>0</v>
      </c>
      <c r="CS327" s="73">
        <f t="shared" si="2226"/>
        <v>0</v>
      </c>
      <c r="CT327" s="73">
        <f t="shared" si="2227"/>
        <v>0</v>
      </c>
      <c r="CU327" s="73">
        <f t="shared" si="2228"/>
        <v>0</v>
      </c>
      <c r="CV327" s="73">
        <f t="shared" si="2229"/>
        <v>0</v>
      </c>
      <c r="CW327" s="73">
        <f t="shared" si="2230"/>
        <v>0</v>
      </c>
      <c r="CX327" s="73">
        <f t="shared" si="2231"/>
        <v>0</v>
      </c>
      <c r="CY327" s="73">
        <f t="shared" si="2232"/>
        <v>0</v>
      </c>
      <c r="CZ327" s="190"/>
      <c r="DA327" s="66">
        <v>2019</v>
      </c>
      <c r="DB327" s="218">
        <f t="shared" si="2155"/>
        <v>1271.5011442801344</v>
      </c>
      <c r="DC327" s="218">
        <f t="shared" si="2156"/>
        <v>8431.8661111789115</v>
      </c>
      <c r="DD327" s="73">
        <f t="shared" si="2157"/>
        <v>0</v>
      </c>
      <c r="DE327" s="73">
        <f t="shared" si="2158"/>
        <v>0</v>
      </c>
      <c r="DF327" s="73">
        <f t="shared" si="2159"/>
        <v>0</v>
      </c>
      <c r="DG327" s="73">
        <f t="shared" si="2160"/>
        <v>2353.3585721400673</v>
      </c>
      <c r="DH327" s="72">
        <f t="shared" si="2187"/>
        <v>0</v>
      </c>
      <c r="DI327" s="72" t="e">
        <f t="shared" si="2188"/>
        <v>#DIV/0!</v>
      </c>
      <c r="DJ327" s="73">
        <f>SUM(AV312:AV327,BB312:BB327,BI312:BI327)</f>
        <v>156.17388882108969</v>
      </c>
      <c r="DK327" s="73">
        <f>SUM(AV318:AV327,BB318:BB327,BI318:BI327)</f>
        <v>156.17388882108969</v>
      </c>
      <c r="DL327" s="190"/>
    </row>
    <row r="328" spans="22:116" x14ac:dyDescent="0.25">
      <c r="V328" s="13"/>
      <c r="W328" s="66">
        <v>16</v>
      </c>
      <c r="X328" s="66">
        <v>2020</v>
      </c>
      <c r="Y328" s="70">
        <f t="shared" si="2233"/>
        <v>0.40165184630082018</v>
      </c>
      <c r="Z328" s="70">
        <f t="shared" si="2234"/>
        <v>7.9350132444030066E-2</v>
      </c>
      <c r="AA328" s="70">
        <f t="shared" si="2235"/>
        <v>2.2711269412095766E-2</v>
      </c>
      <c r="AB328" s="70">
        <f t="shared" si="2236"/>
        <v>1.2788092354875989E-2</v>
      </c>
      <c r="AC328" s="70">
        <f t="shared" si="2237"/>
        <v>0.22169301105858225</v>
      </c>
      <c r="AD328" s="70">
        <f t="shared" si="2238"/>
        <v>0.1017364552227743</v>
      </c>
      <c r="AE328" s="70">
        <f t="shared" si="2239"/>
        <v>1.2322340839651991E-2</v>
      </c>
      <c r="AF328" s="70">
        <f t="shared" si="2240"/>
        <v>0</v>
      </c>
      <c r="AG328" s="70">
        <f t="shared" si="2241"/>
        <v>1.3509635260084139E-2</v>
      </c>
      <c r="AH328" s="70">
        <f t="shared" si="2242"/>
        <v>7.5148512019901498E-3</v>
      </c>
      <c r="AI328" s="70">
        <f t="shared" si="2243"/>
        <v>0.06</v>
      </c>
      <c r="AJ328" s="70">
        <f t="shared" si="2244"/>
        <v>4.1948879784681731E-2</v>
      </c>
      <c r="AK328" s="70">
        <f t="shared" si="2245"/>
        <v>6.5884417073588351E-3</v>
      </c>
      <c r="AL328" s="70">
        <f t="shared" si="2246"/>
        <v>0</v>
      </c>
      <c r="AM328" s="70">
        <f t="shared" si="2247"/>
        <v>0</v>
      </c>
      <c r="AN328" s="70">
        <f t="shared" si="2248"/>
        <v>0</v>
      </c>
      <c r="AO328" s="70">
        <f t="shared" si="2249"/>
        <v>0</v>
      </c>
      <c r="AP328" s="190"/>
      <c r="AQ328" s="66">
        <v>16</v>
      </c>
      <c r="AR328" s="66">
        <v>2020</v>
      </c>
      <c r="AS328" s="215">
        <f t="shared" si="2138"/>
        <v>3449.4021221052963</v>
      </c>
      <c r="AT328" s="215">
        <f t="shared" si="2139"/>
        <v>681.46211143462801</v>
      </c>
      <c r="AU328" s="215">
        <f t="shared" si="2140"/>
        <v>195.04529016185495</v>
      </c>
      <c r="AV328" s="215">
        <f t="shared" si="2141"/>
        <v>109.8246486673692</v>
      </c>
      <c r="AW328" s="215">
        <f t="shared" si="2142"/>
        <v>1903.9084466915469</v>
      </c>
      <c r="AX328" s="215">
        <f t="shared" si="2143"/>
        <v>873.71674691139469</v>
      </c>
      <c r="AY328" s="215">
        <f t="shared" si="2144"/>
        <v>105.82475602456491</v>
      </c>
      <c r="AZ328" s="215">
        <f t="shared" si="2145"/>
        <v>0</v>
      </c>
      <c r="BA328" s="215">
        <f t="shared" si="2146"/>
        <v>116.021287999013</v>
      </c>
      <c r="BB328" s="215">
        <f t="shared" si="2147"/>
        <v>64.53784271673949</v>
      </c>
      <c r="BC328" s="215">
        <f t="shared" si="2148"/>
        <v>515.28240000000005</v>
      </c>
      <c r="BD328" s="215">
        <f t="shared" si="2149"/>
        <v>360.25865754603814</v>
      </c>
      <c r="BE328" s="215">
        <f t="shared" si="2150"/>
        <v>56.581800920465973</v>
      </c>
      <c r="BF328" s="215">
        <f t="shared" si="2151"/>
        <v>0</v>
      </c>
      <c r="BG328" s="215">
        <f t="shared" si="2152"/>
        <v>0</v>
      </c>
      <c r="BH328" s="215">
        <f t="shared" si="2153"/>
        <v>0</v>
      </c>
      <c r="BI328" s="215">
        <f t="shared" si="2154"/>
        <v>0</v>
      </c>
      <c r="BJ328" s="195"/>
      <c r="BK328" s="66">
        <v>16</v>
      </c>
      <c r="BL328" s="66">
        <v>2020</v>
      </c>
      <c r="BM328" s="215">
        <f t="shared" si="2197"/>
        <v>116.021287999013</v>
      </c>
      <c r="BN328" s="219">
        <f t="shared" si="2198"/>
        <v>0</v>
      </c>
      <c r="BO328" s="219">
        <f t="shared" si="2199"/>
        <v>0</v>
      </c>
      <c r="BP328" s="219">
        <f t="shared" si="2200"/>
        <v>0</v>
      </c>
      <c r="BQ328" s="219">
        <f t="shared" si="2201"/>
        <v>0</v>
      </c>
      <c r="BR328" s="220">
        <f t="shared" si="2202"/>
        <v>0</v>
      </c>
      <c r="BS328" s="219">
        <f t="shared" si="2203"/>
        <v>0</v>
      </c>
      <c r="BT328" s="219">
        <f t="shared" si="2204"/>
        <v>0</v>
      </c>
      <c r="BU328" s="219">
        <f t="shared" si="2205"/>
        <v>0</v>
      </c>
      <c r="BV328" s="219">
        <f t="shared" si="2206"/>
        <v>0</v>
      </c>
      <c r="BW328" s="219">
        <f t="shared" si="2207"/>
        <v>0</v>
      </c>
      <c r="BX328" s="220">
        <f t="shared" si="2208"/>
        <v>0</v>
      </c>
      <c r="BY328" s="195"/>
      <c r="BZ328" s="66">
        <v>16</v>
      </c>
      <c r="CA328" s="66">
        <v>2020</v>
      </c>
      <c r="CB328" s="218">
        <f t="shared" si="2209"/>
        <v>98.976777172516762</v>
      </c>
      <c r="CC328" s="218">
        <f t="shared" si="2210"/>
        <v>10.847871494852438</v>
      </c>
      <c r="CD328" s="73">
        <f t="shared" si="2211"/>
        <v>0</v>
      </c>
      <c r="CE328" s="73">
        <f t="shared" si="2212"/>
        <v>47.901574880172824</v>
      </c>
      <c r="CF328" s="73">
        <f t="shared" si="2213"/>
        <v>16.636267836566656</v>
      </c>
      <c r="CG328" s="73">
        <f t="shared" si="2214"/>
        <v>0</v>
      </c>
      <c r="CH328" s="73">
        <f t="shared" si="2215"/>
        <v>0</v>
      </c>
      <c r="CI328" s="73">
        <f t="shared" si="2216"/>
        <v>0</v>
      </c>
      <c r="CJ328" s="73">
        <f t="shared" si="2217"/>
        <v>0</v>
      </c>
      <c r="CK328" s="73">
        <f t="shared" si="2218"/>
        <v>0</v>
      </c>
      <c r="CL328" s="73">
        <f t="shared" si="2219"/>
        <v>0</v>
      </c>
      <c r="CM328" s="73">
        <f t="shared" si="2220"/>
        <v>0</v>
      </c>
      <c r="CN328" s="73">
        <f t="shared" si="2221"/>
        <v>0</v>
      </c>
      <c r="CO328" s="73">
        <f t="shared" si="2222"/>
        <v>0</v>
      </c>
      <c r="CP328" s="73">
        <f t="shared" si="2223"/>
        <v>0</v>
      </c>
      <c r="CQ328" s="73">
        <f t="shared" si="2224"/>
        <v>0</v>
      </c>
      <c r="CR328" s="73">
        <f t="shared" si="2225"/>
        <v>0</v>
      </c>
      <c r="CS328" s="73">
        <f t="shared" si="2226"/>
        <v>0</v>
      </c>
      <c r="CT328" s="73">
        <f t="shared" si="2227"/>
        <v>0</v>
      </c>
      <c r="CU328" s="73">
        <f t="shared" si="2228"/>
        <v>0</v>
      </c>
      <c r="CV328" s="73">
        <f t="shared" si="2229"/>
        <v>0</v>
      </c>
      <c r="CW328" s="73">
        <f t="shared" si="2230"/>
        <v>0</v>
      </c>
      <c r="CX328" s="73">
        <f t="shared" si="2231"/>
        <v>0</v>
      </c>
      <c r="CY328" s="73">
        <f t="shared" si="2232"/>
        <v>0</v>
      </c>
      <c r="CZ328" s="190"/>
      <c r="DA328" s="66">
        <v>2020</v>
      </c>
      <c r="DB328" s="218">
        <f t="shared" si="2155"/>
        <v>1915.4375158920609</v>
      </c>
      <c r="DC328" s="218">
        <f t="shared" si="2156"/>
        <v>8257.5036197948029</v>
      </c>
      <c r="DD328" s="73">
        <f t="shared" si="2157"/>
        <v>162.40655694503087</v>
      </c>
      <c r="DE328" s="73">
        <f t="shared" si="2158"/>
        <v>56.581800920465973</v>
      </c>
      <c r="DF328" s="73">
        <f t="shared" si="2159"/>
        <v>875.54105754603825</v>
      </c>
      <c r="DG328" s="73">
        <f t="shared" si="2160"/>
        <v>3769.187539147993</v>
      </c>
      <c r="DH328" s="72">
        <f t="shared" si="2187"/>
        <v>4.1308068171742478E-2</v>
      </c>
      <c r="DI328" s="72">
        <f t="shared" si="2188"/>
        <v>6.0702084930684311E-2</v>
      </c>
      <c r="DJ328" s="73">
        <f>SUM(AV312:AV328,BB312:BB328,BI312:BI328)</f>
        <v>330.53638020519838</v>
      </c>
      <c r="DK328" s="73">
        <f>SUM(AV318:AV328,BB318:BB328,BI318:BI328)</f>
        <v>330.53638020519838</v>
      </c>
      <c r="DL328" s="190"/>
    </row>
    <row r="329" spans="22:116" x14ac:dyDescent="0.25">
      <c r="V329" s="63"/>
      <c r="W329" s="66">
        <v>17</v>
      </c>
      <c r="X329" s="66">
        <v>2021</v>
      </c>
      <c r="Y329" s="70">
        <f t="shared" si="2233"/>
        <v>0.25455090855673068</v>
      </c>
      <c r="Z329" s="70">
        <f t="shared" si="2234"/>
        <v>6.4499850078608451E-2</v>
      </c>
      <c r="AA329" s="70">
        <f t="shared" si="2235"/>
        <v>3.9118268432763954E-2</v>
      </c>
      <c r="AB329" s="70">
        <f t="shared" si="2236"/>
        <v>9.0710208405925634E-3</v>
      </c>
      <c r="AC329" s="70">
        <f t="shared" si="2237"/>
        <v>0.18556914332068541</v>
      </c>
      <c r="AD329" s="70">
        <f t="shared" si="2238"/>
        <v>9.5348753537974687E-2</v>
      </c>
      <c r="AE329" s="70">
        <f t="shared" si="2239"/>
        <v>3.3225173226078444E-2</v>
      </c>
      <c r="AF329" s="70">
        <f t="shared" si="2240"/>
        <v>2.4263437499190883E-3</v>
      </c>
      <c r="AG329" s="70">
        <f t="shared" si="2241"/>
        <v>2.8668531751787067E-2</v>
      </c>
      <c r="AH329" s="70">
        <f t="shared" si="2242"/>
        <v>9.2840050097176517E-3</v>
      </c>
      <c r="AI329" s="70">
        <f t="shared" si="2243"/>
        <v>7.0651352353037836E-2</v>
      </c>
      <c r="AJ329" s="70">
        <f t="shared" si="2244"/>
        <v>8.569708969366624E-2</v>
      </c>
      <c r="AK329" s="70">
        <f t="shared" si="2245"/>
        <v>3.0309750692456512E-2</v>
      </c>
      <c r="AL329" s="70">
        <f t="shared" si="2246"/>
        <v>5.4057491247627015E-3</v>
      </c>
      <c r="AM329" s="70">
        <f t="shared" si="2247"/>
        <v>0</v>
      </c>
      <c r="AN329" s="70">
        <f t="shared" si="2248"/>
        <v>5.9232001121558263E-3</v>
      </c>
      <c r="AO329" s="70">
        <f t="shared" si="2249"/>
        <v>4.1762871549142107E-2</v>
      </c>
      <c r="AP329" s="190"/>
      <c r="AQ329" s="66">
        <v>17</v>
      </c>
      <c r="AR329" s="66">
        <v>2021</v>
      </c>
      <c r="AS329" s="215">
        <f t="shared" si="2138"/>
        <v>2186.0933847215456</v>
      </c>
      <c r="AT329" s="215">
        <f t="shared" si="2139"/>
        <v>553.92729246909255</v>
      </c>
      <c r="AU329" s="215">
        <f t="shared" si="2140"/>
        <v>335.94925403131418</v>
      </c>
      <c r="AV329" s="215">
        <f t="shared" si="2141"/>
        <v>77.902289819842565</v>
      </c>
      <c r="AW329" s="215">
        <f t="shared" si="2142"/>
        <v>1593.6752256037794</v>
      </c>
      <c r="AX329" s="215">
        <f t="shared" si="2143"/>
        <v>818.85890933426822</v>
      </c>
      <c r="AY329" s="215">
        <f t="shared" si="2144"/>
        <v>285.33911667249077</v>
      </c>
      <c r="AZ329" s="215">
        <f t="shared" si="2145"/>
        <v>20.837537178055129</v>
      </c>
      <c r="BA329" s="215">
        <f t="shared" si="2146"/>
        <v>246.20649742561744</v>
      </c>
      <c r="BB329" s="215">
        <f t="shared" si="2147"/>
        <v>79.731406383655596</v>
      </c>
      <c r="BC329" s="215">
        <f t="shared" si="2148"/>
        <v>606.75664006198315</v>
      </c>
      <c r="BD329" s="215">
        <f t="shared" si="2149"/>
        <v>735.97003417279348</v>
      </c>
      <c r="BE329" s="215">
        <f t="shared" si="2150"/>
        <v>260.30135133684428</v>
      </c>
      <c r="BF329" s="215">
        <f t="shared" si="2151"/>
        <v>46.424789713427074</v>
      </c>
      <c r="BG329" s="215">
        <f t="shared" si="2152"/>
        <v>0</v>
      </c>
      <c r="BH329" s="215">
        <f t="shared" si="2153"/>
        <v>50.868679491198726</v>
      </c>
      <c r="BI329" s="215">
        <f t="shared" si="2154"/>
        <v>358.66121137889439</v>
      </c>
      <c r="BJ329" s="195"/>
      <c r="BK329" s="66">
        <v>17</v>
      </c>
      <c r="BL329" s="66">
        <v>2021</v>
      </c>
      <c r="BM329" s="215">
        <f t="shared" si="2197"/>
        <v>205.67509470161843</v>
      </c>
      <c r="BN329" s="219">
        <f t="shared" si="2198"/>
        <v>39.009058032370994</v>
      </c>
      <c r="BO329" s="219">
        <f t="shared" si="2199"/>
        <v>1.5223446916279959</v>
      </c>
      <c r="BP329" s="219">
        <f t="shared" si="2200"/>
        <v>0</v>
      </c>
      <c r="BQ329" s="219">
        <f t="shared" si="2201"/>
        <v>21.185182166464188</v>
      </c>
      <c r="BR329" s="220">
        <f t="shared" si="2202"/>
        <v>0</v>
      </c>
      <c r="BS329" s="219">
        <f t="shared" si="2203"/>
        <v>27.889554306043259</v>
      </c>
      <c r="BT329" s="219">
        <f t="shared" si="2204"/>
        <v>1.7939430186912875</v>
      </c>
      <c r="BU329" s="219">
        <f t="shared" si="2205"/>
        <v>0</v>
      </c>
      <c r="BV329" s="219">
        <f t="shared" si="2206"/>
        <v>0</v>
      </c>
      <c r="BW329" s="219">
        <f t="shared" si="2207"/>
        <v>0</v>
      </c>
      <c r="BX329" s="220">
        <f t="shared" si="2208"/>
        <v>0</v>
      </c>
      <c r="BY329" s="195"/>
      <c r="BZ329" s="66">
        <v>17</v>
      </c>
      <c r="CA329" s="66">
        <v>2021</v>
      </c>
      <c r="CB329" s="218">
        <f t="shared" si="2209"/>
        <v>62.727530788969702</v>
      </c>
      <c r="CC329" s="218">
        <f t="shared" si="2210"/>
        <v>11.627851766722399</v>
      </c>
      <c r="CD329" s="73">
        <f t="shared" si="2211"/>
        <v>3.5469072641504593</v>
      </c>
      <c r="CE329" s="73">
        <f t="shared" si="2212"/>
        <v>53.097221848168303</v>
      </c>
      <c r="CF329" s="73">
        <f t="shared" si="2213"/>
        <v>22.863346809083612</v>
      </c>
      <c r="CG329" s="73">
        <f t="shared" si="2214"/>
        <v>0.53517370132995767</v>
      </c>
      <c r="CH329" s="73">
        <f t="shared" si="2215"/>
        <v>0</v>
      </c>
      <c r="CI329" s="73">
        <f t="shared" si="2216"/>
        <v>3.2356640250737172</v>
      </c>
      <c r="CJ329" s="73">
        <f t="shared" si="2217"/>
        <v>0</v>
      </c>
      <c r="CK329" s="73">
        <f t="shared" si="2218"/>
        <v>0</v>
      </c>
      <c r="CL329" s="73">
        <f t="shared" si="2219"/>
        <v>0</v>
      </c>
      <c r="CM329" s="73">
        <f t="shared" si="2220"/>
        <v>211.53101958806502</v>
      </c>
      <c r="CN329" s="73">
        <f t="shared" si="2221"/>
        <v>138.76712360248183</v>
      </c>
      <c r="CO329" s="73">
        <f t="shared" si="2222"/>
        <v>8.3630681883476132</v>
      </c>
      <c r="CP329" s="73">
        <f t="shared" si="2223"/>
        <v>0</v>
      </c>
      <c r="CQ329" s="73">
        <f t="shared" si="2224"/>
        <v>0</v>
      </c>
      <c r="CR329" s="73">
        <f t="shared" si="2225"/>
        <v>0</v>
      </c>
      <c r="CS329" s="73">
        <f t="shared" si="2226"/>
        <v>0</v>
      </c>
      <c r="CT329" s="73">
        <f t="shared" si="2227"/>
        <v>0</v>
      </c>
      <c r="CU329" s="73">
        <f t="shared" si="2228"/>
        <v>0</v>
      </c>
      <c r="CV329" s="73">
        <f t="shared" si="2229"/>
        <v>0</v>
      </c>
      <c r="CW329" s="73">
        <f t="shared" si="2230"/>
        <v>0</v>
      </c>
      <c r="CX329" s="73">
        <f t="shared" si="2231"/>
        <v>0</v>
      </c>
      <c r="CY329" s="73">
        <f t="shared" si="2232"/>
        <v>0</v>
      </c>
      <c r="CZ329" s="190"/>
      <c r="DA329" s="66">
        <v>2021</v>
      </c>
      <c r="DB329" s="218">
        <f t="shared" si="2155"/>
        <v>2108.7562359761541</v>
      </c>
      <c r="DC329" s="218">
        <f t="shared" si="2156"/>
        <v>7741.2087122124094</v>
      </c>
      <c r="DD329" s="73">
        <f t="shared" si="2157"/>
        <v>612.9027949008173</v>
      </c>
      <c r="DE329" s="73">
        <f t="shared" si="2158"/>
        <v>306.72614105027134</v>
      </c>
      <c r="DF329" s="73">
        <f t="shared" si="2159"/>
        <v>1393.5953537259752</v>
      </c>
      <c r="DG329" s="73">
        <f t="shared" si="2160"/>
        <v>4052.3359860896398</v>
      </c>
      <c r="DH329" s="72">
        <f t="shared" si="2187"/>
        <v>0.13137651118699961</v>
      </c>
      <c r="DI329" s="72">
        <f t="shared" si="2188"/>
        <v>0.18039302684380573</v>
      </c>
      <c r="DJ329" s="73">
        <f>SUM(AV312:AV329,BB312:BB329,BI312:BI329)</f>
        <v>846.83128778759101</v>
      </c>
      <c r="DK329" s="73">
        <f>SUM(AV318:AV329,BB318:BB329,BI318:BI329)</f>
        <v>846.83128778759101</v>
      </c>
      <c r="DL329" s="190"/>
    </row>
    <row r="330" spans="22:116" x14ac:dyDescent="0.25">
      <c r="V330" s="63"/>
      <c r="W330" s="66">
        <v>18</v>
      </c>
      <c r="X330" s="66">
        <v>2022</v>
      </c>
      <c r="Y330" s="70">
        <f t="shared" si="2233"/>
        <v>0.16132420563685768</v>
      </c>
      <c r="Z330" s="70">
        <f t="shared" si="2234"/>
        <v>4.71038184743756E-2</v>
      </c>
      <c r="AA330" s="70">
        <f t="shared" si="2235"/>
        <v>4.5235269776561449E-2</v>
      </c>
      <c r="AB330" s="70">
        <f t="shared" si="2236"/>
        <v>6.4409540029590553E-3</v>
      </c>
      <c r="AC330" s="70">
        <f t="shared" si="2237"/>
        <v>0.13900077623788976</v>
      </c>
      <c r="AD330" s="70">
        <f t="shared" si="2238"/>
        <v>7.6174180760404872E-2</v>
      </c>
      <c r="AE330" s="70">
        <f t="shared" si="2239"/>
        <v>5.6759597073604617E-2</v>
      </c>
      <c r="AF330" s="70">
        <f t="shared" si="2240"/>
        <v>7.5893612305730114E-3</v>
      </c>
      <c r="AG330" s="70">
        <f t="shared" si="2241"/>
        <v>3.7159545159019869E-2</v>
      </c>
      <c r="AH330" s="70">
        <f t="shared" si="2242"/>
        <v>8.6501493740506214E-3</v>
      </c>
      <c r="AI330" s="70">
        <f t="shared" si="2243"/>
        <v>6.0549747625561666E-2</v>
      </c>
      <c r="AJ330" s="70">
        <f t="shared" si="2244"/>
        <v>9.0594426191087832E-2</v>
      </c>
      <c r="AK330" s="70">
        <f t="shared" si="2245"/>
        <v>5.0485938529922988E-2</v>
      </c>
      <c r="AL330" s="70">
        <f t="shared" si="2246"/>
        <v>2.9911611370230826E-2</v>
      </c>
      <c r="AM330" s="70">
        <f t="shared" si="2247"/>
        <v>1.5413424508965083E-3</v>
      </c>
      <c r="AN330" s="70">
        <f t="shared" si="2248"/>
        <v>1.3809606340603651E-2</v>
      </c>
      <c r="AO330" s="70">
        <f t="shared" si="2249"/>
        <v>6.9063584396026889E-2</v>
      </c>
      <c r="AP330" s="190"/>
      <c r="AQ330" s="66">
        <v>18</v>
      </c>
      <c r="AR330" s="66">
        <v>2022</v>
      </c>
      <c r="AS330" s="215">
        <f t="shared" si="2138"/>
        <v>1385.4587309775593</v>
      </c>
      <c r="AT330" s="215">
        <f t="shared" si="2139"/>
        <v>404.52947721067665</v>
      </c>
      <c r="AU330" s="215">
        <f t="shared" si="2140"/>
        <v>388.48230625190081</v>
      </c>
      <c r="AV330" s="215">
        <f t="shared" si="2141"/>
        <v>55.315170615572491</v>
      </c>
      <c r="AW330" s="215">
        <f t="shared" si="2142"/>
        <v>1193.7442263620469</v>
      </c>
      <c r="AX330" s="215">
        <f t="shared" si="2143"/>
        <v>654.1869113375875</v>
      </c>
      <c r="AY330" s="215">
        <f t="shared" si="2144"/>
        <v>487.45369005199944</v>
      </c>
      <c r="AZ330" s="215">
        <f t="shared" si="2145"/>
        <v>65.177737822610254</v>
      </c>
      <c r="BA330" s="215">
        <f t="shared" si="2146"/>
        <v>319.12766020746903</v>
      </c>
      <c r="BB330" s="215">
        <f t="shared" si="2147"/>
        <v>74.2878288303217</v>
      </c>
      <c r="BC330" s="215">
        <f t="shared" si="2148"/>
        <v>520.00365459822865</v>
      </c>
      <c r="BD330" s="215">
        <f t="shared" si="2149"/>
        <v>778.02855590611</v>
      </c>
      <c r="BE330" s="215">
        <f t="shared" si="2150"/>
        <v>433.57525953251985</v>
      </c>
      <c r="BF330" s="215">
        <f t="shared" si="2151"/>
        <v>256.88211491199718</v>
      </c>
      <c r="BG330" s="215">
        <f t="shared" si="2152"/>
        <v>13.23711062199725</v>
      </c>
      <c r="BH330" s="215">
        <f t="shared" si="2153"/>
        <v>118.59745163735779</v>
      </c>
      <c r="BI330" s="215">
        <f t="shared" si="2154"/>
        <v>593.1208253364548</v>
      </c>
      <c r="BJ330" s="195"/>
      <c r="BK330" s="66">
        <v>18</v>
      </c>
      <c r="BL330" s="66">
        <v>2022</v>
      </c>
      <c r="BM330" s="215">
        <f t="shared" si="2197"/>
        <v>231.38443611982507</v>
      </c>
      <c r="BN330" s="219">
        <f t="shared" si="2198"/>
        <v>82.732166789984859</v>
      </c>
      <c r="BO330" s="219">
        <f t="shared" si="2199"/>
        <v>4.711298382058585</v>
      </c>
      <c r="BP330" s="219">
        <f t="shared" si="2200"/>
        <v>0.29975891560052059</v>
      </c>
      <c r="BQ330" s="219">
        <f t="shared" si="2201"/>
        <v>46.352726546685659</v>
      </c>
      <c r="BR330" s="220">
        <f t="shared" si="2202"/>
        <v>9.3771174340924315</v>
      </c>
      <c r="BS330" s="219">
        <f t="shared" si="2203"/>
        <v>53.487175587849435</v>
      </c>
      <c r="BT330" s="219">
        <f t="shared" si="2204"/>
        <v>8.5132073383481472</v>
      </c>
      <c r="BU330" s="219">
        <f t="shared" si="2205"/>
        <v>0.50127882785052602</v>
      </c>
      <c r="BV330" s="219">
        <f t="shared" si="2206"/>
        <v>0.36594590253158416</v>
      </c>
      <c r="BW330" s="219">
        <f t="shared" si="2207"/>
        <v>0</v>
      </c>
      <c r="BX330" s="220">
        <f t="shared" si="2208"/>
        <v>0</v>
      </c>
      <c r="BY330" s="195"/>
      <c r="BZ330" s="66">
        <v>18</v>
      </c>
      <c r="CA330" s="66">
        <v>2022</v>
      </c>
      <c r="CB330" s="218">
        <f t="shared" si="2209"/>
        <v>39.754205292246226</v>
      </c>
      <c r="CC330" s="218">
        <f t="shared" si="2210"/>
        <v>9.4517132182342465</v>
      </c>
      <c r="CD330" s="73">
        <f t="shared" si="2211"/>
        <v>6.1092521050920201</v>
      </c>
      <c r="CE330" s="73">
        <f t="shared" si="2212"/>
        <v>44.445271071126676</v>
      </c>
      <c r="CF330" s="73">
        <f t="shared" si="2213"/>
        <v>21.427831500311104</v>
      </c>
      <c r="CG330" s="73">
        <f t="shared" si="2214"/>
        <v>1.443008204700138</v>
      </c>
      <c r="CH330" s="73">
        <f t="shared" si="2215"/>
        <v>0.10537895211959421</v>
      </c>
      <c r="CI330" s="73">
        <f t="shared" si="2216"/>
        <v>5.7359775628875811</v>
      </c>
      <c r="CJ330" s="73">
        <f t="shared" si="2217"/>
        <v>1.0879055723672841</v>
      </c>
      <c r="CK330" s="73">
        <f t="shared" si="2218"/>
        <v>4.2455966809337199E-2</v>
      </c>
      <c r="CL330" s="73">
        <f t="shared" si="2219"/>
        <v>0</v>
      </c>
      <c r="CM330" s="73">
        <f t="shared" si="2220"/>
        <v>249.08254330856218</v>
      </c>
      <c r="CN330" s="73">
        <f t="shared" si="2221"/>
        <v>283.48644109053123</v>
      </c>
      <c r="CO330" s="73">
        <f t="shared" si="2222"/>
        <v>38.473818707344357</v>
      </c>
      <c r="CP330" s="73">
        <f t="shared" si="2223"/>
        <v>1.1956795808759493</v>
      </c>
      <c r="CQ330" s="73">
        <f t="shared" si="2224"/>
        <v>0</v>
      </c>
      <c r="CR330" s="73">
        <f t="shared" si="2225"/>
        <v>8.696829512964273</v>
      </c>
      <c r="CS330" s="73">
        <f t="shared" si="2226"/>
        <v>0</v>
      </c>
      <c r="CT330" s="73">
        <f t="shared" si="2227"/>
        <v>11.4490730873285</v>
      </c>
      <c r="CU330" s="73">
        <f t="shared" si="2228"/>
        <v>0.7364400488482804</v>
      </c>
      <c r="CV330" s="73">
        <f t="shared" si="2229"/>
        <v>0</v>
      </c>
      <c r="CW330" s="73">
        <f t="shared" si="2230"/>
        <v>0</v>
      </c>
      <c r="CX330" s="73">
        <f t="shared" si="2231"/>
        <v>0</v>
      </c>
      <c r="CY330" s="73">
        <f t="shared" si="2232"/>
        <v>0</v>
      </c>
      <c r="CZ330" s="190"/>
      <c r="DA330" s="66">
        <v>2022</v>
      </c>
      <c r="DB330" s="218">
        <f t="shared" si="2155"/>
        <v>1836.744944454374</v>
      </c>
      <c r="DC330" s="218">
        <f t="shared" si="2156"/>
        <v>7018.4848874300624</v>
      </c>
      <c r="DD330" s="73">
        <f t="shared" si="2157"/>
        <v>1256.325912941124</v>
      </c>
      <c r="DE330" s="73">
        <f t="shared" si="2158"/>
        <v>703.69448506651418</v>
      </c>
      <c r="DF330" s="73">
        <f t="shared" si="2159"/>
        <v>1416.6296621416966</v>
      </c>
      <c r="DG330" s="73">
        <f t="shared" si="2160"/>
        <v>3583.6884600488002</v>
      </c>
      <c r="DH330" s="72">
        <f t="shared" si="2187"/>
        <v>0.25957069878803424</v>
      </c>
      <c r="DI330" s="72">
        <f t="shared" si="2188"/>
        <v>0.33188061645812733</v>
      </c>
      <c r="DJ330" s="73">
        <f>SUM(AV312:AV330,BB312:BB330,BI312:BI330)</f>
        <v>1569.5551125699399</v>
      </c>
      <c r="DK330" s="73">
        <f>SUM(AV318:AV330,BB318:BB330,BI318:BI330)</f>
        <v>1569.5551125699399</v>
      </c>
      <c r="DL330" s="190"/>
    </row>
    <row r="331" spans="22:116" x14ac:dyDescent="0.25">
      <c r="V331" s="63"/>
      <c r="W331" s="66">
        <v>19</v>
      </c>
      <c r="X331" s="66">
        <v>2023</v>
      </c>
      <c r="Y331" s="70">
        <f t="shared" si="2233"/>
        <v>0.10224084239936213</v>
      </c>
      <c r="Z331" s="70">
        <f t="shared" si="2234"/>
        <v>3.2580559631701374E-2</v>
      </c>
      <c r="AA331" s="70">
        <f t="shared" si="2235"/>
        <v>4.3877449826514398E-2</v>
      </c>
      <c r="AB331" s="70">
        <f t="shared" si="2236"/>
        <v>4.5600300961105844E-3</v>
      </c>
      <c r="AC331" s="70">
        <f t="shared" si="2237"/>
        <v>9.8249200376616691E-2</v>
      </c>
      <c r="AD331" s="70">
        <f t="shared" si="2238"/>
        <v>5.594564639296358E-2</v>
      </c>
      <c r="AE331" s="70">
        <f t="shared" si="2239"/>
        <v>7.8683751021691631E-2</v>
      </c>
      <c r="AF331" s="70">
        <f t="shared" si="2240"/>
        <v>1.431376414662134E-2</v>
      </c>
      <c r="AG331" s="70">
        <f t="shared" si="2241"/>
        <v>3.8679570672292926E-2</v>
      </c>
      <c r="AH331" s="70">
        <f t="shared" si="2242"/>
        <v>7.2315968732316049E-3</v>
      </c>
      <c r="AI331" s="70">
        <f t="shared" si="2243"/>
        <v>4.588164609464479E-2</v>
      </c>
      <c r="AJ331" s="70">
        <f t="shared" si="2244"/>
        <v>7.6112426945225728E-2</v>
      </c>
      <c r="AK331" s="70">
        <f t="shared" si="2245"/>
        <v>5.2051084604865697E-2</v>
      </c>
      <c r="AL331" s="70">
        <f t="shared" si="2246"/>
        <v>6.9326340098585723E-2</v>
      </c>
      <c r="AM331" s="70">
        <f t="shared" si="2247"/>
        <v>5.4769104364028025E-3</v>
      </c>
      <c r="AN331" s="70">
        <f t="shared" si="2248"/>
        <v>1.8229495521526532E-2</v>
      </c>
      <c r="AO331" s="70">
        <f t="shared" si="2249"/>
        <v>7.3799111719232813E-2</v>
      </c>
      <c r="AP331" s="190"/>
      <c r="AQ331" s="66">
        <v>19</v>
      </c>
      <c r="AR331" s="66">
        <v>2023</v>
      </c>
      <c r="AS331" s="215">
        <f t="shared" si="2138"/>
        <v>878.04844415941795</v>
      </c>
      <c r="AT331" s="215">
        <f t="shared" si="2139"/>
        <v>279.80314933943669</v>
      </c>
      <c r="AU331" s="215">
        <f t="shared" si="2140"/>
        <v>376.82129420809872</v>
      </c>
      <c r="AV331" s="215">
        <f t="shared" si="2141"/>
        <v>39.161720866601549</v>
      </c>
      <c r="AW331" s="215">
        <f t="shared" si="2142"/>
        <v>843.7680628023993</v>
      </c>
      <c r="AX331" s="215">
        <f t="shared" si="2143"/>
        <v>480.46344904862701</v>
      </c>
      <c r="AY331" s="215">
        <f t="shared" si="2144"/>
        <v>675.7392011243287</v>
      </c>
      <c r="AZ331" s="215">
        <f t="shared" si="2145"/>
        <v>122.92717904174994</v>
      </c>
      <c r="BA331" s="215">
        <f t="shared" si="2146"/>
        <v>332.18170011647857</v>
      </c>
      <c r="BB331" s="215">
        <f t="shared" si="2147"/>
        <v>62.105243211187961</v>
      </c>
      <c r="BC331" s="215">
        <f t="shared" si="2148"/>
        <v>394.03341192665329</v>
      </c>
      <c r="BD331" s="215">
        <f t="shared" si="2149"/>
        <v>653.65656710267638</v>
      </c>
      <c r="BE331" s="215">
        <f t="shared" si="2150"/>
        <v>447.01679662997083</v>
      </c>
      <c r="BF331" s="215">
        <f t="shared" si="2151"/>
        <v>595.37738182025817</v>
      </c>
      <c r="BG331" s="215">
        <f t="shared" si="2152"/>
        <v>47.035925904244728</v>
      </c>
      <c r="BH331" s="215">
        <f t="shared" si="2153"/>
        <v>156.55563671869072</v>
      </c>
      <c r="BI331" s="215">
        <f t="shared" si="2154"/>
        <v>633.7897234092402</v>
      </c>
      <c r="BJ331" s="195"/>
      <c r="BK331" s="66">
        <v>19</v>
      </c>
      <c r="BL331" s="66">
        <v>2023</v>
      </c>
      <c r="BM331" s="215">
        <f t="shared" si="2197"/>
        <v>211.57595450064349</v>
      </c>
      <c r="BN331" s="219">
        <f t="shared" si="2198"/>
        <v>110.65930483406522</v>
      </c>
      <c r="BO331" s="219">
        <f t="shared" si="2199"/>
        <v>8.889392333092097</v>
      </c>
      <c r="BP331" s="219">
        <f t="shared" si="2200"/>
        <v>1.0570484486777949</v>
      </c>
      <c r="BQ331" s="219">
        <f t="shared" si="2201"/>
        <v>52.477437737848376</v>
      </c>
      <c r="BR331" s="220">
        <f t="shared" si="2202"/>
        <v>21.24789442757919</v>
      </c>
      <c r="BS331" s="219">
        <f t="shared" si="2203"/>
        <v>63.381103790109165</v>
      </c>
      <c r="BT331" s="219">
        <f t="shared" si="2204"/>
        <v>14.981774942863737</v>
      </c>
      <c r="BU331" s="219">
        <f t="shared" si="2205"/>
        <v>2.8464524291748958</v>
      </c>
      <c r="BV331" s="219">
        <f t="shared" si="2206"/>
        <v>1.1856097628139688</v>
      </c>
      <c r="BW331" s="219">
        <f t="shared" si="2207"/>
        <v>0.36330665755449837</v>
      </c>
      <c r="BX331" s="220">
        <f t="shared" si="2208"/>
        <v>7.2056970746889798E-2</v>
      </c>
      <c r="BY331" s="195"/>
      <c r="BZ331" s="66">
        <v>19</v>
      </c>
      <c r="CA331" s="66">
        <v>2023</v>
      </c>
      <c r="CB331" s="218">
        <f t="shared" si="2209"/>
        <v>25.194628555281223</v>
      </c>
      <c r="CC331" s="218">
        <f t="shared" si="2210"/>
        <v>6.9025243184436187</v>
      </c>
      <c r="CD331" s="73">
        <f t="shared" si="2211"/>
        <v>7.0645679928767064</v>
      </c>
      <c r="CE331" s="73">
        <f t="shared" si="2212"/>
        <v>33.291780456807118</v>
      </c>
      <c r="CF331" s="73">
        <f t="shared" si="2213"/>
        <v>17.118708419802445</v>
      </c>
      <c r="CG331" s="73">
        <f t="shared" si="2214"/>
        <v>2.4651358087848432</v>
      </c>
      <c r="CH331" s="73">
        <f t="shared" si="2215"/>
        <v>0.32961485105378319</v>
      </c>
      <c r="CI331" s="73">
        <f t="shared" si="2216"/>
        <v>6.4529734915652259</v>
      </c>
      <c r="CJ331" s="73">
        <f t="shared" si="2217"/>
        <v>2.307279124508856</v>
      </c>
      <c r="CK331" s="73">
        <f t="shared" si="2218"/>
        <v>0.13139122094856123</v>
      </c>
      <c r="CL331" s="73">
        <f t="shared" si="2219"/>
        <v>8.3598377171262249E-3</v>
      </c>
      <c r="CM331" s="73">
        <f t="shared" si="2220"/>
        <v>213.46916418391797</v>
      </c>
      <c r="CN331" s="73">
        <f t="shared" si="2221"/>
        <v>299.68685699076246</v>
      </c>
      <c r="CO331" s="73">
        <f t="shared" si="2222"/>
        <v>64.084553712736707</v>
      </c>
      <c r="CP331" s="73">
        <f t="shared" si="2223"/>
        <v>6.6160493432169503</v>
      </c>
      <c r="CQ331" s="73">
        <f t="shared" si="2224"/>
        <v>1.2470973563110965</v>
      </c>
      <c r="CR331" s="73">
        <f t="shared" si="2225"/>
        <v>19.028477407936279</v>
      </c>
      <c r="CS331" s="73">
        <f t="shared" si="2226"/>
        <v>3.8494449094915564</v>
      </c>
      <c r="CT331" s="73">
        <f t="shared" si="2227"/>
        <v>21.957273889004654</v>
      </c>
      <c r="CU331" s="73">
        <f t="shared" si="2228"/>
        <v>3.4947970826199004</v>
      </c>
      <c r="CV331" s="73">
        <f t="shared" si="2229"/>
        <v>0.20578234683181859</v>
      </c>
      <c r="CW331" s="73">
        <f t="shared" si="2230"/>
        <v>0.15022618641075389</v>
      </c>
      <c r="CX331" s="73">
        <f t="shared" si="2231"/>
        <v>0</v>
      </c>
      <c r="CY331" s="73">
        <f t="shared" si="2232"/>
        <v>0</v>
      </c>
      <c r="CZ331" s="190"/>
      <c r="DA331" s="66">
        <v>2023</v>
      </c>
      <c r="DB331" s="218">
        <f t="shared" si="2155"/>
        <v>1413.9231654907401</v>
      </c>
      <c r="DC331" s="218">
        <f t="shared" si="2156"/>
        <v>6283.4281999430304</v>
      </c>
      <c r="DD331" s="73">
        <f t="shared" si="2157"/>
        <v>1888.0964845205522</v>
      </c>
      <c r="DE331" s="73">
        <f t="shared" si="2158"/>
        <v>1089.4301043544738</v>
      </c>
      <c r="DF331" s="73">
        <f t="shared" si="2159"/>
        <v>1204.2456157480203</v>
      </c>
      <c r="DG331" s="73">
        <f t="shared" si="2160"/>
        <v>2860.6588277155251</v>
      </c>
      <c r="DH331" s="72">
        <f t="shared" si="2187"/>
        <v>0.39759818318191931</v>
      </c>
      <c r="DI331" s="72">
        <f t="shared" si="2188"/>
        <v>0.47497128508898029</v>
      </c>
      <c r="DJ331" s="73">
        <f>SUM(AV312:AV331,BB312:BB331,BI312:BI331)</f>
        <v>2304.6118000569695</v>
      </c>
      <c r="DK331" s="73">
        <f>SUM(AV318:AV331,BB318:BB331,BI318:BI331)</f>
        <v>2304.6118000569695</v>
      </c>
      <c r="DL331" s="190"/>
    </row>
    <row r="332" spans="22:116" x14ac:dyDescent="0.25">
      <c r="V332" s="13"/>
      <c r="W332" s="197" t="s">
        <v>590</v>
      </c>
      <c r="X332" s="190"/>
      <c r="Y332" s="190"/>
      <c r="Z332" s="190"/>
      <c r="AA332" s="190"/>
      <c r="AB332" s="190"/>
      <c r="AC332" s="190"/>
      <c r="AD332" s="190"/>
      <c r="AE332" s="190"/>
      <c r="AF332" s="190"/>
      <c r="AG332" s="190"/>
      <c r="AH332" s="190"/>
      <c r="AI332" s="190"/>
      <c r="AJ332" s="190"/>
      <c r="AK332" s="190"/>
      <c r="AL332" s="190"/>
      <c r="AM332" s="190"/>
      <c r="AN332" s="190"/>
      <c r="AO332" s="190"/>
      <c r="AP332" s="190"/>
      <c r="AQ332" s="193" t="s">
        <v>90</v>
      </c>
      <c r="AR332" s="25"/>
      <c r="AS332" s="213"/>
      <c r="AT332" s="213"/>
      <c r="AU332" s="213"/>
      <c r="AV332" s="213"/>
      <c r="AW332" s="213"/>
      <c r="AX332" s="213"/>
      <c r="AY332" s="213"/>
      <c r="AZ332" s="213"/>
      <c r="BA332" s="213"/>
      <c r="BB332" s="213"/>
      <c r="BC332" s="213"/>
      <c r="BD332" s="213"/>
      <c r="BE332" s="213"/>
      <c r="BF332" s="213"/>
      <c r="BG332" s="213"/>
      <c r="BH332" s="213"/>
      <c r="BI332" s="213"/>
      <c r="BJ332" s="25"/>
      <c r="BK332" s="25"/>
      <c r="BL332" s="25"/>
      <c r="BM332" s="348" t="s">
        <v>570</v>
      </c>
      <c r="BN332" s="349"/>
      <c r="BO332" s="349"/>
      <c r="BP332" s="349"/>
      <c r="BQ332" s="350" t="s">
        <v>570</v>
      </c>
      <c r="BR332" s="350"/>
      <c r="BS332" s="350"/>
      <c r="BT332" s="350"/>
      <c r="BU332" s="350"/>
      <c r="BV332" s="350"/>
      <c r="BW332" s="350"/>
      <c r="BX332" s="351"/>
      <c r="BY332" s="199"/>
      <c r="BZ332" s="25"/>
      <c r="CA332" s="25"/>
      <c r="CB332" s="350" t="s">
        <v>302</v>
      </c>
      <c r="CC332" s="350"/>
      <c r="CD332" s="350"/>
      <c r="CE332" s="350" t="s">
        <v>302</v>
      </c>
      <c r="CF332" s="350"/>
      <c r="CG332" s="350"/>
      <c r="CH332" s="350"/>
      <c r="CI332" s="350"/>
      <c r="CJ332" s="350"/>
      <c r="CK332" s="350"/>
      <c r="CL332" s="350"/>
      <c r="CM332" s="350" t="s">
        <v>302</v>
      </c>
      <c r="CN332" s="350"/>
      <c r="CO332" s="350"/>
      <c r="CP332" s="350"/>
      <c r="CQ332" s="350"/>
      <c r="CR332" s="350"/>
      <c r="CS332" s="350"/>
      <c r="CT332" s="350"/>
      <c r="CU332" s="350"/>
      <c r="CV332" s="350"/>
      <c r="CW332" s="350"/>
      <c r="CX332" s="350"/>
      <c r="CY332" s="350"/>
      <c r="CZ332" s="190"/>
      <c r="DA332" s="190" t="s">
        <v>100</v>
      </c>
      <c r="DB332" s="217"/>
      <c r="DC332" s="217"/>
      <c r="DD332" s="217"/>
      <c r="DE332" s="217"/>
      <c r="DF332" s="217"/>
      <c r="DG332" s="217"/>
      <c r="DH332" s="222"/>
      <c r="DI332" s="222"/>
      <c r="DJ332" s="217"/>
      <c r="DK332" s="217"/>
      <c r="DL332" s="190"/>
    </row>
    <row r="333" spans="22:116" x14ac:dyDescent="0.25">
      <c r="V333" s="13"/>
      <c r="W333" s="66" t="s">
        <v>88</v>
      </c>
      <c r="X333" s="66" t="s">
        <v>89</v>
      </c>
      <c r="Y333" s="61" t="s">
        <v>320</v>
      </c>
      <c r="Z333" s="61" t="s">
        <v>319</v>
      </c>
      <c r="AA333" s="61" t="s">
        <v>318</v>
      </c>
      <c r="AB333" s="61" t="s">
        <v>317</v>
      </c>
      <c r="AC333" s="61" t="s">
        <v>321</v>
      </c>
      <c r="AD333" s="61" t="s">
        <v>322</v>
      </c>
      <c r="AE333" s="61" t="s">
        <v>323</v>
      </c>
      <c r="AF333" s="61" t="s">
        <v>324</v>
      </c>
      <c r="AG333" s="61" t="s">
        <v>325</v>
      </c>
      <c r="AH333" s="61" t="s">
        <v>326</v>
      </c>
      <c r="AI333" s="61" t="s">
        <v>327</v>
      </c>
      <c r="AJ333" s="61" t="s">
        <v>328</v>
      </c>
      <c r="AK333" s="61" t="s">
        <v>329</v>
      </c>
      <c r="AL333" s="61" t="s">
        <v>330</v>
      </c>
      <c r="AM333" s="61" t="s">
        <v>331</v>
      </c>
      <c r="AN333" s="61" t="s">
        <v>332</v>
      </c>
      <c r="AO333" s="61" t="s">
        <v>333</v>
      </c>
      <c r="AP333" s="190"/>
      <c r="AQ333" s="66" t="s">
        <v>88</v>
      </c>
      <c r="AR333" s="66" t="s">
        <v>89</v>
      </c>
      <c r="AS333" s="214" t="s">
        <v>320</v>
      </c>
      <c r="AT333" s="214" t="s">
        <v>319</v>
      </c>
      <c r="AU333" s="214" t="s">
        <v>318</v>
      </c>
      <c r="AV333" s="214" t="s">
        <v>317</v>
      </c>
      <c r="AW333" s="214" t="s">
        <v>321</v>
      </c>
      <c r="AX333" s="214" t="s">
        <v>322</v>
      </c>
      <c r="AY333" s="214" t="s">
        <v>323</v>
      </c>
      <c r="AZ333" s="214" t="s">
        <v>324</v>
      </c>
      <c r="BA333" s="214" t="s">
        <v>325</v>
      </c>
      <c r="BB333" s="214" t="s">
        <v>326</v>
      </c>
      <c r="BC333" s="214" t="s">
        <v>327</v>
      </c>
      <c r="BD333" s="214" t="s">
        <v>328</v>
      </c>
      <c r="BE333" s="214" t="s">
        <v>329</v>
      </c>
      <c r="BF333" s="214" t="s">
        <v>330</v>
      </c>
      <c r="BG333" s="214" t="s">
        <v>331</v>
      </c>
      <c r="BH333" s="214" t="s">
        <v>332</v>
      </c>
      <c r="BI333" s="214" t="s">
        <v>333</v>
      </c>
      <c r="BJ333" s="182"/>
      <c r="BK333" s="66" t="s">
        <v>88</v>
      </c>
      <c r="BL333" s="66" t="s">
        <v>89</v>
      </c>
      <c r="BM333" s="122" t="s">
        <v>627</v>
      </c>
      <c r="BN333" s="122" t="s">
        <v>715</v>
      </c>
      <c r="BO333" s="122" t="s">
        <v>628</v>
      </c>
      <c r="BP333" s="122" t="s">
        <v>629</v>
      </c>
      <c r="BQ333" s="122" t="s">
        <v>627</v>
      </c>
      <c r="BR333" s="122" t="s">
        <v>716</v>
      </c>
      <c r="BS333" s="122" t="s">
        <v>717</v>
      </c>
      <c r="BT333" s="122" t="s">
        <v>721</v>
      </c>
      <c r="BU333" s="122" t="s">
        <v>720</v>
      </c>
      <c r="BV333" s="122" t="s">
        <v>719</v>
      </c>
      <c r="BW333" s="122" t="s">
        <v>629</v>
      </c>
      <c r="BX333" s="122" t="s">
        <v>722</v>
      </c>
      <c r="BY333" s="182"/>
      <c r="BZ333" s="192" t="s">
        <v>88</v>
      </c>
      <c r="CA333" s="66" t="s">
        <v>89</v>
      </c>
      <c r="CB333" s="218" t="s">
        <v>124</v>
      </c>
      <c r="CC333" s="218" t="s">
        <v>630</v>
      </c>
      <c r="CD333" s="218" t="s">
        <v>570</v>
      </c>
      <c r="CE333" s="218" t="s">
        <v>124</v>
      </c>
      <c r="CF333" s="218" t="s">
        <v>630</v>
      </c>
      <c r="CG333" s="218" t="s">
        <v>631</v>
      </c>
      <c r="CH333" s="218" t="s">
        <v>632</v>
      </c>
      <c r="CI333" s="227" t="s">
        <v>624</v>
      </c>
      <c r="CJ333" s="227" t="s">
        <v>725</v>
      </c>
      <c r="CK333" s="227" t="s">
        <v>625</v>
      </c>
      <c r="CL333" s="227" t="s">
        <v>626</v>
      </c>
      <c r="CM333" s="218" t="s">
        <v>124</v>
      </c>
      <c r="CN333" s="218" t="s">
        <v>633</v>
      </c>
      <c r="CO333" s="218" t="s">
        <v>634</v>
      </c>
      <c r="CP333" s="218" t="s">
        <v>635</v>
      </c>
      <c r="CQ333" s="218" t="s">
        <v>632</v>
      </c>
      <c r="CR333" s="122" t="s">
        <v>624</v>
      </c>
      <c r="CS333" s="122" t="s">
        <v>726</v>
      </c>
      <c r="CT333" s="122" t="s">
        <v>727</v>
      </c>
      <c r="CU333" s="122" t="s">
        <v>637</v>
      </c>
      <c r="CV333" s="122" t="s">
        <v>638</v>
      </c>
      <c r="CW333" s="122" t="s">
        <v>728</v>
      </c>
      <c r="CX333" s="122" t="s">
        <v>626</v>
      </c>
      <c r="CY333" s="122" t="s">
        <v>729</v>
      </c>
      <c r="CZ333" s="190"/>
      <c r="DA333" s="67" t="s">
        <v>89</v>
      </c>
      <c r="DB333" s="219" t="s">
        <v>91</v>
      </c>
      <c r="DC333" s="219" t="s">
        <v>99</v>
      </c>
      <c r="DD333" s="215" t="s">
        <v>92</v>
      </c>
      <c r="DE333" s="215" t="s">
        <v>97</v>
      </c>
      <c r="DF333" s="215" t="s">
        <v>93</v>
      </c>
      <c r="DG333" s="215" t="s">
        <v>94</v>
      </c>
      <c r="DH333" s="223" t="s">
        <v>96</v>
      </c>
      <c r="DI333" s="223" t="s">
        <v>98</v>
      </c>
      <c r="DJ333" s="219" t="s">
        <v>95</v>
      </c>
      <c r="DK333" s="219" t="s">
        <v>102</v>
      </c>
      <c r="DL333" s="190"/>
    </row>
    <row r="334" spans="22:116" x14ac:dyDescent="0.25">
      <c r="V334" s="13"/>
      <c r="W334" s="66">
        <v>0</v>
      </c>
      <c r="X334" s="66">
        <v>2004</v>
      </c>
      <c r="Y334" s="69">
        <v>0</v>
      </c>
      <c r="Z334" s="69">
        <v>0</v>
      </c>
      <c r="AA334" s="69">
        <v>0</v>
      </c>
      <c r="AB334" s="69">
        <v>0</v>
      </c>
      <c r="AC334" s="69">
        <v>0</v>
      </c>
      <c r="AD334" s="69">
        <v>0</v>
      </c>
      <c r="AE334" s="69">
        <v>0</v>
      </c>
      <c r="AF334" s="69">
        <v>0</v>
      </c>
      <c r="AG334" s="69">
        <v>0</v>
      </c>
      <c r="AH334" s="69">
        <v>0</v>
      </c>
      <c r="AI334" s="69">
        <v>0</v>
      </c>
      <c r="AJ334" s="69">
        <v>0</v>
      </c>
      <c r="AK334" s="69">
        <v>0</v>
      </c>
      <c r="AL334" s="69">
        <v>0</v>
      </c>
      <c r="AM334" s="69">
        <v>0</v>
      </c>
      <c r="AN334" s="69">
        <v>0</v>
      </c>
      <c r="AO334" s="69">
        <v>0</v>
      </c>
      <c r="AP334" s="190"/>
      <c r="AQ334" s="66">
        <v>0</v>
      </c>
      <c r="AR334" s="66">
        <v>2004</v>
      </c>
      <c r="AS334" s="215">
        <f t="shared" ref="AS334:AS353" si="2250">Inc_2019*Y334</f>
        <v>0</v>
      </c>
      <c r="AT334" s="215">
        <f t="shared" ref="AT334:AT353" si="2251">Inc_2019*Z334</f>
        <v>0</v>
      </c>
      <c r="AU334" s="215">
        <f t="shared" ref="AU334:AU353" si="2252">Inc_2019*AA334</f>
        <v>0</v>
      </c>
      <c r="AV334" s="215">
        <f t="shared" ref="AV334:AV353" si="2253">Inc_2019*AB334</f>
        <v>0</v>
      </c>
      <c r="AW334" s="215">
        <f t="shared" ref="AW334:AW353" si="2254">Inc_2019*AC334</f>
        <v>0</v>
      </c>
      <c r="AX334" s="215">
        <f t="shared" ref="AX334:AX353" si="2255">Inc_2019*AD334</f>
        <v>0</v>
      </c>
      <c r="AY334" s="215">
        <f t="shared" ref="AY334:AY353" si="2256">Inc_2019*AE334</f>
        <v>0</v>
      </c>
      <c r="AZ334" s="215">
        <f t="shared" ref="AZ334:AZ353" si="2257">Inc_2019*AF334</f>
        <v>0</v>
      </c>
      <c r="BA334" s="215">
        <f t="shared" ref="BA334:BA353" si="2258">Inc_2019*AG334</f>
        <v>0</v>
      </c>
      <c r="BB334" s="215">
        <f t="shared" ref="BB334:BB353" si="2259">Inc_2019*AH334</f>
        <v>0</v>
      </c>
      <c r="BC334" s="215">
        <f t="shared" ref="BC334:BC353" si="2260">Inc_2019*AI334</f>
        <v>0</v>
      </c>
      <c r="BD334" s="215">
        <f t="shared" ref="BD334:BD353" si="2261">Inc_2019*AJ334</f>
        <v>0</v>
      </c>
      <c r="BE334" s="215">
        <f t="shared" ref="BE334:BE353" si="2262">Inc_2019*AK334</f>
        <v>0</v>
      </c>
      <c r="BF334" s="215">
        <f t="shared" ref="BF334:BF353" si="2263">Inc_2019*AL334</f>
        <v>0</v>
      </c>
      <c r="BG334" s="215">
        <f t="shared" ref="BG334:BG353" si="2264">Inc_2019*AM334</f>
        <v>0</v>
      </c>
      <c r="BH334" s="215">
        <f t="shared" ref="BH334:BH353" si="2265">Inc_2019*AN334</f>
        <v>0</v>
      </c>
      <c r="BI334" s="215">
        <f t="shared" ref="BI334:BI353" si="2266">Inc_2019*AO334</f>
        <v>0</v>
      </c>
      <c r="BJ334" s="195"/>
      <c r="BK334" s="66">
        <v>0</v>
      </c>
      <c r="BL334" s="66">
        <v>2004</v>
      </c>
      <c r="BM334" s="215">
        <f>BA334</f>
        <v>0</v>
      </c>
      <c r="BN334" s="219">
        <v>0</v>
      </c>
      <c r="BO334" s="219">
        <v>0</v>
      </c>
      <c r="BP334" s="219">
        <v>0</v>
      </c>
      <c r="BQ334" s="219">
        <f>BH334</f>
        <v>0</v>
      </c>
      <c r="BR334" s="219">
        <v>0</v>
      </c>
      <c r="BS334" s="219">
        <v>0</v>
      </c>
      <c r="BT334" s="219">
        <v>0</v>
      </c>
      <c r="BU334" s="219">
        <v>0</v>
      </c>
      <c r="BV334" s="219">
        <v>0</v>
      </c>
      <c r="BW334" s="219">
        <v>0</v>
      </c>
      <c r="BX334" s="219">
        <v>0</v>
      </c>
      <c r="BY334" s="195"/>
      <c r="BZ334" s="66">
        <v>0</v>
      </c>
      <c r="CA334" s="66">
        <v>2004</v>
      </c>
      <c r="CB334" s="218">
        <v>0</v>
      </c>
      <c r="CC334" s="218">
        <v>0</v>
      </c>
      <c r="CD334" s="218">
        <v>0</v>
      </c>
      <c r="CE334" s="218">
        <v>0</v>
      </c>
      <c r="CF334" s="218">
        <v>0</v>
      </c>
      <c r="CG334" s="218">
        <v>0</v>
      </c>
      <c r="CH334" s="218">
        <v>0</v>
      </c>
      <c r="CI334" s="218">
        <v>0</v>
      </c>
      <c r="CJ334" s="218">
        <v>0</v>
      </c>
      <c r="CK334" s="218">
        <v>0</v>
      </c>
      <c r="CL334" s="218">
        <v>0</v>
      </c>
      <c r="CM334" s="218">
        <v>0</v>
      </c>
      <c r="CN334" s="218">
        <v>0</v>
      </c>
      <c r="CO334" s="218">
        <v>0</v>
      </c>
      <c r="CP334" s="218">
        <v>0</v>
      </c>
      <c r="CQ334" s="218">
        <v>0</v>
      </c>
      <c r="CR334" s="218">
        <v>0</v>
      </c>
      <c r="CS334" s="218">
        <v>0</v>
      </c>
      <c r="CT334" s="218">
        <v>0</v>
      </c>
      <c r="CU334" s="218">
        <v>0</v>
      </c>
      <c r="CV334" s="218">
        <v>0</v>
      </c>
      <c r="CW334" s="218">
        <v>0</v>
      </c>
      <c r="CX334" s="218">
        <v>0</v>
      </c>
      <c r="CY334" s="218">
        <v>0</v>
      </c>
      <c r="CZ334" s="190"/>
      <c r="DA334" s="67">
        <v>2004</v>
      </c>
      <c r="DB334" s="218">
        <f t="shared" ref="DB334:DB353" si="2267">SUM(AT334,AX334,BD334)</f>
        <v>0</v>
      </c>
      <c r="DC334" s="218">
        <f t="shared" ref="DC334:DC353" si="2268">SUM(AS334:AU334,AW334:BA334,BC334:BH334)</f>
        <v>0</v>
      </c>
      <c r="DD334" s="73">
        <f t="shared" ref="DD334:DD353" si="2269">SUM(AY334:AZ334,BE334:BG334)</f>
        <v>0</v>
      </c>
      <c r="DE334" s="73">
        <f t="shared" ref="DE334:DE353" si="2270">SUM(BE334:BG334)</f>
        <v>0</v>
      </c>
      <c r="DF334" s="73">
        <f t="shared" ref="DF334:DF353" si="2271">SUM(BC334,BD334,BH334)</f>
        <v>0</v>
      </c>
      <c r="DG334" s="73">
        <f t="shared" ref="DG334:DG353" si="2272">SUM(BC334,BD334,BH334,AW334,AX334,BA334)</f>
        <v>0</v>
      </c>
      <c r="DH334" s="72" t="e">
        <f>DD334/(DD334+DG334)</f>
        <v>#DIV/0!</v>
      </c>
      <c r="DI334" s="72" t="e">
        <f>DE334/(DE334+DF334)</f>
        <v>#DIV/0!</v>
      </c>
      <c r="DJ334" s="73">
        <f>SUM(AV334,BB334,BI334)</f>
        <v>0</v>
      </c>
      <c r="DK334" s="73">
        <v>0</v>
      </c>
      <c r="DL334" s="190"/>
    </row>
    <row r="335" spans="22:116" x14ac:dyDescent="0.25">
      <c r="V335" s="13"/>
      <c r="W335" s="66">
        <v>1</v>
      </c>
      <c r="X335" s="66">
        <v>2005</v>
      </c>
      <c r="Y335" s="69">
        <v>0</v>
      </c>
      <c r="Z335" s="69">
        <v>0</v>
      </c>
      <c r="AA335" s="69">
        <v>0</v>
      </c>
      <c r="AB335" s="69">
        <v>0</v>
      </c>
      <c r="AC335" s="69">
        <v>0</v>
      </c>
      <c r="AD335" s="69">
        <v>0</v>
      </c>
      <c r="AE335" s="69">
        <v>0</v>
      </c>
      <c r="AF335" s="69">
        <v>0</v>
      </c>
      <c r="AG335" s="69">
        <v>0</v>
      </c>
      <c r="AH335" s="69">
        <v>0</v>
      </c>
      <c r="AI335" s="69">
        <v>0</v>
      </c>
      <c r="AJ335" s="69">
        <v>0</v>
      </c>
      <c r="AK335" s="69">
        <v>0</v>
      </c>
      <c r="AL335" s="69">
        <v>0</v>
      </c>
      <c r="AM335" s="69">
        <v>0</v>
      </c>
      <c r="AN335" s="69">
        <v>0</v>
      </c>
      <c r="AO335" s="69">
        <v>0</v>
      </c>
      <c r="AP335" s="190"/>
      <c r="AQ335" s="66">
        <v>1</v>
      </c>
      <c r="AR335" s="66">
        <v>2005</v>
      </c>
      <c r="AS335" s="215">
        <f t="shared" si="2250"/>
        <v>0</v>
      </c>
      <c r="AT335" s="215">
        <f t="shared" si="2251"/>
        <v>0</v>
      </c>
      <c r="AU335" s="215">
        <f t="shared" si="2252"/>
        <v>0</v>
      </c>
      <c r="AV335" s="215">
        <f t="shared" si="2253"/>
        <v>0</v>
      </c>
      <c r="AW335" s="215">
        <f t="shared" si="2254"/>
        <v>0</v>
      </c>
      <c r="AX335" s="215">
        <f t="shared" si="2255"/>
        <v>0</v>
      </c>
      <c r="AY335" s="215">
        <f t="shared" si="2256"/>
        <v>0</v>
      </c>
      <c r="AZ335" s="215">
        <f t="shared" si="2257"/>
        <v>0</v>
      </c>
      <c r="BA335" s="215">
        <f t="shared" si="2258"/>
        <v>0</v>
      </c>
      <c r="BB335" s="215">
        <f t="shared" si="2259"/>
        <v>0</v>
      </c>
      <c r="BC335" s="215">
        <f t="shared" si="2260"/>
        <v>0</v>
      </c>
      <c r="BD335" s="215">
        <f t="shared" si="2261"/>
        <v>0</v>
      </c>
      <c r="BE335" s="215">
        <f t="shared" si="2262"/>
        <v>0</v>
      </c>
      <c r="BF335" s="215">
        <f t="shared" si="2263"/>
        <v>0</v>
      </c>
      <c r="BG335" s="215">
        <f t="shared" si="2264"/>
        <v>0</v>
      </c>
      <c r="BH335" s="215">
        <f t="shared" si="2265"/>
        <v>0</v>
      </c>
      <c r="BI335" s="215">
        <f t="shared" si="2266"/>
        <v>0</v>
      </c>
      <c r="BJ335" s="195"/>
      <c r="BK335" s="66">
        <v>1</v>
      </c>
      <c r="BL335" s="66">
        <v>2005</v>
      </c>
      <c r="BM335" s="215">
        <f t="shared" ref="BM335:BM342" si="2273">(AX334*pInt_InCare_Int_LTFU_2004_2012)+(BM334*pInt_LTFU_2004_2012)</f>
        <v>0</v>
      </c>
      <c r="BN335" s="219">
        <f t="shared" ref="BN335:BN342" si="2274">(AU334*pAsympt_LTFU_Int_LTFU_2004_2012)+(BN334*pInt_LTFU_2004_2012)</f>
        <v>0</v>
      </c>
      <c r="BO335" s="219">
        <f t="shared" ref="BO335:BO342" si="2275">(AY334*pInt_ART1_Int_LTFU_2004_2012)+(BO334*pInt_LTFU_2004_2012)</f>
        <v>0</v>
      </c>
      <c r="BP335" s="219">
        <v>0</v>
      </c>
      <c r="BQ335" s="219">
        <f t="shared" ref="BQ335:BQ342" si="2276">(BD334*pAIDS_InCare_AIDS_LTFU_2004_2012)+(BQ334*pAIDS_LTFU_2004_2012)</f>
        <v>0</v>
      </c>
      <c r="BR335" s="220">
        <f>(BN334*pInt_LTFU_AIDS_LTFU_2004_2012)</f>
        <v>0</v>
      </c>
      <c r="BS335" s="219">
        <f>(BM334*pInt_LTFU_AIDS_LTFU_2004_2012)</f>
        <v>0</v>
      </c>
      <c r="BT335" s="219">
        <f>(BE334*pAIDS_ART1ear_AIDS_LTFU_2004_2012)</f>
        <v>0</v>
      </c>
      <c r="BU335" s="219">
        <f>(BF334*pAIDS_ART1late_AIDS_LTFU_2004_2012)</f>
        <v>0</v>
      </c>
      <c r="BV335" s="219">
        <f>(BO334*pInt_LTFU_AIDS_LTFU_2004_2012)</f>
        <v>0</v>
      </c>
      <c r="BW335" s="219">
        <f>(BG334*pAIDS_ART2_AIDS_LTFU_2004_2012)</f>
        <v>0</v>
      </c>
      <c r="BX335" s="220">
        <f>(BP334*pInt_LTFU_AIDS_LTFU_2004_2012)</f>
        <v>0</v>
      </c>
      <c r="BY335" s="195"/>
      <c r="BZ335" s="66">
        <v>1</v>
      </c>
      <c r="CA335" s="66">
        <v>2005</v>
      </c>
      <c r="CB335" s="218">
        <f>pAsympt_NoCare_Asympt_Dead_2004_2006*AS334</f>
        <v>0</v>
      </c>
      <c r="CC335" s="218">
        <f t="shared" ref="CC335:CC342" si="2277">pAsympt_InCare_Asympt_Dead_2004_2012*AT334</f>
        <v>0</v>
      </c>
      <c r="CD335" s="73">
        <f t="shared" ref="CD335:CD342" si="2278">pAsympt_LTFU_Asympt_Dead_2004_2012*AU334</f>
        <v>0</v>
      </c>
      <c r="CE335" s="73">
        <f>pInt_NoCare_Int_Dead_2004_2006*AW334</f>
        <v>0</v>
      </c>
      <c r="CF335" s="73">
        <f t="shared" ref="CF335:CF342" si="2279">pInt_InCare_Int_Dead_2004_2012*AX334</f>
        <v>0</v>
      </c>
      <c r="CG335" s="73">
        <f t="shared" ref="CG335:CG342" si="2280">pInt_ART1_Int_Dead_2004_2012*AY334</f>
        <v>0</v>
      </c>
      <c r="CH335" s="73">
        <f t="shared" ref="CH335:CH342" si="2281">pInt_ART2_Int_Dead_2004_2012*AZ334</f>
        <v>0</v>
      </c>
      <c r="CI335" s="73">
        <f t="shared" ref="CI335:CI342" si="2282">(BM334*pInt_LTFU_Int_Dead_2004_2012)</f>
        <v>0</v>
      </c>
      <c r="CJ335" s="73">
        <f t="shared" ref="CJ335:CJ342" si="2283">(BN334*pInt_LTFU_Int_Dead_2004_2012)</f>
        <v>0</v>
      </c>
      <c r="CK335" s="73">
        <f t="shared" ref="CK335:CK342" si="2284">(BO334*pInt_LTFU_Int_Dead_2004_2012)</f>
        <v>0</v>
      </c>
      <c r="CL335" s="73">
        <f t="shared" ref="CL335:CL342" si="2285">(BP334*pInt_LTFU_Int_Dead_2004_2012)</f>
        <v>0</v>
      </c>
      <c r="CM335" s="73">
        <f t="shared" ref="CM335:CM336" si="2286">pAIDS_NoCare_AIDS_Dead_2004_2006*BC334</f>
        <v>0</v>
      </c>
      <c r="CN335" s="73">
        <f t="shared" ref="CN335:CN342" si="2287">pAIDS_InCare_AIDS_Dead_2004_2012*BD334</f>
        <v>0</v>
      </c>
      <c r="CO335" s="73">
        <f t="shared" ref="CO335:CO342" si="2288">pAIDS_ART1ear_AIDS_Dead_2004_2012*BE334</f>
        <v>0</v>
      </c>
      <c r="CP335" s="73">
        <f t="shared" ref="CP335:CP342" si="2289">pAIDS_ART1late_AIDS_Dead_2004_2012*BF334</f>
        <v>0</v>
      </c>
      <c r="CQ335" s="73">
        <f t="shared" ref="CQ335:CQ342" si="2290">pAIDS_ART2_AIDS_Dead_2004_2012*BG334</f>
        <v>0</v>
      </c>
      <c r="CR335" s="73">
        <f t="shared" ref="CR335:CR342" si="2291">(BQ334*pAIDS_LTFU_AIDS_Dead_2004_2012)</f>
        <v>0</v>
      </c>
      <c r="CS335" s="73">
        <f t="shared" ref="CS335:CS342" si="2292">(BR334*pAIDS_LTFU_AIDS_Dead_2004_2012)</f>
        <v>0</v>
      </c>
      <c r="CT335" s="73">
        <f t="shared" ref="CT335:CT342" si="2293">(BS334*pAIDS_LTFU_AIDS_Dead_2004_2012)</f>
        <v>0</v>
      </c>
      <c r="CU335" s="73">
        <f t="shared" ref="CU335:CU342" si="2294">(BT334*pAIDS_LTFU_AIDS_Dead_2004_2012)</f>
        <v>0</v>
      </c>
      <c r="CV335" s="73">
        <f t="shared" ref="CV335:CV342" si="2295">(BU334*pAIDS_LTFU_AIDS_Dead_2004_2012)</f>
        <v>0</v>
      </c>
      <c r="CW335" s="73">
        <f t="shared" ref="CW335:CW342" si="2296">(BV334*pAIDS_LTFU_AIDS_Dead_2004_2012)</f>
        <v>0</v>
      </c>
      <c r="CX335" s="73">
        <f t="shared" ref="CX335:CX342" si="2297">(BW334*pAIDS_LTFU_AIDS_Dead_2004_2012)</f>
        <v>0</v>
      </c>
      <c r="CY335" s="73">
        <f t="shared" ref="CY335:CY342" si="2298">(BX334*pAIDS_LTFU_AIDS_Dead_2004_2012)</f>
        <v>0</v>
      </c>
      <c r="CZ335" s="190"/>
      <c r="DA335" s="67">
        <v>2005</v>
      </c>
      <c r="DB335" s="218">
        <f t="shared" si="2267"/>
        <v>0</v>
      </c>
      <c r="DC335" s="218">
        <f t="shared" si="2268"/>
        <v>0</v>
      </c>
      <c r="DD335" s="73">
        <f t="shared" si="2269"/>
        <v>0</v>
      </c>
      <c r="DE335" s="73">
        <f t="shared" si="2270"/>
        <v>0</v>
      </c>
      <c r="DF335" s="73">
        <f t="shared" si="2271"/>
        <v>0</v>
      </c>
      <c r="DG335" s="73">
        <f t="shared" si="2272"/>
        <v>0</v>
      </c>
      <c r="DH335" s="72" t="e">
        <f t="shared" ref="DH335:DH353" si="2299">DD335/(DD335+DG335)</f>
        <v>#DIV/0!</v>
      </c>
      <c r="DI335" s="72" t="e">
        <f t="shared" ref="DI335:DI353" si="2300">DE335/(DE335+DF335)</f>
        <v>#DIV/0!</v>
      </c>
      <c r="DJ335" s="73">
        <f>SUM(AV334:AV335,BB334:BB335,BI334:BI335)</f>
        <v>0</v>
      </c>
      <c r="DK335" s="73">
        <v>0</v>
      </c>
      <c r="DL335" s="190"/>
    </row>
    <row r="336" spans="22:116" x14ac:dyDescent="0.25">
      <c r="V336" s="13"/>
      <c r="W336" s="66">
        <v>2</v>
      </c>
      <c r="X336" s="66">
        <v>2006</v>
      </c>
      <c r="Y336" s="69">
        <v>0</v>
      </c>
      <c r="Z336" s="69">
        <v>0</v>
      </c>
      <c r="AA336" s="69">
        <v>0</v>
      </c>
      <c r="AB336" s="69">
        <v>0</v>
      </c>
      <c r="AC336" s="69">
        <v>0</v>
      </c>
      <c r="AD336" s="69">
        <v>0</v>
      </c>
      <c r="AE336" s="69">
        <v>0</v>
      </c>
      <c r="AF336" s="69">
        <v>0</v>
      </c>
      <c r="AG336" s="69">
        <v>0</v>
      </c>
      <c r="AH336" s="69">
        <v>0</v>
      </c>
      <c r="AI336" s="69">
        <v>0</v>
      </c>
      <c r="AJ336" s="69">
        <v>0</v>
      </c>
      <c r="AK336" s="69">
        <v>0</v>
      </c>
      <c r="AL336" s="69">
        <v>0</v>
      </c>
      <c r="AM336" s="69">
        <v>0</v>
      </c>
      <c r="AN336" s="69">
        <v>0</v>
      </c>
      <c r="AO336" s="69">
        <v>0</v>
      </c>
      <c r="AP336" s="190"/>
      <c r="AQ336" s="66">
        <v>2</v>
      </c>
      <c r="AR336" s="66">
        <v>2006</v>
      </c>
      <c r="AS336" s="215">
        <f t="shared" si="2250"/>
        <v>0</v>
      </c>
      <c r="AT336" s="215">
        <f t="shared" si="2251"/>
        <v>0</v>
      </c>
      <c r="AU336" s="215">
        <f t="shared" si="2252"/>
        <v>0</v>
      </c>
      <c r="AV336" s="215">
        <f t="shared" si="2253"/>
        <v>0</v>
      </c>
      <c r="AW336" s="215">
        <f t="shared" si="2254"/>
        <v>0</v>
      </c>
      <c r="AX336" s="215">
        <f t="shared" si="2255"/>
        <v>0</v>
      </c>
      <c r="AY336" s="215">
        <f t="shared" si="2256"/>
        <v>0</v>
      </c>
      <c r="AZ336" s="215">
        <f t="shared" si="2257"/>
        <v>0</v>
      </c>
      <c r="BA336" s="215">
        <f t="shared" si="2258"/>
        <v>0</v>
      </c>
      <c r="BB336" s="215">
        <f t="shared" si="2259"/>
        <v>0</v>
      </c>
      <c r="BC336" s="215">
        <f t="shared" si="2260"/>
        <v>0</v>
      </c>
      <c r="BD336" s="215">
        <f t="shared" si="2261"/>
        <v>0</v>
      </c>
      <c r="BE336" s="215">
        <f t="shared" si="2262"/>
        <v>0</v>
      </c>
      <c r="BF336" s="215">
        <f t="shared" si="2263"/>
        <v>0</v>
      </c>
      <c r="BG336" s="215">
        <f t="shared" si="2264"/>
        <v>0</v>
      </c>
      <c r="BH336" s="215">
        <f t="shared" si="2265"/>
        <v>0</v>
      </c>
      <c r="BI336" s="215">
        <f t="shared" si="2266"/>
        <v>0</v>
      </c>
      <c r="BJ336" s="195"/>
      <c r="BK336" s="66">
        <v>2</v>
      </c>
      <c r="BL336" s="66">
        <v>2006</v>
      </c>
      <c r="BM336" s="215">
        <f t="shared" si="2273"/>
        <v>0</v>
      </c>
      <c r="BN336" s="219">
        <f t="shared" si="2274"/>
        <v>0</v>
      </c>
      <c r="BO336" s="219">
        <f t="shared" si="2275"/>
        <v>0</v>
      </c>
      <c r="BP336" s="219">
        <f t="shared" ref="BP336:BP342" si="2301">(AZ335*pInt_ART2_Int_LTFU_2004_2012)+(BP335*pInt_LTFU_2004_2012)</f>
        <v>0</v>
      </c>
      <c r="BQ336" s="219">
        <f t="shared" si="2276"/>
        <v>0</v>
      </c>
      <c r="BR336" s="220">
        <f t="shared" ref="BR336:BR342" si="2302">(BN335*pInt_LTFU_AIDS_LTFU_2004_2012)+(BR335*pAIDS_LTFU_2004_2012)</f>
        <v>0</v>
      </c>
      <c r="BS336" s="219">
        <f t="shared" ref="BS336:BS342" si="2303">(BM335*pInt_LTFU_AIDS_LTFU_2004_2012)+(BS335*pAIDS_LTFU_2004_2012)</f>
        <v>0</v>
      </c>
      <c r="BT336" s="219">
        <f t="shared" ref="BT336:BT342" si="2304">(BE335*pAIDS_ART1ear_AIDS_LTFU_2004_2012)+(BT335*pAIDS_LTFU_2004_2012)</f>
        <v>0</v>
      </c>
      <c r="BU336" s="219">
        <f t="shared" ref="BU336:BU342" si="2305">(BF335*pAIDS_ART1late_AIDS_LTFU_2004_2012)+(BU335*pAIDS_LTFU_2004_2012)</f>
        <v>0</v>
      </c>
      <c r="BV336" s="219">
        <f t="shared" ref="BV336:BV342" si="2306">(BO335*pInt_LTFU_AIDS_LTFU_2004_2012)+(BV335*pAIDS_LTFU_2004_2012)</f>
        <v>0</v>
      </c>
      <c r="BW336" s="219">
        <f t="shared" ref="BW336:BW342" si="2307">(BG335*pAIDS_ART2_AIDS_LTFU_2004_2012)+(BW335*pAIDS_LTFU_2004_2012)</f>
        <v>0</v>
      </c>
      <c r="BX336" s="220">
        <f t="shared" ref="BX336:BX342" si="2308">(BP335*pInt_LTFU_AIDS_LTFU_2004_2012)+(BX335*pAIDS_LTFU_2004_2012)</f>
        <v>0</v>
      </c>
      <c r="BY336" s="195"/>
      <c r="BZ336" s="66">
        <v>2</v>
      </c>
      <c r="CA336" s="66">
        <v>2006</v>
      </c>
      <c r="CB336" s="218">
        <f>pAsympt_NoCare_Asympt_Dead_2004_2006*AS335</f>
        <v>0</v>
      </c>
      <c r="CC336" s="218">
        <f t="shared" si="2277"/>
        <v>0</v>
      </c>
      <c r="CD336" s="73">
        <f t="shared" si="2278"/>
        <v>0</v>
      </c>
      <c r="CE336" s="73">
        <f>pInt_NoCare_Int_Dead_2004_2006*AW335</f>
        <v>0</v>
      </c>
      <c r="CF336" s="73">
        <f t="shared" si="2279"/>
        <v>0</v>
      </c>
      <c r="CG336" s="73">
        <f t="shared" si="2280"/>
        <v>0</v>
      </c>
      <c r="CH336" s="73">
        <f t="shared" si="2281"/>
        <v>0</v>
      </c>
      <c r="CI336" s="73">
        <f t="shared" si="2282"/>
        <v>0</v>
      </c>
      <c r="CJ336" s="73">
        <f t="shared" si="2283"/>
        <v>0</v>
      </c>
      <c r="CK336" s="73">
        <f t="shared" si="2284"/>
        <v>0</v>
      </c>
      <c r="CL336" s="73">
        <f t="shared" si="2285"/>
        <v>0</v>
      </c>
      <c r="CM336" s="73">
        <f t="shared" si="2286"/>
        <v>0</v>
      </c>
      <c r="CN336" s="73">
        <f t="shared" si="2287"/>
        <v>0</v>
      </c>
      <c r="CO336" s="73">
        <f t="shared" si="2288"/>
        <v>0</v>
      </c>
      <c r="CP336" s="73">
        <f t="shared" si="2289"/>
        <v>0</v>
      </c>
      <c r="CQ336" s="73">
        <f t="shared" si="2290"/>
        <v>0</v>
      </c>
      <c r="CR336" s="73">
        <f t="shared" si="2291"/>
        <v>0</v>
      </c>
      <c r="CS336" s="73">
        <f t="shared" si="2292"/>
        <v>0</v>
      </c>
      <c r="CT336" s="73">
        <f t="shared" si="2293"/>
        <v>0</v>
      </c>
      <c r="CU336" s="73">
        <f t="shared" si="2294"/>
        <v>0</v>
      </c>
      <c r="CV336" s="73">
        <f t="shared" si="2295"/>
        <v>0</v>
      </c>
      <c r="CW336" s="73">
        <f t="shared" si="2296"/>
        <v>0</v>
      </c>
      <c r="CX336" s="73">
        <f t="shared" si="2297"/>
        <v>0</v>
      </c>
      <c r="CY336" s="73">
        <f t="shared" si="2298"/>
        <v>0</v>
      </c>
      <c r="CZ336" s="190"/>
      <c r="DA336" s="66">
        <v>2006</v>
      </c>
      <c r="DB336" s="218">
        <f t="shared" si="2267"/>
        <v>0</v>
      </c>
      <c r="DC336" s="218">
        <f t="shared" si="2268"/>
        <v>0</v>
      </c>
      <c r="DD336" s="73">
        <f t="shared" si="2269"/>
        <v>0</v>
      </c>
      <c r="DE336" s="73">
        <f t="shared" si="2270"/>
        <v>0</v>
      </c>
      <c r="DF336" s="73">
        <f t="shared" si="2271"/>
        <v>0</v>
      </c>
      <c r="DG336" s="73">
        <f t="shared" si="2272"/>
        <v>0</v>
      </c>
      <c r="DH336" s="72" t="e">
        <f t="shared" si="2299"/>
        <v>#DIV/0!</v>
      </c>
      <c r="DI336" s="72" t="e">
        <f t="shared" si="2300"/>
        <v>#DIV/0!</v>
      </c>
      <c r="DJ336" s="73">
        <f>SUM(AV334:AV336,BB334:BB336,BI334:BI336)</f>
        <v>0</v>
      </c>
      <c r="DK336" s="73">
        <v>0</v>
      </c>
      <c r="DL336" s="190"/>
    </row>
    <row r="337" spans="22:116" x14ac:dyDescent="0.25">
      <c r="V337" s="13"/>
      <c r="W337" s="66">
        <v>3</v>
      </c>
      <c r="X337" s="66">
        <v>2007</v>
      </c>
      <c r="Y337" s="69">
        <v>0</v>
      </c>
      <c r="Z337" s="69">
        <v>0</v>
      </c>
      <c r="AA337" s="69">
        <v>0</v>
      </c>
      <c r="AB337" s="69">
        <v>0</v>
      </c>
      <c r="AC337" s="69">
        <v>0</v>
      </c>
      <c r="AD337" s="69">
        <v>0</v>
      </c>
      <c r="AE337" s="69">
        <v>0</v>
      </c>
      <c r="AF337" s="69">
        <v>0</v>
      </c>
      <c r="AG337" s="69">
        <v>0</v>
      </c>
      <c r="AH337" s="69">
        <v>0</v>
      </c>
      <c r="AI337" s="69">
        <v>0</v>
      </c>
      <c r="AJ337" s="69">
        <v>0</v>
      </c>
      <c r="AK337" s="69">
        <v>0</v>
      </c>
      <c r="AL337" s="69">
        <v>0</v>
      </c>
      <c r="AM337" s="69">
        <v>0</v>
      </c>
      <c r="AN337" s="69">
        <v>0</v>
      </c>
      <c r="AO337" s="69">
        <v>0</v>
      </c>
      <c r="AP337" s="190"/>
      <c r="AQ337" s="66">
        <v>3</v>
      </c>
      <c r="AR337" s="66">
        <v>2007</v>
      </c>
      <c r="AS337" s="215">
        <f t="shared" si="2250"/>
        <v>0</v>
      </c>
      <c r="AT337" s="215">
        <f t="shared" si="2251"/>
        <v>0</v>
      </c>
      <c r="AU337" s="215">
        <f t="shared" si="2252"/>
        <v>0</v>
      </c>
      <c r="AV337" s="215">
        <f t="shared" si="2253"/>
        <v>0</v>
      </c>
      <c r="AW337" s="215">
        <f t="shared" si="2254"/>
        <v>0</v>
      </c>
      <c r="AX337" s="215">
        <f t="shared" si="2255"/>
        <v>0</v>
      </c>
      <c r="AY337" s="215">
        <f t="shared" si="2256"/>
        <v>0</v>
      </c>
      <c r="AZ337" s="215">
        <f t="shared" si="2257"/>
        <v>0</v>
      </c>
      <c r="BA337" s="215">
        <f t="shared" si="2258"/>
        <v>0</v>
      </c>
      <c r="BB337" s="215">
        <f t="shared" si="2259"/>
        <v>0</v>
      </c>
      <c r="BC337" s="215">
        <f t="shared" si="2260"/>
        <v>0</v>
      </c>
      <c r="BD337" s="215">
        <f t="shared" si="2261"/>
        <v>0</v>
      </c>
      <c r="BE337" s="215">
        <f t="shared" si="2262"/>
        <v>0</v>
      </c>
      <c r="BF337" s="215">
        <f t="shared" si="2263"/>
        <v>0</v>
      </c>
      <c r="BG337" s="215">
        <f t="shared" si="2264"/>
        <v>0</v>
      </c>
      <c r="BH337" s="215">
        <f t="shared" si="2265"/>
        <v>0</v>
      </c>
      <c r="BI337" s="215">
        <f t="shared" si="2266"/>
        <v>0</v>
      </c>
      <c r="BJ337" s="195"/>
      <c r="BK337" s="66">
        <v>3</v>
      </c>
      <c r="BL337" s="66">
        <v>2007</v>
      </c>
      <c r="BM337" s="215">
        <f t="shared" si="2273"/>
        <v>0</v>
      </c>
      <c r="BN337" s="219">
        <f t="shared" si="2274"/>
        <v>0</v>
      </c>
      <c r="BO337" s="219">
        <f t="shared" si="2275"/>
        <v>0</v>
      </c>
      <c r="BP337" s="219">
        <f t="shared" si="2301"/>
        <v>0</v>
      </c>
      <c r="BQ337" s="219">
        <f t="shared" si="2276"/>
        <v>0</v>
      </c>
      <c r="BR337" s="220">
        <f t="shared" si="2302"/>
        <v>0</v>
      </c>
      <c r="BS337" s="219">
        <f t="shared" si="2303"/>
        <v>0</v>
      </c>
      <c r="BT337" s="219">
        <f t="shared" si="2304"/>
        <v>0</v>
      </c>
      <c r="BU337" s="219">
        <f t="shared" si="2305"/>
        <v>0</v>
      </c>
      <c r="BV337" s="219">
        <f t="shared" si="2306"/>
        <v>0</v>
      </c>
      <c r="BW337" s="219">
        <f t="shared" si="2307"/>
        <v>0</v>
      </c>
      <c r="BX337" s="220">
        <f t="shared" si="2308"/>
        <v>0</v>
      </c>
      <c r="BY337" s="195"/>
      <c r="BZ337" s="66">
        <v>3</v>
      </c>
      <c r="CA337" s="66">
        <v>2007</v>
      </c>
      <c r="CB337" s="218">
        <f>pAsympt_NoCare_Asympt_Dead_2007_2009*AS336</f>
        <v>0</v>
      </c>
      <c r="CC337" s="218">
        <f t="shared" si="2277"/>
        <v>0</v>
      </c>
      <c r="CD337" s="73">
        <f t="shared" si="2278"/>
        <v>0</v>
      </c>
      <c r="CE337" s="73">
        <f>pInt_NoCare_Int_Dead_2007_2009*AW336</f>
        <v>0</v>
      </c>
      <c r="CF337" s="73">
        <f t="shared" si="2279"/>
        <v>0</v>
      </c>
      <c r="CG337" s="73">
        <f t="shared" si="2280"/>
        <v>0</v>
      </c>
      <c r="CH337" s="73">
        <f t="shared" si="2281"/>
        <v>0</v>
      </c>
      <c r="CI337" s="73">
        <f t="shared" si="2282"/>
        <v>0</v>
      </c>
      <c r="CJ337" s="73">
        <f t="shared" si="2283"/>
        <v>0</v>
      </c>
      <c r="CK337" s="73">
        <f t="shared" si="2284"/>
        <v>0</v>
      </c>
      <c r="CL337" s="73">
        <f t="shared" si="2285"/>
        <v>0</v>
      </c>
      <c r="CM337" s="73">
        <f>pAIDS_NoCare_AIDS_Dead_2007_2009*BC336</f>
        <v>0</v>
      </c>
      <c r="CN337" s="73">
        <f t="shared" si="2287"/>
        <v>0</v>
      </c>
      <c r="CO337" s="73">
        <f t="shared" si="2288"/>
        <v>0</v>
      </c>
      <c r="CP337" s="73">
        <f t="shared" si="2289"/>
        <v>0</v>
      </c>
      <c r="CQ337" s="73">
        <f t="shared" si="2290"/>
        <v>0</v>
      </c>
      <c r="CR337" s="73">
        <f t="shared" si="2291"/>
        <v>0</v>
      </c>
      <c r="CS337" s="73">
        <f t="shared" si="2292"/>
        <v>0</v>
      </c>
      <c r="CT337" s="73">
        <f t="shared" si="2293"/>
        <v>0</v>
      </c>
      <c r="CU337" s="73">
        <f t="shared" si="2294"/>
        <v>0</v>
      </c>
      <c r="CV337" s="73">
        <f t="shared" si="2295"/>
        <v>0</v>
      </c>
      <c r="CW337" s="73">
        <f t="shared" si="2296"/>
        <v>0</v>
      </c>
      <c r="CX337" s="73">
        <f t="shared" si="2297"/>
        <v>0</v>
      </c>
      <c r="CY337" s="73">
        <f t="shared" si="2298"/>
        <v>0</v>
      </c>
      <c r="CZ337" s="190"/>
      <c r="DA337" s="66">
        <v>2007</v>
      </c>
      <c r="DB337" s="218">
        <f t="shared" si="2267"/>
        <v>0</v>
      </c>
      <c r="DC337" s="218">
        <f t="shared" si="2268"/>
        <v>0</v>
      </c>
      <c r="DD337" s="73">
        <f t="shared" si="2269"/>
        <v>0</v>
      </c>
      <c r="DE337" s="73">
        <f t="shared" si="2270"/>
        <v>0</v>
      </c>
      <c r="DF337" s="73">
        <f t="shared" si="2271"/>
        <v>0</v>
      </c>
      <c r="DG337" s="73">
        <f t="shared" si="2272"/>
        <v>0</v>
      </c>
      <c r="DH337" s="72" t="e">
        <f t="shared" si="2299"/>
        <v>#DIV/0!</v>
      </c>
      <c r="DI337" s="72" t="e">
        <f t="shared" si="2300"/>
        <v>#DIV/0!</v>
      </c>
      <c r="DJ337" s="73">
        <f>SUM(AV334:AV337,BB334:BB337,BI334:BI337)</f>
        <v>0</v>
      </c>
      <c r="DK337" s="218">
        <v>0</v>
      </c>
      <c r="DL337" s="190"/>
    </row>
    <row r="338" spans="22:116" x14ac:dyDescent="0.25">
      <c r="V338" s="13"/>
      <c r="W338" s="66">
        <v>4</v>
      </c>
      <c r="X338" s="66">
        <v>2008</v>
      </c>
      <c r="Y338" s="69">
        <v>0</v>
      </c>
      <c r="Z338" s="69">
        <v>0</v>
      </c>
      <c r="AA338" s="69">
        <v>0</v>
      </c>
      <c r="AB338" s="69">
        <v>0</v>
      </c>
      <c r="AC338" s="69">
        <v>0</v>
      </c>
      <c r="AD338" s="69">
        <v>0</v>
      </c>
      <c r="AE338" s="69">
        <v>0</v>
      </c>
      <c r="AF338" s="69">
        <v>0</v>
      </c>
      <c r="AG338" s="69">
        <v>0</v>
      </c>
      <c r="AH338" s="69">
        <v>0</v>
      </c>
      <c r="AI338" s="69">
        <v>0</v>
      </c>
      <c r="AJ338" s="69">
        <v>0</v>
      </c>
      <c r="AK338" s="69">
        <v>0</v>
      </c>
      <c r="AL338" s="69">
        <v>0</v>
      </c>
      <c r="AM338" s="69">
        <v>0</v>
      </c>
      <c r="AN338" s="69">
        <v>0</v>
      </c>
      <c r="AO338" s="69">
        <v>0</v>
      </c>
      <c r="AP338" s="190"/>
      <c r="AQ338" s="66">
        <v>4</v>
      </c>
      <c r="AR338" s="66">
        <v>2008</v>
      </c>
      <c r="AS338" s="215">
        <f t="shared" si="2250"/>
        <v>0</v>
      </c>
      <c r="AT338" s="215">
        <f t="shared" si="2251"/>
        <v>0</v>
      </c>
      <c r="AU338" s="215">
        <f t="shared" si="2252"/>
        <v>0</v>
      </c>
      <c r="AV338" s="215">
        <f t="shared" si="2253"/>
        <v>0</v>
      </c>
      <c r="AW338" s="215">
        <f t="shared" si="2254"/>
        <v>0</v>
      </c>
      <c r="AX338" s="215">
        <f t="shared" si="2255"/>
        <v>0</v>
      </c>
      <c r="AY338" s="215">
        <f t="shared" si="2256"/>
        <v>0</v>
      </c>
      <c r="AZ338" s="215">
        <f t="shared" si="2257"/>
        <v>0</v>
      </c>
      <c r="BA338" s="215">
        <f t="shared" si="2258"/>
        <v>0</v>
      </c>
      <c r="BB338" s="215">
        <f t="shared" si="2259"/>
        <v>0</v>
      </c>
      <c r="BC338" s="215">
        <f t="shared" si="2260"/>
        <v>0</v>
      </c>
      <c r="BD338" s="215">
        <f t="shared" si="2261"/>
        <v>0</v>
      </c>
      <c r="BE338" s="215">
        <f t="shared" si="2262"/>
        <v>0</v>
      </c>
      <c r="BF338" s="215">
        <f t="shared" si="2263"/>
        <v>0</v>
      </c>
      <c r="BG338" s="215">
        <f t="shared" si="2264"/>
        <v>0</v>
      </c>
      <c r="BH338" s="215">
        <f t="shared" si="2265"/>
        <v>0</v>
      </c>
      <c r="BI338" s="215">
        <f t="shared" si="2266"/>
        <v>0</v>
      </c>
      <c r="BJ338" s="195"/>
      <c r="BK338" s="66">
        <v>4</v>
      </c>
      <c r="BL338" s="66">
        <v>2008</v>
      </c>
      <c r="BM338" s="215">
        <f t="shared" si="2273"/>
        <v>0</v>
      </c>
      <c r="BN338" s="219">
        <f t="shared" si="2274"/>
        <v>0</v>
      </c>
      <c r="BO338" s="219">
        <f t="shared" si="2275"/>
        <v>0</v>
      </c>
      <c r="BP338" s="219">
        <f t="shared" si="2301"/>
        <v>0</v>
      </c>
      <c r="BQ338" s="219">
        <f t="shared" si="2276"/>
        <v>0</v>
      </c>
      <c r="BR338" s="220">
        <f t="shared" si="2302"/>
        <v>0</v>
      </c>
      <c r="BS338" s="219">
        <f t="shared" si="2303"/>
        <v>0</v>
      </c>
      <c r="BT338" s="219">
        <f t="shared" si="2304"/>
        <v>0</v>
      </c>
      <c r="BU338" s="219">
        <f t="shared" si="2305"/>
        <v>0</v>
      </c>
      <c r="BV338" s="219">
        <f t="shared" si="2306"/>
        <v>0</v>
      </c>
      <c r="BW338" s="219">
        <f t="shared" si="2307"/>
        <v>0</v>
      </c>
      <c r="BX338" s="220">
        <f t="shared" si="2308"/>
        <v>0</v>
      </c>
      <c r="BY338" s="195"/>
      <c r="BZ338" s="66">
        <v>4</v>
      </c>
      <c r="CA338" s="66">
        <v>2008</v>
      </c>
      <c r="CB338" s="218">
        <f>pAsympt_NoCare_Asympt_Dead_2007_2009*AS337</f>
        <v>0</v>
      </c>
      <c r="CC338" s="218">
        <f t="shared" si="2277"/>
        <v>0</v>
      </c>
      <c r="CD338" s="73">
        <f t="shared" si="2278"/>
        <v>0</v>
      </c>
      <c r="CE338" s="73">
        <f>pInt_NoCare_Int_Dead_2007_2009*AW337</f>
        <v>0</v>
      </c>
      <c r="CF338" s="73">
        <f t="shared" si="2279"/>
        <v>0</v>
      </c>
      <c r="CG338" s="73">
        <f t="shared" si="2280"/>
        <v>0</v>
      </c>
      <c r="CH338" s="73">
        <f t="shared" si="2281"/>
        <v>0</v>
      </c>
      <c r="CI338" s="73">
        <f t="shared" si="2282"/>
        <v>0</v>
      </c>
      <c r="CJ338" s="73">
        <f t="shared" si="2283"/>
        <v>0</v>
      </c>
      <c r="CK338" s="73">
        <f t="shared" si="2284"/>
        <v>0</v>
      </c>
      <c r="CL338" s="73">
        <f t="shared" si="2285"/>
        <v>0</v>
      </c>
      <c r="CM338" s="73">
        <f>pAIDS_NoCare_AIDS_Dead_2007_2009*BC337</f>
        <v>0</v>
      </c>
      <c r="CN338" s="73">
        <f t="shared" si="2287"/>
        <v>0</v>
      </c>
      <c r="CO338" s="73">
        <f t="shared" si="2288"/>
        <v>0</v>
      </c>
      <c r="CP338" s="73">
        <f t="shared" si="2289"/>
        <v>0</v>
      </c>
      <c r="CQ338" s="73">
        <f t="shared" si="2290"/>
        <v>0</v>
      </c>
      <c r="CR338" s="73">
        <f t="shared" si="2291"/>
        <v>0</v>
      </c>
      <c r="CS338" s="73">
        <f t="shared" si="2292"/>
        <v>0</v>
      </c>
      <c r="CT338" s="73">
        <f t="shared" si="2293"/>
        <v>0</v>
      </c>
      <c r="CU338" s="73">
        <f t="shared" si="2294"/>
        <v>0</v>
      </c>
      <c r="CV338" s="73">
        <f t="shared" si="2295"/>
        <v>0</v>
      </c>
      <c r="CW338" s="73">
        <f t="shared" si="2296"/>
        <v>0</v>
      </c>
      <c r="CX338" s="73">
        <f t="shared" si="2297"/>
        <v>0</v>
      </c>
      <c r="CY338" s="73">
        <f t="shared" si="2298"/>
        <v>0</v>
      </c>
      <c r="CZ338" s="190"/>
      <c r="DA338" s="66">
        <v>2008</v>
      </c>
      <c r="DB338" s="218">
        <f t="shared" si="2267"/>
        <v>0</v>
      </c>
      <c r="DC338" s="218">
        <f t="shared" si="2268"/>
        <v>0</v>
      </c>
      <c r="DD338" s="73">
        <f t="shared" si="2269"/>
        <v>0</v>
      </c>
      <c r="DE338" s="73">
        <f t="shared" si="2270"/>
        <v>0</v>
      </c>
      <c r="DF338" s="73">
        <f t="shared" si="2271"/>
        <v>0</v>
      </c>
      <c r="DG338" s="73">
        <f t="shared" si="2272"/>
        <v>0</v>
      </c>
      <c r="DH338" s="72" t="e">
        <f t="shared" si="2299"/>
        <v>#DIV/0!</v>
      </c>
      <c r="DI338" s="72" t="e">
        <f t="shared" si="2300"/>
        <v>#DIV/0!</v>
      </c>
      <c r="DJ338" s="73">
        <f>SUM(AV334:AV338,BB334:BB338,BI334:BI338)</f>
        <v>0</v>
      </c>
      <c r="DK338" s="218">
        <v>0</v>
      </c>
      <c r="DL338" s="190"/>
    </row>
    <row r="339" spans="22:116" x14ac:dyDescent="0.25">
      <c r="V339" s="13"/>
      <c r="W339" s="66">
        <v>5</v>
      </c>
      <c r="X339" s="66">
        <v>2009</v>
      </c>
      <c r="Y339" s="69">
        <v>0</v>
      </c>
      <c r="Z339" s="69">
        <v>0</v>
      </c>
      <c r="AA339" s="69">
        <v>0</v>
      </c>
      <c r="AB339" s="69">
        <v>0</v>
      </c>
      <c r="AC339" s="69">
        <v>0</v>
      </c>
      <c r="AD339" s="69">
        <v>0</v>
      </c>
      <c r="AE339" s="69">
        <v>0</v>
      </c>
      <c r="AF339" s="69">
        <v>0</v>
      </c>
      <c r="AG339" s="69">
        <v>0</v>
      </c>
      <c r="AH339" s="69">
        <v>0</v>
      </c>
      <c r="AI339" s="69">
        <v>0</v>
      </c>
      <c r="AJ339" s="69">
        <v>0</v>
      </c>
      <c r="AK339" s="69">
        <v>0</v>
      </c>
      <c r="AL339" s="69">
        <v>0</v>
      </c>
      <c r="AM339" s="69">
        <v>0</v>
      </c>
      <c r="AN339" s="69">
        <v>0</v>
      </c>
      <c r="AO339" s="69">
        <v>0</v>
      </c>
      <c r="AP339" s="190"/>
      <c r="AQ339" s="66">
        <v>5</v>
      </c>
      <c r="AR339" s="66">
        <v>2009</v>
      </c>
      <c r="AS339" s="215">
        <f t="shared" si="2250"/>
        <v>0</v>
      </c>
      <c r="AT339" s="215">
        <f t="shared" si="2251"/>
        <v>0</v>
      </c>
      <c r="AU339" s="215">
        <f t="shared" si="2252"/>
        <v>0</v>
      </c>
      <c r="AV339" s="215">
        <f t="shared" si="2253"/>
        <v>0</v>
      </c>
      <c r="AW339" s="215">
        <f t="shared" si="2254"/>
        <v>0</v>
      </c>
      <c r="AX339" s="215">
        <f t="shared" si="2255"/>
        <v>0</v>
      </c>
      <c r="AY339" s="215">
        <f t="shared" si="2256"/>
        <v>0</v>
      </c>
      <c r="AZ339" s="215">
        <f t="shared" si="2257"/>
        <v>0</v>
      </c>
      <c r="BA339" s="215">
        <f t="shared" si="2258"/>
        <v>0</v>
      </c>
      <c r="BB339" s="215">
        <f t="shared" si="2259"/>
        <v>0</v>
      </c>
      <c r="BC339" s="215">
        <f t="shared" si="2260"/>
        <v>0</v>
      </c>
      <c r="BD339" s="215">
        <f t="shared" si="2261"/>
        <v>0</v>
      </c>
      <c r="BE339" s="215">
        <f t="shared" si="2262"/>
        <v>0</v>
      </c>
      <c r="BF339" s="215">
        <f t="shared" si="2263"/>
        <v>0</v>
      </c>
      <c r="BG339" s="215">
        <f t="shared" si="2264"/>
        <v>0</v>
      </c>
      <c r="BH339" s="215">
        <f t="shared" si="2265"/>
        <v>0</v>
      </c>
      <c r="BI339" s="215">
        <f t="shared" si="2266"/>
        <v>0</v>
      </c>
      <c r="BJ339" s="195"/>
      <c r="BK339" s="66">
        <v>5</v>
      </c>
      <c r="BL339" s="66">
        <v>2009</v>
      </c>
      <c r="BM339" s="215">
        <f t="shared" si="2273"/>
        <v>0</v>
      </c>
      <c r="BN339" s="219">
        <f t="shared" si="2274"/>
        <v>0</v>
      </c>
      <c r="BO339" s="219">
        <f t="shared" si="2275"/>
        <v>0</v>
      </c>
      <c r="BP339" s="219">
        <f t="shared" si="2301"/>
        <v>0</v>
      </c>
      <c r="BQ339" s="219">
        <f t="shared" si="2276"/>
        <v>0</v>
      </c>
      <c r="BR339" s="220">
        <f t="shared" si="2302"/>
        <v>0</v>
      </c>
      <c r="BS339" s="219">
        <f t="shared" si="2303"/>
        <v>0</v>
      </c>
      <c r="BT339" s="219">
        <f t="shared" si="2304"/>
        <v>0</v>
      </c>
      <c r="BU339" s="219">
        <f t="shared" si="2305"/>
        <v>0</v>
      </c>
      <c r="BV339" s="219">
        <f t="shared" si="2306"/>
        <v>0</v>
      </c>
      <c r="BW339" s="219">
        <f t="shared" si="2307"/>
        <v>0</v>
      </c>
      <c r="BX339" s="220">
        <f t="shared" si="2308"/>
        <v>0</v>
      </c>
      <c r="BY339" s="195"/>
      <c r="BZ339" s="66">
        <v>5</v>
      </c>
      <c r="CA339" s="66">
        <v>2009</v>
      </c>
      <c r="CB339" s="218">
        <f>pAsympt_NoCare_Asympt_Dead_2007_2009*AS338</f>
        <v>0</v>
      </c>
      <c r="CC339" s="218">
        <f t="shared" si="2277"/>
        <v>0</v>
      </c>
      <c r="CD339" s="73">
        <f t="shared" si="2278"/>
        <v>0</v>
      </c>
      <c r="CE339" s="73">
        <f>pInt_NoCare_Int_Dead_2007_2009*AW338</f>
        <v>0</v>
      </c>
      <c r="CF339" s="73">
        <f t="shared" si="2279"/>
        <v>0</v>
      </c>
      <c r="CG339" s="73">
        <f t="shared" si="2280"/>
        <v>0</v>
      </c>
      <c r="CH339" s="73">
        <f t="shared" si="2281"/>
        <v>0</v>
      </c>
      <c r="CI339" s="73">
        <f t="shared" si="2282"/>
        <v>0</v>
      </c>
      <c r="CJ339" s="73">
        <f t="shared" si="2283"/>
        <v>0</v>
      </c>
      <c r="CK339" s="73">
        <f t="shared" si="2284"/>
        <v>0</v>
      </c>
      <c r="CL339" s="73">
        <f t="shared" si="2285"/>
        <v>0</v>
      </c>
      <c r="CM339" s="73">
        <f>pAIDS_NoCare_AIDS_Dead_2007_2009*BC338</f>
        <v>0</v>
      </c>
      <c r="CN339" s="73">
        <f t="shared" si="2287"/>
        <v>0</v>
      </c>
      <c r="CO339" s="73">
        <f t="shared" si="2288"/>
        <v>0</v>
      </c>
      <c r="CP339" s="73">
        <f t="shared" si="2289"/>
        <v>0</v>
      </c>
      <c r="CQ339" s="73">
        <f t="shared" si="2290"/>
        <v>0</v>
      </c>
      <c r="CR339" s="73">
        <f t="shared" si="2291"/>
        <v>0</v>
      </c>
      <c r="CS339" s="73">
        <f t="shared" si="2292"/>
        <v>0</v>
      </c>
      <c r="CT339" s="73">
        <f t="shared" si="2293"/>
        <v>0</v>
      </c>
      <c r="CU339" s="73">
        <f t="shared" si="2294"/>
        <v>0</v>
      </c>
      <c r="CV339" s="73">
        <f t="shared" si="2295"/>
        <v>0</v>
      </c>
      <c r="CW339" s="73">
        <f t="shared" si="2296"/>
        <v>0</v>
      </c>
      <c r="CX339" s="73">
        <f t="shared" si="2297"/>
        <v>0</v>
      </c>
      <c r="CY339" s="73">
        <f t="shared" si="2298"/>
        <v>0</v>
      </c>
      <c r="CZ339" s="190"/>
      <c r="DA339" s="66">
        <v>2009</v>
      </c>
      <c r="DB339" s="218">
        <f t="shared" si="2267"/>
        <v>0</v>
      </c>
      <c r="DC339" s="218">
        <f t="shared" si="2268"/>
        <v>0</v>
      </c>
      <c r="DD339" s="73">
        <f t="shared" si="2269"/>
        <v>0</v>
      </c>
      <c r="DE339" s="73">
        <f t="shared" si="2270"/>
        <v>0</v>
      </c>
      <c r="DF339" s="73">
        <f t="shared" si="2271"/>
        <v>0</v>
      </c>
      <c r="DG339" s="73">
        <f t="shared" si="2272"/>
        <v>0</v>
      </c>
      <c r="DH339" s="72" t="e">
        <f t="shared" si="2299"/>
        <v>#DIV/0!</v>
      </c>
      <c r="DI339" s="72" t="e">
        <f t="shared" si="2300"/>
        <v>#DIV/0!</v>
      </c>
      <c r="DJ339" s="73">
        <f>SUM(AV334:AV339,BB334:BB339,BI334:BI339)</f>
        <v>0</v>
      </c>
      <c r="DK339" s="218">
        <v>0</v>
      </c>
      <c r="DL339" s="190"/>
    </row>
    <row r="340" spans="22:116" x14ac:dyDescent="0.25">
      <c r="V340" s="13"/>
      <c r="W340" s="66">
        <v>6</v>
      </c>
      <c r="X340" s="66">
        <v>2010</v>
      </c>
      <c r="Y340" s="69">
        <v>0</v>
      </c>
      <c r="Z340" s="69">
        <v>0</v>
      </c>
      <c r="AA340" s="69">
        <v>0</v>
      </c>
      <c r="AB340" s="69">
        <v>0</v>
      </c>
      <c r="AC340" s="69">
        <v>0</v>
      </c>
      <c r="AD340" s="69">
        <v>0</v>
      </c>
      <c r="AE340" s="69">
        <v>0</v>
      </c>
      <c r="AF340" s="69">
        <v>0</v>
      </c>
      <c r="AG340" s="69">
        <v>0</v>
      </c>
      <c r="AH340" s="69">
        <v>0</v>
      </c>
      <c r="AI340" s="69">
        <v>0</v>
      </c>
      <c r="AJ340" s="69">
        <v>0</v>
      </c>
      <c r="AK340" s="69">
        <v>0</v>
      </c>
      <c r="AL340" s="69">
        <v>0</v>
      </c>
      <c r="AM340" s="69">
        <v>0</v>
      </c>
      <c r="AN340" s="69">
        <v>0</v>
      </c>
      <c r="AO340" s="69">
        <v>0</v>
      </c>
      <c r="AP340" s="190"/>
      <c r="AQ340" s="66">
        <v>6</v>
      </c>
      <c r="AR340" s="66">
        <v>2010</v>
      </c>
      <c r="AS340" s="215">
        <f t="shared" si="2250"/>
        <v>0</v>
      </c>
      <c r="AT340" s="215">
        <f t="shared" si="2251"/>
        <v>0</v>
      </c>
      <c r="AU340" s="215">
        <f t="shared" si="2252"/>
        <v>0</v>
      </c>
      <c r="AV340" s="215">
        <f t="shared" si="2253"/>
        <v>0</v>
      </c>
      <c r="AW340" s="215">
        <f t="shared" si="2254"/>
        <v>0</v>
      </c>
      <c r="AX340" s="215">
        <f t="shared" si="2255"/>
        <v>0</v>
      </c>
      <c r="AY340" s="215">
        <f t="shared" si="2256"/>
        <v>0</v>
      </c>
      <c r="AZ340" s="215">
        <f t="shared" si="2257"/>
        <v>0</v>
      </c>
      <c r="BA340" s="215">
        <f t="shared" si="2258"/>
        <v>0</v>
      </c>
      <c r="BB340" s="215">
        <f t="shared" si="2259"/>
        <v>0</v>
      </c>
      <c r="BC340" s="215">
        <f t="shared" si="2260"/>
        <v>0</v>
      </c>
      <c r="BD340" s="215">
        <f t="shared" si="2261"/>
        <v>0</v>
      </c>
      <c r="BE340" s="215">
        <f t="shared" si="2262"/>
        <v>0</v>
      </c>
      <c r="BF340" s="215">
        <f t="shared" si="2263"/>
        <v>0</v>
      </c>
      <c r="BG340" s="215">
        <f t="shared" si="2264"/>
        <v>0</v>
      </c>
      <c r="BH340" s="215">
        <f t="shared" si="2265"/>
        <v>0</v>
      </c>
      <c r="BI340" s="215">
        <f t="shared" si="2266"/>
        <v>0</v>
      </c>
      <c r="BJ340" s="195"/>
      <c r="BK340" s="66">
        <v>6</v>
      </c>
      <c r="BL340" s="66">
        <v>2010</v>
      </c>
      <c r="BM340" s="215">
        <f t="shared" si="2273"/>
        <v>0</v>
      </c>
      <c r="BN340" s="219">
        <f t="shared" si="2274"/>
        <v>0</v>
      </c>
      <c r="BO340" s="219">
        <f t="shared" si="2275"/>
        <v>0</v>
      </c>
      <c r="BP340" s="219">
        <f t="shared" si="2301"/>
        <v>0</v>
      </c>
      <c r="BQ340" s="219">
        <f t="shared" si="2276"/>
        <v>0</v>
      </c>
      <c r="BR340" s="220">
        <f t="shared" si="2302"/>
        <v>0</v>
      </c>
      <c r="BS340" s="219">
        <f t="shared" si="2303"/>
        <v>0</v>
      </c>
      <c r="BT340" s="219">
        <f t="shared" si="2304"/>
        <v>0</v>
      </c>
      <c r="BU340" s="219">
        <f t="shared" si="2305"/>
        <v>0</v>
      </c>
      <c r="BV340" s="219">
        <f t="shared" si="2306"/>
        <v>0</v>
      </c>
      <c r="BW340" s="219">
        <f t="shared" si="2307"/>
        <v>0</v>
      </c>
      <c r="BX340" s="220">
        <f t="shared" si="2308"/>
        <v>0</v>
      </c>
      <c r="BY340" s="195"/>
      <c r="BZ340" s="66">
        <v>6</v>
      </c>
      <c r="CA340" s="66">
        <v>2010</v>
      </c>
      <c r="CB340" s="218">
        <f>pAsympt_NoCare_Asympt_Dead_2010_2012*AS339</f>
        <v>0</v>
      </c>
      <c r="CC340" s="218">
        <f t="shared" si="2277"/>
        <v>0</v>
      </c>
      <c r="CD340" s="73">
        <f t="shared" si="2278"/>
        <v>0</v>
      </c>
      <c r="CE340" s="73">
        <f>pInt_NoCare_Int_Dead_2010_2012*AW339</f>
        <v>0</v>
      </c>
      <c r="CF340" s="73">
        <f t="shared" si="2279"/>
        <v>0</v>
      </c>
      <c r="CG340" s="73">
        <f t="shared" si="2280"/>
        <v>0</v>
      </c>
      <c r="CH340" s="73">
        <f t="shared" si="2281"/>
        <v>0</v>
      </c>
      <c r="CI340" s="73">
        <f t="shared" si="2282"/>
        <v>0</v>
      </c>
      <c r="CJ340" s="73">
        <f t="shared" si="2283"/>
        <v>0</v>
      </c>
      <c r="CK340" s="73">
        <f t="shared" si="2284"/>
        <v>0</v>
      </c>
      <c r="CL340" s="73">
        <f t="shared" si="2285"/>
        <v>0</v>
      </c>
      <c r="CM340" s="73">
        <f>pAIDS_NoCare_AIDS_Dead_2010_2012*BC339</f>
        <v>0</v>
      </c>
      <c r="CN340" s="73">
        <f t="shared" si="2287"/>
        <v>0</v>
      </c>
      <c r="CO340" s="73">
        <f t="shared" si="2288"/>
        <v>0</v>
      </c>
      <c r="CP340" s="73">
        <f t="shared" si="2289"/>
        <v>0</v>
      </c>
      <c r="CQ340" s="73">
        <f t="shared" si="2290"/>
        <v>0</v>
      </c>
      <c r="CR340" s="73">
        <f t="shared" si="2291"/>
        <v>0</v>
      </c>
      <c r="CS340" s="73">
        <f t="shared" si="2292"/>
        <v>0</v>
      </c>
      <c r="CT340" s="73">
        <f t="shared" si="2293"/>
        <v>0</v>
      </c>
      <c r="CU340" s="73">
        <f t="shared" si="2294"/>
        <v>0</v>
      </c>
      <c r="CV340" s="73">
        <f t="shared" si="2295"/>
        <v>0</v>
      </c>
      <c r="CW340" s="73">
        <f t="shared" si="2296"/>
        <v>0</v>
      </c>
      <c r="CX340" s="73">
        <f t="shared" si="2297"/>
        <v>0</v>
      </c>
      <c r="CY340" s="73">
        <f t="shared" si="2298"/>
        <v>0</v>
      </c>
      <c r="CZ340" s="190"/>
      <c r="DA340" s="66">
        <v>2010</v>
      </c>
      <c r="DB340" s="218">
        <f t="shared" si="2267"/>
        <v>0</v>
      </c>
      <c r="DC340" s="218">
        <f t="shared" si="2268"/>
        <v>0</v>
      </c>
      <c r="DD340" s="73">
        <f t="shared" si="2269"/>
        <v>0</v>
      </c>
      <c r="DE340" s="73">
        <f t="shared" si="2270"/>
        <v>0</v>
      </c>
      <c r="DF340" s="73">
        <f t="shared" si="2271"/>
        <v>0</v>
      </c>
      <c r="DG340" s="73">
        <f t="shared" si="2272"/>
        <v>0</v>
      </c>
      <c r="DH340" s="72" t="e">
        <f t="shared" si="2299"/>
        <v>#DIV/0!</v>
      </c>
      <c r="DI340" s="72" t="e">
        <f t="shared" si="2300"/>
        <v>#DIV/0!</v>
      </c>
      <c r="DJ340" s="73">
        <f>SUM(AV334:AV340,BB334:BB340,BI334:BI340)</f>
        <v>0</v>
      </c>
      <c r="DK340" s="218">
        <f>SUM(AV340,BB340,BI340)</f>
        <v>0</v>
      </c>
      <c r="DL340" s="190"/>
    </row>
    <row r="341" spans="22:116" x14ac:dyDescent="0.25">
      <c r="V341" s="13"/>
      <c r="W341" s="66">
        <v>7</v>
      </c>
      <c r="X341" s="66">
        <v>2011</v>
      </c>
      <c r="Y341" s="69">
        <v>0</v>
      </c>
      <c r="Z341" s="69">
        <v>0</v>
      </c>
      <c r="AA341" s="69">
        <v>0</v>
      </c>
      <c r="AB341" s="69">
        <v>0</v>
      </c>
      <c r="AC341" s="69">
        <v>0</v>
      </c>
      <c r="AD341" s="69">
        <v>0</v>
      </c>
      <c r="AE341" s="69">
        <v>0</v>
      </c>
      <c r="AF341" s="69">
        <v>0</v>
      </c>
      <c r="AG341" s="69">
        <v>0</v>
      </c>
      <c r="AH341" s="69">
        <v>0</v>
      </c>
      <c r="AI341" s="69">
        <v>0</v>
      </c>
      <c r="AJ341" s="69">
        <v>0</v>
      </c>
      <c r="AK341" s="69">
        <v>0</v>
      </c>
      <c r="AL341" s="69">
        <v>0</v>
      </c>
      <c r="AM341" s="69">
        <v>0</v>
      </c>
      <c r="AN341" s="69">
        <v>0</v>
      </c>
      <c r="AO341" s="69">
        <v>0</v>
      </c>
      <c r="AP341" s="190"/>
      <c r="AQ341" s="66">
        <v>7</v>
      </c>
      <c r="AR341" s="66">
        <v>2011</v>
      </c>
      <c r="AS341" s="215">
        <f t="shared" si="2250"/>
        <v>0</v>
      </c>
      <c r="AT341" s="215">
        <f t="shared" si="2251"/>
        <v>0</v>
      </c>
      <c r="AU341" s="215">
        <f t="shared" si="2252"/>
        <v>0</v>
      </c>
      <c r="AV341" s="215">
        <f t="shared" si="2253"/>
        <v>0</v>
      </c>
      <c r="AW341" s="215">
        <f t="shared" si="2254"/>
        <v>0</v>
      </c>
      <c r="AX341" s="215">
        <f t="shared" si="2255"/>
        <v>0</v>
      </c>
      <c r="AY341" s="215">
        <f t="shared" si="2256"/>
        <v>0</v>
      </c>
      <c r="AZ341" s="215">
        <f t="shared" si="2257"/>
        <v>0</v>
      </c>
      <c r="BA341" s="215">
        <f t="shared" si="2258"/>
        <v>0</v>
      </c>
      <c r="BB341" s="215">
        <f t="shared" si="2259"/>
        <v>0</v>
      </c>
      <c r="BC341" s="215">
        <f t="shared" si="2260"/>
        <v>0</v>
      </c>
      <c r="BD341" s="215">
        <f t="shared" si="2261"/>
        <v>0</v>
      </c>
      <c r="BE341" s="215">
        <f t="shared" si="2262"/>
        <v>0</v>
      </c>
      <c r="BF341" s="215">
        <f t="shared" si="2263"/>
        <v>0</v>
      </c>
      <c r="BG341" s="215">
        <f t="shared" si="2264"/>
        <v>0</v>
      </c>
      <c r="BH341" s="215">
        <f t="shared" si="2265"/>
        <v>0</v>
      </c>
      <c r="BI341" s="215">
        <f t="shared" si="2266"/>
        <v>0</v>
      </c>
      <c r="BJ341" s="195"/>
      <c r="BK341" s="66">
        <v>7</v>
      </c>
      <c r="BL341" s="66">
        <v>2011</v>
      </c>
      <c r="BM341" s="215">
        <f t="shared" si="2273"/>
        <v>0</v>
      </c>
      <c r="BN341" s="219">
        <f t="shared" si="2274"/>
        <v>0</v>
      </c>
      <c r="BO341" s="219">
        <f t="shared" si="2275"/>
        <v>0</v>
      </c>
      <c r="BP341" s="219">
        <f t="shared" si="2301"/>
        <v>0</v>
      </c>
      <c r="BQ341" s="219">
        <f t="shared" si="2276"/>
        <v>0</v>
      </c>
      <c r="BR341" s="220">
        <f t="shared" si="2302"/>
        <v>0</v>
      </c>
      <c r="BS341" s="219">
        <f t="shared" si="2303"/>
        <v>0</v>
      </c>
      <c r="BT341" s="219">
        <f t="shared" si="2304"/>
        <v>0</v>
      </c>
      <c r="BU341" s="219">
        <f t="shared" si="2305"/>
        <v>0</v>
      </c>
      <c r="BV341" s="219">
        <f t="shared" si="2306"/>
        <v>0</v>
      </c>
      <c r="BW341" s="219">
        <f t="shared" si="2307"/>
        <v>0</v>
      </c>
      <c r="BX341" s="220">
        <f t="shared" si="2308"/>
        <v>0</v>
      </c>
      <c r="BY341" s="195"/>
      <c r="BZ341" s="66">
        <v>7</v>
      </c>
      <c r="CA341" s="66">
        <v>2011</v>
      </c>
      <c r="CB341" s="218">
        <f>pAsympt_NoCare_Asympt_Dead_2010_2012*AS340</f>
        <v>0</v>
      </c>
      <c r="CC341" s="218">
        <f t="shared" si="2277"/>
        <v>0</v>
      </c>
      <c r="CD341" s="73">
        <f t="shared" si="2278"/>
        <v>0</v>
      </c>
      <c r="CE341" s="73">
        <f>pInt_NoCare_Int_Dead_2010_2012*AW340</f>
        <v>0</v>
      </c>
      <c r="CF341" s="73">
        <f t="shared" si="2279"/>
        <v>0</v>
      </c>
      <c r="CG341" s="73">
        <f t="shared" si="2280"/>
        <v>0</v>
      </c>
      <c r="CH341" s="73">
        <f t="shared" si="2281"/>
        <v>0</v>
      </c>
      <c r="CI341" s="73">
        <f t="shared" si="2282"/>
        <v>0</v>
      </c>
      <c r="CJ341" s="73">
        <f t="shared" si="2283"/>
        <v>0</v>
      </c>
      <c r="CK341" s="73">
        <f t="shared" si="2284"/>
        <v>0</v>
      </c>
      <c r="CL341" s="73">
        <f t="shared" si="2285"/>
        <v>0</v>
      </c>
      <c r="CM341" s="73">
        <f>pAIDS_NoCare_AIDS_Dead_2010_2012*BC340</f>
        <v>0</v>
      </c>
      <c r="CN341" s="73">
        <f t="shared" si="2287"/>
        <v>0</v>
      </c>
      <c r="CO341" s="73">
        <f t="shared" si="2288"/>
        <v>0</v>
      </c>
      <c r="CP341" s="73">
        <f t="shared" si="2289"/>
        <v>0</v>
      </c>
      <c r="CQ341" s="73">
        <f t="shared" si="2290"/>
        <v>0</v>
      </c>
      <c r="CR341" s="73">
        <f t="shared" si="2291"/>
        <v>0</v>
      </c>
      <c r="CS341" s="73">
        <f t="shared" si="2292"/>
        <v>0</v>
      </c>
      <c r="CT341" s="73">
        <f t="shared" si="2293"/>
        <v>0</v>
      </c>
      <c r="CU341" s="73">
        <f t="shared" si="2294"/>
        <v>0</v>
      </c>
      <c r="CV341" s="73">
        <f t="shared" si="2295"/>
        <v>0</v>
      </c>
      <c r="CW341" s="73">
        <f t="shared" si="2296"/>
        <v>0</v>
      </c>
      <c r="CX341" s="73">
        <f t="shared" si="2297"/>
        <v>0</v>
      </c>
      <c r="CY341" s="73">
        <f t="shared" si="2298"/>
        <v>0</v>
      </c>
      <c r="CZ341" s="190"/>
      <c r="DA341" s="66">
        <v>2011</v>
      </c>
      <c r="DB341" s="218">
        <f t="shared" si="2267"/>
        <v>0</v>
      </c>
      <c r="DC341" s="218">
        <f t="shared" si="2268"/>
        <v>0</v>
      </c>
      <c r="DD341" s="73">
        <f t="shared" si="2269"/>
        <v>0</v>
      </c>
      <c r="DE341" s="73">
        <f t="shared" si="2270"/>
        <v>0</v>
      </c>
      <c r="DF341" s="73">
        <f t="shared" si="2271"/>
        <v>0</v>
      </c>
      <c r="DG341" s="73">
        <f t="shared" si="2272"/>
        <v>0</v>
      </c>
      <c r="DH341" s="72" t="e">
        <f t="shared" si="2299"/>
        <v>#DIV/0!</v>
      </c>
      <c r="DI341" s="72" t="e">
        <f t="shared" si="2300"/>
        <v>#DIV/0!</v>
      </c>
      <c r="DJ341" s="73">
        <f>SUM(AV334:AV341,BB334:BB341,BI334:BI341)</f>
        <v>0</v>
      </c>
      <c r="DK341" s="218">
        <f>SUM(AV340:AV341,BB340:BB341,BI340:BI341)</f>
        <v>0</v>
      </c>
      <c r="DL341" s="190"/>
    </row>
    <row r="342" spans="22:116" x14ac:dyDescent="0.25">
      <c r="V342" s="13"/>
      <c r="W342" s="66">
        <v>8</v>
      </c>
      <c r="X342" s="66">
        <v>2012</v>
      </c>
      <c r="Y342" s="69">
        <v>0</v>
      </c>
      <c r="Z342" s="69">
        <v>0</v>
      </c>
      <c r="AA342" s="69">
        <v>0</v>
      </c>
      <c r="AB342" s="69">
        <v>0</v>
      </c>
      <c r="AC342" s="69">
        <v>0</v>
      </c>
      <c r="AD342" s="69">
        <v>0</v>
      </c>
      <c r="AE342" s="69">
        <v>0</v>
      </c>
      <c r="AF342" s="69">
        <v>0</v>
      </c>
      <c r="AG342" s="69">
        <v>0</v>
      </c>
      <c r="AH342" s="69">
        <v>0</v>
      </c>
      <c r="AI342" s="69">
        <v>0</v>
      </c>
      <c r="AJ342" s="69">
        <v>0</v>
      </c>
      <c r="AK342" s="69">
        <v>0</v>
      </c>
      <c r="AL342" s="69">
        <v>0</v>
      </c>
      <c r="AM342" s="69">
        <v>0</v>
      </c>
      <c r="AN342" s="69">
        <v>0</v>
      </c>
      <c r="AO342" s="69">
        <v>0</v>
      </c>
      <c r="AP342" s="190"/>
      <c r="AQ342" s="66">
        <v>8</v>
      </c>
      <c r="AR342" s="66">
        <v>2012</v>
      </c>
      <c r="AS342" s="215">
        <f t="shared" si="2250"/>
        <v>0</v>
      </c>
      <c r="AT342" s="215">
        <f t="shared" si="2251"/>
        <v>0</v>
      </c>
      <c r="AU342" s="215">
        <f t="shared" si="2252"/>
        <v>0</v>
      </c>
      <c r="AV342" s="215">
        <f t="shared" si="2253"/>
        <v>0</v>
      </c>
      <c r="AW342" s="215">
        <f t="shared" si="2254"/>
        <v>0</v>
      </c>
      <c r="AX342" s="215">
        <f t="shared" si="2255"/>
        <v>0</v>
      </c>
      <c r="AY342" s="215">
        <f t="shared" si="2256"/>
        <v>0</v>
      </c>
      <c r="AZ342" s="215">
        <f t="shared" si="2257"/>
        <v>0</v>
      </c>
      <c r="BA342" s="215">
        <f t="shared" si="2258"/>
        <v>0</v>
      </c>
      <c r="BB342" s="215">
        <f t="shared" si="2259"/>
        <v>0</v>
      </c>
      <c r="BC342" s="215">
        <f t="shared" si="2260"/>
        <v>0</v>
      </c>
      <c r="BD342" s="215">
        <f t="shared" si="2261"/>
        <v>0</v>
      </c>
      <c r="BE342" s="215">
        <f t="shared" si="2262"/>
        <v>0</v>
      </c>
      <c r="BF342" s="215">
        <f t="shared" si="2263"/>
        <v>0</v>
      </c>
      <c r="BG342" s="215">
        <f t="shared" si="2264"/>
        <v>0</v>
      </c>
      <c r="BH342" s="215">
        <f t="shared" si="2265"/>
        <v>0</v>
      </c>
      <c r="BI342" s="215">
        <f t="shared" si="2266"/>
        <v>0</v>
      </c>
      <c r="BJ342" s="195"/>
      <c r="BK342" s="66">
        <v>8</v>
      </c>
      <c r="BL342" s="66">
        <v>2012</v>
      </c>
      <c r="BM342" s="215">
        <f t="shared" si="2273"/>
        <v>0</v>
      </c>
      <c r="BN342" s="219">
        <f t="shared" si="2274"/>
        <v>0</v>
      </c>
      <c r="BO342" s="219">
        <f t="shared" si="2275"/>
        <v>0</v>
      </c>
      <c r="BP342" s="219">
        <f t="shared" si="2301"/>
        <v>0</v>
      </c>
      <c r="BQ342" s="219">
        <f t="shared" si="2276"/>
        <v>0</v>
      </c>
      <c r="BR342" s="220">
        <f t="shared" si="2302"/>
        <v>0</v>
      </c>
      <c r="BS342" s="219">
        <f t="shared" si="2303"/>
        <v>0</v>
      </c>
      <c r="BT342" s="219">
        <f t="shared" si="2304"/>
        <v>0</v>
      </c>
      <c r="BU342" s="219">
        <f t="shared" si="2305"/>
        <v>0</v>
      </c>
      <c r="BV342" s="219">
        <f t="shared" si="2306"/>
        <v>0</v>
      </c>
      <c r="BW342" s="219">
        <f t="shared" si="2307"/>
        <v>0</v>
      </c>
      <c r="BX342" s="220">
        <f t="shared" si="2308"/>
        <v>0</v>
      </c>
      <c r="BY342" s="195"/>
      <c r="BZ342" s="66">
        <v>8</v>
      </c>
      <c r="CA342" s="66">
        <v>2012</v>
      </c>
      <c r="CB342" s="218">
        <f>pAsympt_NoCare_Asympt_Dead_2010_2012*AS341</f>
        <v>0</v>
      </c>
      <c r="CC342" s="218">
        <f t="shared" si="2277"/>
        <v>0</v>
      </c>
      <c r="CD342" s="73">
        <f t="shared" si="2278"/>
        <v>0</v>
      </c>
      <c r="CE342" s="73">
        <f>pInt_NoCare_Int_Dead_2010_2012*AW341</f>
        <v>0</v>
      </c>
      <c r="CF342" s="73">
        <f t="shared" si="2279"/>
        <v>0</v>
      </c>
      <c r="CG342" s="73">
        <f t="shared" si="2280"/>
        <v>0</v>
      </c>
      <c r="CH342" s="73">
        <f t="shared" si="2281"/>
        <v>0</v>
      </c>
      <c r="CI342" s="73">
        <f t="shared" si="2282"/>
        <v>0</v>
      </c>
      <c r="CJ342" s="73">
        <f t="shared" si="2283"/>
        <v>0</v>
      </c>
      <c r="CK342" s="73">
        <f t="shared" si="2284"/>
        <v>0</v>
      </c>
      <c r="CL342" s="73">
        <f t="shared" si="2285"/>
        <v>0</v>
      </c>
      <c r="CM342" s="73">
        <f>pAIDS_NoCare_AIDS_Dead_2010_2012*BC341</f>
        <v>0</v>
      </c>
      <c r="CN342" s="73">
        <f t="shared" si="2287"/>
        <v>0</v>
      </c>
      <c r="CO342" s="73">
        <f t="shared" si="2288"/>
        <v>0</v>
      </c>
      <c r="CP342" s="73">
        <f t="shared" si="2289"/>
        <v>0</v>
      </c>
      <c r="CQ342" s="73">
        <f t="shared" si="2290"/>
        <v>0</v>
      </c>
      <c r="CR342" s="73">
        <f t="shared" si="2291"/>
        <v>0</v>
      </c>
      <c r="CS342" s="73">
        <f t="shared" si="2292"/>
        <v>0</v>
      </c>
      <c r="CT342" s="73">
        <f t="shared" si="2293"/>
        <v>0</v>
      </c>
      <c r="CU342" s="73">
        <f t="shared" si="2294"/>
        <v>0</v>
      </c>
      <c r="CV342" s="73">
        <f t="shared" si="2295"/>
        <v>0</v>
      </c>
      <c r="CW342" s="73">
        <f t="shared" si="2296"/>
        <v>0</v>
      </c>
      <c r="CX342" s="73">
        <f t="shared" si="2297"/>
        <v>0</v>
      </c>
      <c r="CY342" s="73">
        <f t="shared" si="2298"/>
        <v>0</v>
      </c>
      <c r="CZ342" s="190"/>
      <c r="DA342" s="66">
        <v>2012</v>
      </c>
      <c r="DB342" s="218">
        <f t="shared" si="2267"/>
        <v>0</v>
      </c>
      <c r="DC342" s="218">
        <f t="shared" si="2268"/>
        <v>0</v>
      </c>
      <c r="DD342" s="73">
        <f t="shared" si="2269"/>
        <v>0</v>
      </c>
      <c r="DE342" s="73">
        <f t="shared" si="2270"/>
        <v>0</v>
      </c>
      <c r="DF342" s="73">
        <f t="shared" si="2271"/>
        <v>0</v>
      </c>
      <c r="DG342" s="73">
        <f t="shared" si="2272"/>
        <v>0</v>
      </c>
      <c r="DH342" s="72" t="e">
        <f t="shared" si="2299"/>
        <v>#DIV/0!</v>
      </c>
      <c r="DI342" s="72" t="e">
        <f t="shared" si="2300"/>
        <v>#DIV/0!</v>
      </c>
      <c r="DJ342" s="73">
        <f>SUM(AV334:AV342,BB334:BB342,BI334:BI342)</f>
        <v>0</v>
      </c>
      <c r="DK342" s="73">
        <f>SUM(AV340:AV342,BB340:BB342,BI340:BI342)</f>
        <v>0</v>
      </c>
      <c r="DL342" s="190"/>
    </row>
    <row r="343" spans="22:116" x14ac:dyDescent="0.25">
      <c r="V343" s="13"/>
      <c r="W343" s="66">
        <v>9</v>
      </c>
      <c r="X343" s="66">
        <v>2013</v>
      </c>
      <c r="Y343" s="69">
        <v>0</v>
      </c>
      <c r="Z343" s="69">
        <v>0</v>
      </c>
      <c r="AA343" s="69">
        <v>0</v>
      </c>
      <c r="AB343" s="69">
        <v>0</v>
      </c>
      <c r="AC343" s="69">
        <v>0</v>
      </c>
      <c r="AD343" s="69">
        <v>0</v>
      </c>
      <c r="AE343" s="69">
        <v>0</v>
      </c>
      <c r="AF343" s="69">
        <v>0</v>
      </c>
      <c r="AG343" s="69">
        <v>0</v>
      </c>
      <c r="AH343" s="69">
        <v>0</v>
      </c>
      <c r="AI343" s="69">
        <v>0</v>
      </c>
      <c r="AJ343" s="69">
        <v>0</v>
      </c>
      <c r="AK343" s="69">
        <v>0</v>
      </c>
      <c r="AL343" s="69">
        <v>0</v>
      </c>
      <c r="AM343" s="69">
        <v>0</v>
      </c>
      <c r="AN343" s="69">
        <v>0</v>
      </c>
      <c r="AO343" s="69">
        <v>0</v>
      </c>
      <c r="AP343" s="190"/>
      <c r="AQ343" s="66">
        <v>9</v>
      </c>
      <c r="AR343" s="66">
        <v>2013</v>
      </c>
      <c r="AS343" s="215">
        <f t="shared" si="2250"/>
        <v>0</v>
      </c>
      <c r="AT343" s="215">
        <f t="shared" si="2251"/>
        <v>0</v>
      </c>
      <c r="AU343" s="215">
        <f t="shared" si="2252"/>
        <v>0</v>
      </c>
      <c r="AV343" s="215">
        <f t="shared" si="2253"/>
        <v>0</v>
      </c>
      <c r="AW343" s="215">
        <f t="shared" si="2254"/>
        <v>0</v>
      </c>
      <c r="AX343" s="215">
        <f t="shared" si="2255"/>
        <v>0</v>
      </c>
      <c r="AY343" s="215">
        <f t="shared" si="2256"/>
        <v>0</v>
      </c>
      <c r="AZ343" s="215">
        <f t="shared" si="2257"/>
        <v>0</v>
      </c>
      <c r="BA343" s="215">
        <f t="shared" si="2258"/>
        <v>0</v>
      </c>
      <c r="BB343" s="215">
        <f t="shared" si="2259"/>
        <v>0</v>
      </c>
      <c r="BC343" s="215">
        <f t="shared" si="2260"/>
        <v>0</v>
      </c>
      <c r="BD343" s="215">
        <f t="shared" si="2261"/>
        <v>0</v>
      </c>
      <c r="BE343" s="215">
        <f t="shared" si="2262"/>
        <v>0</v>
      </c>
      <c r="BF343" s="215">
        <f t="shared" si="2263"/>
        <v>0</v>
      </c>
      <c r="BG343" s="215">
        <f t="shared" si="2264"/>
        <v>0</v>
      </c>
      <c r="BH343" s="215">
        <f t="shared" si="2265"/>
        <v>0</v>
      </c>
      <c r="BI343" s="215">
        <f t="shared" si="2266"/>
        <v>0</v>
      </c>
      <c r="BJ343" s="195"/>
      <c r="BK343" s="66">
        <v>9</v>
      </c>
      <c r="BL343" s="66">
        <v>2013</v>
      </c>
      <c r="BM343" s="215">
        <f t="shared" ref="BM343:BM353" si="2309">(AX342*pInt_InCare_Int_LTFU_2013plus_u)+(BM342*pInt_LTFU_2013plus_u)</f>
        <v>0</v>
      </c>
      <c r="BN343" s="219">
        <f t="shared" ref="BN343:BN353" si="2310">(AU342*pAsympt_LTFU_Int_LTFU_2013plus_u)+(BN342*pInt_LTFU_2013plus_u)</f>
        <v>0</v>
      </c>
      <c r="BO343" s="219">
        <f t="shared" ref="BO343:BO353" si="2311">(AY342*pInt_ART1_Int_LTFU_2013plus_u)+(BO342*pInt_LTFU_2013plus_u)</f>
        <v>0</v>
      </c>
      <c r="BP343" s="219">
        <f t="shared" ref="BP343:BP353" si="2312">(AZ342*pInt_ART2_Int_LTFU_2013plus_u)+(BP342*pInt_LTFU_2013plus_u)</f>
        <v>0</v>
      </c>
      <c r="BQ343" s="219">
        <f t="shared" ref="BQ343:BQ353" si="2313">(BD342*pAIDS_InCare_AIDS_LTFU_2013plus_u)+(BQ342*pAIDS_LTFU_2013plus_u)</f>
        <v>0</v>
      </c>
      <c r="BR343" s="220">
        <f t="shared" ref="BR343:BR353" si="2314">(BN342*pInt_LTFU_AIDS_LTFU_2013plus_u)+(BR342*pAIDS_LTFU_2013plus_u)</f>
        <v>0</v>
      </c>
      <c r="BS343" s="219">
        <f t="shared" ref="BS343:BS353" si="2315">(BM342*pInt_LTFU_AIDS_LTFU_2013plus_u)+(BS342*pAIDS_LTFU_2013plus_u)</f>
        <v>0</v>
      </c>
      <c r="BT343" s="219">
        <f t="shared" ref="BT343:BT353" si="2316">(BE342*pAIDS_ART1ear_AIDS_LTFU_2013plus_u)+(BT342*pAIDS_LTFU_2013plus_u)</f>
        <v>0</v>
      </c>
      <c r="BU343" s="219">
        <f t="shared" ref="BU343:BU353" si="2317">(BF342*pAIDS_ART1late_AIDS_LTFU_2013plus_u)+(BU342*pAIDS_LTFU_2013plus_u)</f>
        <v>0</v>
      </c>
      <c r="BV343" s="219">
        <f t="shared" ref="BV343:BV353" si="2318">(BO342*pInt_LTFU_AIDS_LTFU_2013plus_u)+(BV342*pAIDS_LTFU_2013plus_u)</f>
        <v>0</v>
      </c>
      <c r="BW343" s="219">
        <f t="shared" ref="BW343:BW353" si="2319">(BG342*pAIDS_ART2_AIDS_LTFU_2013plus_u)+(BW342*pAIDS_LTFU_2013plus_u)</f>
        <v>0</v>
      </c>
      <c r="BX343" s="220">
        <f t="shared" ref="BX343:BX353" si="2320">(BP342*pInt_LTFU_AIDS_LTFU_2013plus_u)+(BX342*pAIDS_LTFU_2013plus_u)</f>
        <v>0</v>
      </c>
      <c r="BY343" s="195"/>
      <c r="BZ343" s="66">
        <v>9</v>
      </c>
      <c r="CA343" s="66">
        <v>2013</v>
      </c>
      <c r="CB343" s="218">
        <f t="shared" ref="CB343:CB353" si="2321">pAsympt_NoCare_Asympt_Dead_2013plus_u*AS342</f>
        <v>0</v>
      </c>
      <c r="CC343" s="218">
        <f t="shared" ref="CC343:CC353" si="2322">pAsympt_InCare_Asympt_Dead_2013plus_u*AT342</f>
        <v>0</v>
      </c>
      <c r="CD343" s="73">
        <f t="shared" ref="CD343:CD353" si="2323">pAsympt_LTFU_Asympt_Dead_2013plus_u*AU342</f>
        <v>0</v>
      </c>
      <c r="CE343" s="73">
        <f t="shared" ref="CE343:CE353" si="2324">pInt_NoCare_Int_Dead_2013plus_u*AW342</f>
        <v>0</v>
      </c>
      <c r="CF343" s="73">
        <f t="shared" ref="CF343:CF353" si="2325">pInt_InCare_Int_Dead_2013plus_u*AX342</f>
        <v>0</v>
      </c>
      <c r="CG343" s="73">
        <f t="shared" ref="CG343:CG353" si="2326">pInt_ART1_Int_Dead_2013plus_u*AY342</f>
        <v>0</v>
      </c>
      <c r="CH343" s="73">
        <f t="shared" ref="CH343:CH353" si="2327">pInt_ART2_Int_Dead_2013plus_u*AZ342</f>
        <v>0</v>
      </c>
      <c r="CI343" s="73">
        <f t="shared" ref="CI343:CI353" si="2328">(BM342*pInt_LTFU_Int_Dead_2013plus_u)</f>
        <v>0</v>
      </c>
      <c r="CJ343" s="73">
        <f t="shared" ref="CJ343:CJ353" si="2329">(BN342*pInt_LTFU_Int_Dead_2013plus_u)</f>
        <v>0</v>
      </c>
      <c r="CK343" s="73">
        <f t="shared" ref="CK343:CK353" si="2330">(BO342*pInt_LTFU_Int_Dead_2013plus_u)</f>
        <v>0</v>
      </c>
      <c r="CL343" s="73">
        <f t="shared" ref="CL343:CL353" si="2331">(BP342*pInt_LTFU_Int_Dead_2013plus_u)</f>
        <v>0</v>
      </c>
      <c r="CM343" s="73">
        <f t="shared" ref="CM343:CM353" si="2332">pAIDS_NoCare_AIDS_Dead_2013plus_u*BC342</f>
        <v>0</v>
      </c>
      <c r="CN343" s="73">
        <f t="shared" ref="CN343:CN353" si="2333">pAIDS_InCare_AIDS_Dead_2013plus_u*BD342</f>
        <v>0</v>
      </c>
      <c r="CO343" s="73">
        <f t="shared" ref="CO343:CO353" si="2334">pAIDS_ART1ear_AIDS_Dead_2013plus_u*BE342</f>
        <v>0</v>
      </c>
      <c r="CP343" s="73">
        <f t="shared" ref="CP343:CP353" si="2335">pAIDS_ART1late_AIDS_Dead_2013plus_u*BF342</f>
        <v>0</v>
      </c>
      <c r="CQ343" s="73">
        <f t="shared" ref="CQ343:CQ353" si="2336">pAIDS_ART2_AIDS_Dead_2013plus_u*BG342</f>
        <v>0</v>
      </c>
      <c r="CR343" s="73">
        <f t="shared" ref="CR343:CR353" si="2337">(BQ342*pAIDS_LTFU_AIDS_Dead_2013plus_u)</f>
        <v>0</v>
      </c>
      <c r="CS343" s="73">
        <f t="shared" ref="CS343:CS353" si="2338">(BR342*pAIDS_LTFU_AIDS_Dead_2013plus_u)</f>
        <v>0</v>
      </c>
      <c r="CT343" s="73">
        <f t="shared" ref="CT343:CT353" si="2339">(BS342*pAIDS_LTFU_AIDS_Dead_2013plus_u)</f>
        <v>0</v>
      </c>
      <c r="CU343" s="73">
        <f t="shared" ref="CU343:CU353" si="2340">(BT342*pAIDS_LTFU_AIDS_Dead_2013plus_u)</f>
        <v>0</v>
      </c>
      <c r="CV343" s="73">
        <f t="shared" ref="CV343:CV353" si="2341">(BU342*pAIDS_LTFU_AIDS_Dead_2013plus_u)</f>
        <v>0</v>
      </c>
      <c r="CW343" s="73">
        <f t="shared" ref="CW343:CW353" si="2342">(BV342*pAIDS_LTFU_AIDS_Dead_2013plus_u)</f>
        <v>0</v>
      </c>
      <c r="CX343" s="73">
        <f t="shared" ref="CX343:CX353" si="2343">(BW342*pAIDS_LTFU_AIDS_Dead_2013plus_u)</f>
        <v>0</v>
      </c>
      <c r="CY343" s="73">
        <f t="shared" ref="CY343:CY353" si="2344">(BX342*pAIDS_LTFU_AIDS_Dead_2013plus_u)</f>
        <v>0</v>
      </c>
      <c r="CZ343" s="190"/>
      <c r="DA343" s="66">
        <v>2013</v>
      </c>
      <c r="DB343" s="218">
        <f t="shared" si="2267"/>
        <v>0</v>
      </c>
      <c r="DC343" s="218">
        <f t="shared" si="2268"/>
        <v>0</v>
      </c>
      <c r="DD343" s="73">
        <f t="shared" si="2269"/>
        <v>0</v>
      </c>
      <c r="DE343" s="73">
        <f t="shared" si="2270"/>
        <v>0</v>
      </c>
      <c r="DF343" s="73">
        <f t="shared" si="2271"/>
        <v>0</v>
      </c>
      <c r="DG343" s="73">
        <f t="shared" si="2272"/>
        <v>0</v>
      </c>
      <c r="DH343" s="72" t="e">
        <f t="shared" si="2299"/>
        <v>#DIV/0!</v>
      </c>
      <c r="DI343" s="72" t="e">
        <f t="shared" si="2300"/>
        <v>#DIV/0!</v>
      </c>
      <c r="DJ343" s="73">
        <f>SUM(AV334:AV343,BB334:BB343,BI334:BI343)</f>
        <v>0</v>
      </c>
      <c r="DK343" s="73">
        <f>SUM(AV340:AV343,BB340:BB343,BI340:BI343)</f>
        <v>0</v>
      </c>
      <c r="DL343" s="190"/>
    </row>
    <row r="344" spans="22:116" x14ac:dyDescent="0.25">
      <c r="V344" s="13"/>
      <c r="W344" s="66">
        <v>10</v>
      </c>
      <c r="X344" s="66">
        <v>2014</v>
      </c>
      <c r="Y344" s="69">
        <v>0</v>
      </c>
      <c r="Z344" s="69">
        <v>0</v>
      </c>
      <c r="AA344" s="69">
        <v>0</v>
      </c>
      <c r="AB344" s="69">
        <v>0</v>
      </c>
      <c r="AC344" s="69">
        <v>0</v>
      </c>
      <c r="AD344" s="69">
        <v>0</v>
      </c>
      <c r="AE344" s="69">
        <v>0</v>
      </c>
      <c r="AF344" s="69">
        <v>0</v>
      </c>
      <c r="AG344" s="69">
        <v>0</v>
      </c>
      <c r="AH344" s="69">
        <v>0</v>
      </c>
      <c r="AI344" s="69">
        <v>0</v>
      </c>
      <c r="AJ344" s="69">
        <v>0</v>
      </c>
      <c r="AK344" s="69">
        <v>0</v>
      </c>
      <c r="AL344" s="69">
        <v>0</v>
      </c>
      <c r="AM344" s="69">
        <v>0</v>
      </c>
      <c r="AN344" s="69">
        <v>0</v>
      </c>
      <c r="AO344" s="69">
        <v>0</v>
      </c>
      <c r="AP344" s="190"/>
      <c r="AQ344" s="66">
        <v>10</v>
      </c>
      <c r="AR344" s="66">
        <v>2014</v>
      </c>
      <c r="AS344" s="215">
        <f t="shared" si="2250"/>
        <v>0</v>
      </c>
      <c r="AT344" s="215">
        <f t="shared" si="2251"/>
        <v>0</v>
      </c>
      <c r="AU344" s="215">
        <f t="shared" si="2252"/>
        <v>0</v>
      </c>
      <c r="AV344" s="215">
        <f t="shared" si="2253"/>
        <v>0</v>
      </c>
      <c r="AW344" s="215">
        <f t="shared" si="2254"/>
        <v>0</v>
      </c>
      <c r="AX344" s="215">
        <f t="shared" si="2255"/>
        <v>0</v>
      </c>
      <c r="AY344" s="215">
        <f t="shared" si="2256"/>
        <v>0</v>
      </c>
      <c r="AZ344" s="215">
        <f t="shared" si="2257"/>
        <v>0</v>
      </c>
      <c r="BA344" s="215">
        <f t="shared" si="2258"/>
        <v>0</v>
      </c>
      <c r="BB344" s="215">
        <f t="shared" si="2259"/>
        <v>0</v>
      </c>
      <c r="BC344" s="215">
        <f t="shared" si="2260"/>
        <v>0</v>
      </c>
      <c r="BD344" s="215">
        <f t="shared" si="2261"/>
        <v>0</v>
      </c>
      <c r="BE344" s="215">
        <f t="shared" si="2262"/>
        <v>0</v>
      </c>
      <c r="BF344" s="215">
        <f t="shared" si="2263"/>
        <v>0</v>
      </c>
      <c r="BG344" s="215">
        <f t="shared" si="2264"/>
        <v>0</v>
      </c>
      <c r="BH344" s="215">
        <f t="shared" si="2265"/>
        <v>0</v>
      </c>
      <c r="BI344" s="215">
        <f t="shared" si="2266"/>
        <v>0</v>
      </c>
      <c r="BJ344" s="195"/>
      <c r="BK344" s="66">
        <v>10</v>
      </c>
      <c r="BL344" s="66">
        <v>2014</v>
      </c>
      <c r="BM344" s="215">
        <f t="shared" si="2309"/>
        <v>0</v>
      </c>
      <c r="BN344" s="219">
        <f t="shared" si="2310"/>
        <v>0</v>
      </c>
      <c r="BO344" s="219">
        <f t="shared" si="2311"/>
        <v>0</v>
      </c>
      <c r="BP344" s="219">
        <f t="shared" si="2312"/>
        <v>0</v>
      </c>
      <c r="BQ344" s="219">
        <f t="shared" si="2313"/>
        <v>0</v>
      </c>
      <c r="BR344" s="220">
        <f t="shared" si="2314"/>
        <v>0</v>
      </c>
      <c r="BS344" s="219">
        <f t="shared" si="2315"/>
        <v>0</v>
      </c>
      <c r="BT344" s="219">
        <f t="shared" si="2316"/>
        <v>0</v>
      </c>
      <c r="BU344" s="219">
        <f t="shared" si="2317"/>
        <v>0</v>
      </c>
      <c r="BV344" s="219">
        <f t="shared" si="2318"/>
        <v>0</v>
      </c>
      <c r="BW344" s="219">
        <f t="shared" si="2319"/>
        <v>0</v>
      </c>
      <c r="BX344" s="220">
        <f t="shared" si="2320"/>
        <v>0</v>
      </c>
      <c r="BY344" s="195"/>
      <c r="BZ344" s="66">
        <v>10</v>
      </c>
      <c r="CA344" s="66">
        <v>2014</v>
      </c>
      <c r="CB344" s="218">
        <f t="shared" si="2321"/>
        <v>0</v>
      </c>
      <c r="CC344" s="218">
        <f t="shared" si="2322"/>
        <v>0</v>
      </c>
      <c r="CD344" s="73">
        <f t="shared" si="2323"/>
        <v>0</v>
      </c>
      <c r="CE344" s="73">
        <f t="shared" si="2324"/>
        <v>0</v>
      </c>
      <c r="CF344" s="73">
        <f t="shared" si="2325"/>
        <v>0</v>
      </c>
      <c r="CG344" s="73">
        <f t="shared" si="2326"/>
        <v>0</v>
      </c>
      <c r="CH344" s="73">
        <f t="shared" si="2327"/>
        <v>0</v>
      </c>
      <c r="CI344" s="73">
        <f t="shared" si="2328"/>
        <v>0</v>
      </c>
      <c r="CJ344" s="73">
        <f t="shared" si="2329"/>
        <v>0</v>
      </c>
      <c r="CK344" s="73">
        <f t="shared" si="2330"/>
        <v>0</v>
      </c>
      <c r="CL344" s="73">
        <f t="shared" si="2331"/>
        <v>0</v>
      </c>
      <c r="CM344" s="73">
        <f t="shared" si="2332"/>
        <v>0</v>
      </c>
      <c r="CN344" s="73">
        <f t="shared" si="2333"/>
        <v>0</v>
      </c>
      <c r="CO344" s="73">
        <f t="shared" si="2334"/>
        <v>0</v>
      </c>
      <c r="CP344" s="73">
        <f t="shared" si="2335"/>
        <v>0</v>
      </c>
      <c r="CQ344" s="73">
        <f t="shared" si="2336"/>
        <v>0</v>
      </c>
      <c r="CR344" s="73">
        <f t="shared" si="2337"/>
        <v>0</v>
      </c>
      <c r="CS344" s="73">
        <f t="shared" si="2338"/>
        <v>0</v>
      </c>
      <c r="CT344" s="73">
        <f t="shared" si="2339"/>
        <v>0</v>
      </c>
      <c r="CU344" s="73">
        <f t="shared" si="2340"/>
        <v>0</v>
      </c>
      <c r="CV344" s="73">
        <f t="shared" si="2341"/>
        <v>0</v>
      </c>
      <c r="CW344" s="73">
        <f t="shared" si="2342"/>
        <v>0</v>
      </c>
      <c r="CX344" s="73">
        <f t="shared" si="2343"/>
        <v>0</v>
      </c>
      <c r="CY344" s="73">
        <f t="shared" si="2344"/>
        <v>0</v>
      </c>
      <c r="CZ344" s="190"/>
      <c r="DA344" s="66">
        <v>2014</v>
      </c>
      <c r="DB344" s="218">
        <f t="shared" si="2267"/>
        <v>0</v>
      </c>
      <c r="DC344" s="218">
        <f t="shared" si="2268"/>
        <v>0</v>
      </c>
      <c r="DD344" s="73">
        <f t="shared" si="2269"/>
        <v>0</v>
      </c>
      <c r="DE344" s="73">
        <f t="shared" si="2270"/>
        <v>0</v>
      </c>
      <c r="DF344" s="73">
        <f t="shared" si="2271"/>
        <v>0</v>
      </c>
      <c r="DG344" s="73">
        <f t="shared" si="2272"/>
        <v>0</v>
      </c>
      <c r="DH344" s="72" t="e">
        <f t="shared" si="2299"/>
        <v>#DIV/0!</v>
      </c>
      <c r="DI344" s="72" t="e">
        <f t="shared" si="2300"/>
        <v>#DIV/0!</v>
      </c>
      <c r="DJ344" s="73">
        <f>SUM(AV334:AV344,BB334:BB344,BI334:BI344)</f>
        <v>0</v>
      </c>
      <c r="DK344" s="73">
        <f>SUM(AV340:AV344,BB340:BB344,BI340:BI344)</f>
        <v>0</v>
      </c>
      <c r="DL344" s="190"/>
    </row>
    <row r="345" spans="22:116" x14ac:dyDescent="0.25">
      <c r="V345" s="13"/>
      <c r="W345" s="66">
        <v>11</v>
      </c>
      <c r="X345" s="66">
        <v>2015</v>
      </c>
      <c r="Y345" s="69">
        <v>0</v>
      </c>
      <c r="Z345" s="69">
        <v>0</v>
      </c>
      <c r="AA345" s="69">
        <v>0</v>
      </c>
      <c r="AB345" s="69">
        <v>0</v>
      </c>
      <c r="AC345" s="69">
        <v>0</v>
      </c>
      <c r="AD345" s="69">
        <v>0</v>
      </c>
      <c r="AE345" s="69">
        <v>0</v>
      </c>
      <c r="AF345" s="69">
        <v>0</v>
      </c>
      <c r="AG345" s="69">
        <v>0</v>
      </c>
      <c r="AH345" s="69">
        <v>0</v>
      </c>
      <c r="AI345" s="69">
        <v>0</v>
      </c>
      <c r="AJ345" s="69">
        <v>0</v>
      </c>
      <c r="AK345" s="69">
        <v>0</v>
      </c>
      <c r="AL345" s="69">
        <v>0</v>
      </c>
      <c r="AM345" s="69">
        <v>0</v>
      </c>
      <c r="AN345" s="69">
        <v>0</v>
      </c>
      <c r="AO345" s="69">
        <v>0</v>
      </c>
      <c r="AP345" s="190"/>
      <c r="AQ345" s="66">
        <v>11</v>
      </c>
      <c r="AR345" s="66">
        <v>2015</v>
      </c>
      <c r="AS345" s="215">
        <f t="shared" si="2250"/>
        <v>0</v>
      </c>
      <c r="AT345" s="215">
        <f t="shared" si="2251"/>
        <v>0</v>
      </c>
      <c r="AU345" s="215">
        <f t="shared" si="2252"/>
        <v>0</v>
      </c>
      <c r="AV345" s="215">
        <f t="shared" si="2253"/>
        <v>0</v>
      </c>
      <c r="AW345" s="215">
        <f t="shared" si="2254"/>
        <v>0</v>
      </c>
      <c r="AX345" s="215">
        <f t="shared" si="2255"/>
        <v>0</v>
      </c>
      <c r="AY345" s="215">
        <f t="shared" si="2256"/>
        <v>0</v>
      </c>
      <c r="AZ345" s="215">
        <f t="shared" si="2257"/>
        <v>0</v>
      </c>
      <c r="BA345" s="215">
        <f t="shared" si="2258"/>
        <v>0</v>
      </c>
      <c r="BB345" s="215">
        <f t="shared" si="2259"/>
        <v>0</v>
      </c>
      <c r="BC345" s="215">
        <f t="shared" si="2260"/>
        <v>0</v>
      </c>
      <c r="BD345" s="215">
        <f t="shared" si="2261"/>
        <v>0</v>
      </c>
      <c r="BE345" s="215">
        <f t="shared" si="2262"/>
        <v>0</v>
      </c>
      <c r="BF345" s="215">
        <f t="shared" si="2263"/>
        <v>0</v>
      </c>
      <c r="BG345" s="215">
        <f t="shared" si="2264"/>
        <v>0</v>
      </c>
      <c r="BH345" s="215">
        <f t="shared" si="2265"/>
        <v>0</v>
      </c>
      <c r="BI345" s="215">
        <f t="shared" si="2266"/>
        <v>0</v>
      </c>
      <c r="BJ345" s="195"/>
      <c r="BK345" s="66">
        <v>11</v>
      </c>
      <c r="BL345" s="66">
        <v>2015</v>
      </c>
      <c r="BM345" s="215">
        <f t="shared" si="2309"/>
        <v>0</v>
      </c>
      <c r="BN345" s="219">
        <f t="shared" si="2310"/>
        <v>0</v>
      </c>
      <c r="BO345" s="219">
        <f t="shared" si="2311"/>
        <v>0</v>
      </c>
      <c r="BP345" s="219">
        <f t="shared" si="2312"/>
        <v>0</v>
      </c>
      <c r="BQ345" s="219">
        <f t="shared" si="2313"/>
        <v>0</v>
      </c>
      <c r="BR345" s="220">
        <f t="shared" si="2314"/>
        <v>0</v>
      </c>
      <c r="BS345" s="219">
        <f t="shared" si="2315"/>
        <v>0</v>
      </c>
      <c r="BT345" s="219">
        <f t="shared" si="2316"/>
        <v>0</v>
      </c>
      <c r="BU345" s="219">
        <f t="shared" si="2317"/>
        <v>0</v>
      </c>
      <c r="BV345" s="219">
        <f t="shared" si="2318"/>
        <v>0</v>
      </c>
      <c r="BW345" s="219">
        <f t="shared" si="2319"/>
        <v>0</v>
      </c>
      <c r="BX345" s="220">
        <f t="shared" si="2320"/>
        <v>0</v>
      </c>
      <c r="BY345" s="195"/>
      <c r="BZ345" s="66">
        <v>11</v>
      </c>
      <c r="CA345" s="66">
        <v>2015</v>
      </c>
      <c r="CB345" s="218">
        <f t="shared" si="2321"/>
        <v>0</v>
      </c>
      <c r="CC345" s="218">
        <f t="shared" si="2322"/>
        <v>0</v>
      </c>
      <c r="CD345" s="73">
        <f t="shared" si="2323"/>
        <v>0</v>
      </c>
      <c r="CE345" s="73">
        <f t="shared" si="2324"/>
        <v>0</v>
      </c>
      <c r="CF345" s="73">
        <f t="shared" si="2325"/>
        <v>0</v>
      </c>
      <c r="CG345" s="73">
        <f t="shared" si="2326"/>
        <v>0</v>
      </c>
      <c r="CH345" s="73">
        <f t="shared" si="2327"/>
        <v>0</v>
      </c>
      <c r="CI345" s="73">
        <f t="shared" si="2328"/>
        <v>0</v>
      </c>
      <c r="CJ345" s="73">
        <f t="shared" si="2329"/>
        <v>0</v>
      </c>
      <c r="CK345" s="73">
        <f t="shared" si="2330"/>
        <v>0</v>
      </c>
      <c r="CL345" s="73">
        <f t="shared" si="2331"/>
        <v>0</v>
      </c>
      <c r="CM345" s="73">
        <f t="shared" si="2332"/>
        <v>0</v>
      </c>
      <c r="CN345" s="73">
        <f t="shared" si="2333"/>
        <v>0</v>
      </c>
      <c r="CO345" s="73">
        <f t="shared" si="2334"/>
        <v>0</v>
      </c>
      <c r="CP345" s="73">
        <f t="shared" si="2335"/>
        <v>0</v>
      </c>
      <c r="CQ345" s="73">
        <f t="shared" si="2336"/>
        <v>0</v>
      </c>
      <c r="CR345" s="73">
        <f t="shared" si="2337"/>
        <v>0</v>
      </c>
      <c r="CS345" s="73">
        <f t="shared" si="2338"/>
        <v>0</v>
      </c>
      <c r="CT345" s="73">
        <f t="shared" si="2339"/>
        <v>0</v>
      </c>
      <c r="CU345" s="73">
        <f t="shared" si="2340"/>
        <v>0</v>
      </c>
      <c r="CV345" s="73">
        <f t="shared" si="2341"/>
        <v>0</v>
      </c>
      <c r="CW345" s="73">
        <f t="shared" si="2342"/>
        <v>0</v>
      </c>
      <c r="CX345" s="73">
        <f t="shared" si="2343"/>
        <v>0</v>
      </c>
      <c r="CY345" s="73">
        <f t="shared" si="2344"/>
        <v>0</v>
      </c>
      <c r="CZ345" s="190"/>
      <c r="DA345" s="66">
        <v>2015</v>
      </c>
      <c r="DB345" s="218">
        <f t="shared" si="2267"/>
        <v>0</v>
      </c>
      <c r="DC345" s="218">
        <f t="shared" si="2268"/>
        <v>0</v>
      </c>
      <c r="DD345" s="73">
        <f t="shared" si="2269"/>
        <v>0</v>
      </c>
      <c r="DE345" s="73">
        <f t="shared" si="2270"/>
        <v>0</v>
      </c>
      <c r="DF345" s="73">
        <f t="shared" si="2271"/>
        <v>0</v>
      </c>
      <c r="DG345" s="73">
        <f t="shared" si="2272"/>
        <v>0</v>
      </c>
      <c r="DH345" s="72" t="e">
        <f t="shared" si="2299"/>
        <v>#DIV/0!</v>
      </c>
      <c r="DI345" s="72" t="e">
        <f t="shared" si="2300"/>
        <v>#DIV/0!</v>
      </c>
      <c r="DJ345" s="73">
        <f>SUM(AV334:AV345,BB334:BB345,BI334:BI345)</f>
        <v>0</v>
      </c>
      <c r="DK345" s="73">
        <f>SUM(AV340:AV345,BB340:BB345,BI340:BI345)</f>
        <v>0</v>
      </c>
      <c r="DL345" s="190"/>
    </row>
    <row r="346" spans="22:116" x14ac:dyDescent="0.25">
      <c r="V346" s="13"/>
      <c r="W346" s="66">
        <v>12</v>
      </c>
      <c r="X346" s="66">
        <v>2016</v>
      </c>
      <c r="Y346" s="69">
        <v>0</v>
      </c>
      <c r="Z346" s="69">
        <v>0</v>
      </c>
      <c r="AA346" s="69">
        <v>0</v>
      </c>
      <c r="AB346" s="69">
        <v>0</v>
      </c>
      <c r="AC346" s="69">
        <v>0</v>
      </c>
      <c r="AD346" s="69">
        <v>0</v>
      </c>
      <c r="AE346" s="69">
        <v>0</v>
      </c>
      <c r="AF346" s="69">
        <v>0</v>
      </c>
      <c r="AG346" s="69">
        <v>0</v>
      </c>
      <c r="AH346" s="69">
        <v>0</v>
      </c>
      <c r="AI346" s="69">
        <v>0</v>
      </c>
      <c r="AJ346" s="69">
        <v>0</v>
      </c>
      <c r="AK346" s="69">
        <v>0</v>
      </c>
      <c r="AL346" s="69">
        <v>0</v>
      </c>
      <c r="AM346" s="69">
        <v>0</v>
      </c>
      <c r="AN346" s="69">
        <v>0</v>
      </c>
      <c r="AO346" s="69">
        <v>0</v>
      </c>
      <c r="AP346" s="190"/>
      <c r="AQ346" s="66">
        <v>12</v>
      </c>
      <c r="AR346" s="66">
        <v>2016</v>
      </c>
      <c r="AS346" s="215">
        <f t="shared" si="2250"/>
        <v>0</v>
      </c>
      <c r="AT346" s="215">
        <f t="shared" si="2251"/>
        <v>0</v>
      </c>
      <c r="AU346" s="215">
        <f t="shared" si="2252"/>
        <v>0</v>
      </c>
      <c r="AV346" s="215">
        <f t="shared" si="2253"/>
        <v>0</v>
      </c>
      <c r="AW346" s="215">
        <f t="shared" si="2254"/>
        <v>0</v>
      </c>
      <c r="AX346" s="215">
        <f t="shared" si="2255"/>
        <v>0</v>
      </c>
      <c r="AY346" s="215">
        <f t="shared" si="2256"/>
        <v>0</v>
      </c>
      <c r="AZ346" s="215">
        <f t="shared" si="2257"/>
        <v>0</v>
      </c>
      <c r="BA346" s="215">
        <f t="shared" si="2258"/>
        <v>0</v>
      </c>
      <c r="BB346" s="215">
        <f t="shared" si="2259"/>
        <v>0</v>
      </c>
      <c r="BC346" s="215">
        <f t="shared" si="2260"/>
        <v>0</v>
      </c>
      <c r="BD346" s="215">
        <f t="shared" si="2261"/>
        <v>0</v>
      </c>
      <c r="BE346" s="215">
        <f t="shared" si="2262"/>
        <v>0</v>
      </c>
      <c r="BF346" s="215">
        <f t="shared" si="2263"/>
        <v>0</v>
      </c>
      <c r="BG346" s="215">
        <f t="shared" si="2264"/>
        <v>0</v>
      </c>
      <c r="BH346" s="215">
        <f t="shared" si="2265"/>
        <v>0</v>
      </c>
      <c r="BI346" s="215">
        <f t="shared" si="2266"/>
        <v>0</v>
      </c>
      <c r="BJ346" s="195"/>
      <c r="BK346" s="66">
        <v>12</v>
      </c>
      <c r="BL346" s="66">
        <v>2016</v>
      </c>
      <c r="BM346" s="215">
        <f t="shared" si="2309"/>
        <v>0</v>
      </c>
      <c r="BN346" s="219">
        <f t="shared" si="2310"/>
        <v>0</v>
      </c>
      <c r="BO346" s="219">
        <f t="shared" si="2311"/>
        <v>0</v>
      </c>
      <c r="BP346" s="219">
        <f t="shared" si="2312"/>
        <v>0</v>
      </c>
      <c r="BQ346" s="219">
        <f t="shared" si="2313"/>
        <v>0</v>
      </c>
      <c r="BR346" s="220">
        <f t="shared" si="2314"/>
        <v>0</v>
      </c>
      <c r="BS346" s="219">
        <f t="shared" si="2315"/>
        <v>0</v>
      </c>
      <c r="BT346" s="219">
        <f t="shared" si="2316"/>
        <v>0</v>
      </c>
      <c r="BU346" s="219">
        <f t="shared" si="2317"/>
        <v>0</v>
      </c>
      <c r="BV346" s="219">
        <f t="shared" si="2318"/>
        <v>0</v>
      </c>
      <c r="BW346" s="219">
        <f t="shared" si="2319"/>
        <v>0</v>
      </c>
      <c r="BX346" s="220">
        <f t="shared" si="2320"/>
        <v>0</v>
      </c>
      <c r="BY346" s="195"/>
      <c r="BZ346" s="66">
        <v>12</v>
      </c>
      <c r="CA346" s="66">
        <v>2016</v>
      </c>
      <c r="CB346" s="218">
        <f t="shared" si="2321"/>
        <v>0</v>
      </c>
      <c r="CC346" s="218">
        <f t="shared" si="2322"/>
        <v>0</v>
      </c>
      <c r="CD346" s="73">
        <f t="shared" si="2323"/>
        <v>0</v>
      </c>
      <c r="CE346" s="73">
        <f t="shared" si="2324"/>
        <v>0</v>
      </c>
      <c r="CF346" s="73">
        <f t="shared" si="2325"/>
        <v>0</v>
      </c>
      <c r="CG346" s="73">
        <f t="shared" si="2326"/>
        <v>0</v>
      </c>
      <c r="CH346" s="73">
        <f t="shared" si="2327"/>
        <v>0</v>
      </c>
      <c r="CI346" s="73">
        <f t="shared" si="2328"/>
        <v>0</v>
      </c>
      <c r="CJ346" s="73">
        <f t="shared" si="2329"/>
        <v>0</v>
      </c>
      <c r="CK346" s="73">
        <f t="shared" si="2330"/>
        <v>0</v>
      </c>
      <c r="CL346" s="73">
        <f t="shared" si="2331"/>
        <v>0</v>
      </c>
      <c r="CM346" s="73">
        <f t="shared" si="2332"/>
        <v>0</v>
      </c>
      <c r="CN346" s="73">
        <f t="shared" si="2333"/>
        <v>0</v>
      </c>
      <c r="CO346" s="73">
        <f t="shared" si="2334"/>
        <v>0</v>
      </c>
      <c r="CP346" s="73">
        <f t="shared" si="2335"/>
        <v>0</v>
      </c>
      <c r="CQ346" s="73">
        <f t="shared" si="2336"/>
        <v>0</v>
      </c>
      <c r="CR346" s="73">
        <f t="shared" si="2337"/>
        <v>0</v>
      </c>
      <c r="CS346" s="73">
        <f t="shared" si="2338"/>
        <v>0</v>
      </c>
      <c r="CT346" s="73">
        <f t="shared" si="2339"/>
        <v>0</v>
      </c>
      <c r="CU346" s="73">
        <f t="shared" si="2340"/>
        <v>0</v>
      </c>
      <c r="CV346" s="73">
        <f t="shared" si="2341"/>
        <v>0</v>
      </c>
      <c r="CW346" s="73">
        <f t="shared" si="2342"/>
        <v>0</v>
      </c>
      <c r="CX346" s="73">
        <f t="shared" si="2343"/>
        <v>0</v>
      </c>
      <c r="CY346" s="73">
        <f t="shared" si="2344"/>
        <v>0</v>
      </c>
      <c r="CZ346" s="190"/>
      <c r="DA346" s="66">
        <v>2016</v>
      </c>
      <c r="DB346" s="218">
        <f t="shared" si="2267"/>
        <v>0</v>
      </c>
      <c r="DC346" s="218">
        <f t="shared" si="2268"/>
        <v>0</v>
      </c>
      <c r="DD346" s="73">
        <f t="shared" si="2269"/>
        <v>0</v>
      </c>
      <c r="DE346" s="73">
        <f t="shared" si="2270"/>
        <v>0</v>
      </c>
      <c r="DF346" s="73">
        <f t="shared" si="2271"/>
        <v>0</v>
      </c>
      <c r="DG346" s="73">
        <f t="shared" si="2272"/>
        <v>0</v>
      </c>
      <c r="DH346" s="72" t="e">
        <f t="shared" si="2299"/>
        <v>#DIV/0!</v>
      </c>
      <c r="DI346" s="72" t="e">
        <f t="shared" si="2300"/>
        <v>#DIV/0!</v>
      </c>
      <c r="DJ346" s="73">
        <f>SUM(AV334:AV346,BB334:BB346,BI334:BI346)</f>
        <v>0</v>
      </c>
      <c r="DK346" s="73">
        <f>SUM(AV340:AV346,BB340:BB346,BI340:BI346)</f>
        <v>0</v>
      </c>
      <c r="DL346" s="190"/>
    </row>
    <row r="347" spans="22:116" x14ac:dyDescent="0.25">
      <c r="V347" s="13"/>
      <c r="W347" s="66">
        <v>13</v>
      </c>
      <c r="X347" s="66">
        <v>2017</v>
      </c>
      <c r="Y347" s="69">
        <v>0</v>
      </c>
      <c r="Z347" s="69">
        <v>0</v>
      </c>
      <c r="AA347" s="69">
        <v>0</v>
      </c>
      <c r="AB347" s="69">
        <v>0</v>
      </c>
      <c r="AC347" s="69">
        <v>0</v>
      </c>
      <c r="AD347" s="69">
        <v>0</v>
      </c>
      <c r="AE347" s="69">
        <v>0</v>
      </c>
      <c r="AF347" s="69">
        <v>0</v>
      </c>
      <c r="AG347" s="69">
        <v>0</v>
      </c>
      <c r="AH347" s="69">
        <v>0</v>
      </c>
      <c r="AI347" s="69">
        <v>0</v>
      </c>
      <c r="AJ347" s="69">
        <v>0</v>
      </c>
      <c r="AK347" s="69">
        <v>0</v>
      </c>
      <c r="AL347" s="69">
        <v>0</v>
      </c>
      <c r="AM347" s="69">
        <v>0</v>
      </c>
      <c r="AN347" s="69">
        <v>0</v>
      </c>
      <c r="AO347" s="69">
        <v>0</v>
      </c>
      <c r="AP347" s="190"/>
      <c r="AQ347" s="66">
        <v>13</v>
      </c>
      <c r="AR347" s="66">
        <v>2017</v>
      </c>
      <c r="AS347" s="215">
        <f t="shared" si="2250"/>
        <v>0</v>
      </c>
      <c r="AT347" s="215">
        <f t="shared" si="2251"/>
        <v>0</v>
      </c>
      <c r="AU347" s="215">
        <f t="shared" si="2252"/>
        <v>0</v>
      </c>
      <c r="AV347" s="215">
        <f t="shared" si="2253"/>
        <v>0</v>
      </c>
      <c r="AW347" s="215">
        <f t="shared" si="2254"/>
        <v>0</v>
      </c>
      <c r="AX347" s="215">
        <f t="shared" si="2255"/>
        <v>0</v>
      </c>
      <c r="AY347" s="215">
        <f t="shared" si="2256"/>
        <v>0</v>
      </c>
      <c r="AZ347" s="215">
        <f t="shared" si="2257"/>
        <v>0</v>
      </c>
      <c r="BA347" s="215">
        <f t="shared" si="2258"/>
        <v>0</v>
      </c>
      <c r="BB347" s="215">
        <f t="shared" si="2259"/>
        <v>0</v>
      </c>
      <c r="BC347" s="215">
        <f t="shared" si="2260"/>
        <v>0</v>
      </c>
      <c r="BD347" s="215">
        <f t="shared" si="2261"/>
        <v>0</v>
      </c>
      <c r="BE347" s="215">
        <f t="shared" si="2262"/>
        <v>0</v>
      </c>
      <c r="BF347" s="215">
        <f t="shared" si="2263"/>
        <v>0</v>
      </c>
      <c r="BG347" s="215">
        <f t="shared" si="2264"/>
        <v>0</v>
      </c>
      <c r="BH347" s="215">
        <f t="shared" si="2265"/>
        <v>0</v>
      </c>
      <c r="BI347" s="215">
        <f t="shared" si="2266"/>
        <v>0</v>
      </c>
      <c r="BJ347" s="195"/>
      <c r="BK347" s="66">
        <v>13</v>
      </c>
      <c r="BL347" s="66">
        <v>2017</v>
      </c>
      <c r="BM347" s="215">
        <f t="shared" si="2309"/>
        <v>0</v>
      </c>
      <c r="BN347" s="219">
        <f t="shared" si="2310"/>
        <v>0</v>
      </c>
      <c r="BO347" s="219">
        <f t="shared" si="2311"/>
        <v>0</v>
      </c>
      <c r="BP347" s="219">
        <f t="shared" si="2312"/>
        <v>0</v>
      </c>
      <c r="BQ347" s="219">
        <f t="shared" si="2313"/>
        <v>0</v>
      </c>
      <c r="BR347" s="220">
        <f t="shared" si="2314"/>
        <v>0</v>
      </c>
      <c r="BS347" s="219">
        <f t="shared" si="2315"/>
        <v>0</v>
      </c>
      <c r="BT347" s="219">
        <f t="shared" si="2316"/>
        <v>0</v>
      </c>
      <c r="BU347" s="219">
        <f t="shared" si="2317"/>
        <v>0</v>
      </c>
      <c r="BV347" s="219">
        <f t="shared" si="2318"/>
        <v>0</v>
      </c>
      <c r="BW347" s="219">
        <f t="shared" si="2319"/>
        <v>0</v>
      </c>
      <c r="BX347" s="220">
        <f t="shared" si="2320"/>
        <v>0</v>
      </c>
      <c r="BY347" s="195"/>
      <c r="BZ347" s="66">
        <v>13</v>
      </c>
      <c r="CA347" s="66">
        <v>2017</v>
      </c>
      <c r="CB347" s="218">
        <f t="shared" si="2321"/>
        <v>0</v>
      </c>
      <c r="CC347" s="218">
        <f t="shared" si="2322"/>
        <v>0</v>
      </c>
      <c r="CD347" s="73">
        <f t="shared" si="2323"/>
        <v>0</v>
      </c>
      <c r="CE347" s="73">
        <f t="shared" si="2324"/>
        <v>0</v>
      </c>
      <c r="CF347" s="73">
        <f t="shared" si="2325"/>
        <v>0</v>
      </c>
      <c r="CG347" s="73">
        <f t="shared" si="2326"/>
        <v>0</v>
      </c>
      <c r="CH347" s="73">
        <f t="shared" si="2327"/>
        <v>0</v>
      </c>
      <c r="CI347" s="73">
        <f t="shared" si="2328"/>
        <v>0</v>
      </c>
      <c r="CJ347" s="73">
        <f t="shared" si="2329"/>
        <v>0</v>
      </c>
      <c r="CK347" s="73">
        <f t="shared" si="2330"/>
        <v>0</v>
      </c>
      <c r="CL347" s="73">
        <f t="shared" si="2331"/>
        <v>0</v>
      </c>
      <c r="CM347" s="73">
        <f t="shared" si="2332"/>
        <v>0</v>
      </c>
      <c r="CN347" s="73">
        <f t="shared" si="2333"/>
        <v>0</v>
      </c>
      <c r="CO347" s="73">
        <f t="shared" si="2334"/>
        <v>0</v>
      </c>
      <c r="CP347" s="73">
        <f t="shared" si="2335"/>
        <v>0</v>
      </c>
      <c r="CQ347" s="73">
        <f t="shared" si="2336"/>
        <v>0</v>
      </c>
      <c r="CR347" s="73">
        <f t="shared" si="2337"/>
        <v>0</v>
      </c>
      <c r="CS347" s="73">
        <f t="shared" si="2338"/>
        <v>0</v>
      </c>
      <c r="CT347" s="73">
        <f t="shared" si="2339"/>
        <v>0</v>
      </c>
      <c r="CU347" s="73">
        <f t="shared" si="2340"/>
        <v>0</v>
      </c>
      <c r="CV347" s="73">
        <f t="shared" si="2341"/>
        <v>0</v>
      </c>
      <c r="CW347" s="73">
        <f t="shared" si="2342"/>
        <v>0</v>
      </c>
      <c r="CX347" s="73">
        <f t="shared" si="2343"/>
        <v>0</v>
      </c>
      <c r="CY347" s="73">
        <f t="shared" si="2344"/>
        <v>0</v>
      </c>
      <c r="CZ347" s="190"/>
      <c r="DA347" s="66">
        <v>2017</v>
      </c>
      <c r="DB347" s="218">
        <f t="shared" si="2267"/>
        <v>0</v>
      </c>
      <c r="DC347" s="218">
        <f t="shared" si="2268"/>
        <v>0</v>
      </c>
      <c r="DD347" s="73">
        <f t="shared" si="2269"/>
        <v>0</v>
      </c>
      <c r="DE347" s="73">
        <f t="shared" si="2270"/>
        <v>0</v>
      </c>
      <c r="DF347" s="73">
        <f t="shared" si="2271"/>
        <v>0</v>
      </c>
      <c r="DG347" s="73">
        <f t="shared" si="2272"/>
        <v>0</v>
      </c>
      <c r="DH347" s="72" t="e">
        <f t="shared" si="2299"/>
        <v>#DIV/0!</v>
      </c>
      <c r="DI347" s="72" t="e">
        <f t="shared" si="2300"/>
        <v>#DIV/0!</v>
      </c>
      <c r="DJ347" s="73">
        <f>SUM(AV334:AV347,BB334:BB347,BI334:BI347)</f>
        <v>0</v>
      </c>
      <c r="DK347" s="73">
        <f>SUM(AV340:AV347,BB340:BB347,BI340:BI347)</f>
        <v>0</v>
      </c>
      <c r="DL347" s="190"/>
    </row>
    <row r="348" spans="22:116" x14ac:dyDescent="0.25">
      <c r="V348" s="13"/>
      <c r="W348" s="66">
        <v>14</v>
      </c>
      <c r="X348" s="66">
        <v>2018</v>
      </c>
      <c r="Y348" s="69">
        <v>0</v>
      </c>
      <c r="Z348" s="69">
        <v>0</v>
      </c>
      <c r="AA348" s="69">
        <v>0</v>
      </c>
      <c r="AB348" s="69">
        <v>0</v>
      </c>
      <c r="AC348" s="69">
        <v>0</v>
      </c>
      <c r="AD348" s="69">
        <v>0</v>
      </c>
      <c r="AE348" s="69">
        <v>0</v>
      </c>
      <c r="AF348" s="69">
        <v>0</v>
      </c>
      <c r="AG348" s="69">
        <v>0</v>
      </c>
      <c r="AH348" s="69">
        <v>0</v>
      </c>
      <c r="AI348" s="69">
        <v>0</v>
      </c>
      <c r="AJ348" s="69">
        <v>0</v>
      </c>
      <c r="AK348" s="69">
        <v>0</v>
      </c>
      <c r="AL348" s="69">
        <v>0</v>
      </c>
      <c r="AM348" s="69">
        <v>0</v>
      </c>
      <c r="AN348" s="69">
        <v>0</v>
      </c>
      <c r="AO348" s="69">
        <v>0</v>
      </c>
      <c r="AP348" s="190"/>
      <c r="AQ348" s="66">
        <v>14</v>
      </c>
      <c r="AR348" s="66">
        <v>2018</v>
      </c>
      <c r="AS348" s="215">
        <f t="shared" si="2250"/>
        <v>0</v>
      </c>
      <c r="AT348" s="215">
        <f t="shared" si="2251"/>
        <v>0</v>
      </c>
      <c r="AU348" s="215">
        <f t="shared" si="2252"/>
        <v>0</v>
      </c>
      <c r="AV348" s="215">
        <f t="shared" si="2253"/>
        <v>0</v>
      </c>
      <c r="AW348" s="215">
        <f t="shared" si="2254"/>
        <v>0</v>
      </c>
      <c r="AX348" s="215">
        <f t="shared" si="2255"/>
        <v>0</v>
      </c>
      <c r="AY348" s="215">
        <f t="shared" si="2256"/>
        <v>0</v>
      </c>
      <c r="AZ348" s="215">
        <f t="shared" si="2257"/>
        <v>0</v>
      </c>
      <c r="BA348" s="215">
        <f t="shared" si="2258"/>
        <v>0</v>
      </c>
      <c r="BB348" s="215">
        <f t="shared" si="2259"/>
        <v>0</v>
      </c>
      <c r="BC348" s="215">
        <f t="shared" si="2260"/>
        <v>0</v>
      </c>
      <c r="BD348" s="215">
        <f t="shared" si="2261"/>
        <v>0</v>
      </c>
      <c r="BE348" s="215">
        <f t="shared" si="2262"/>
        <v>0</v>
      </c>
      <c r="BF348" s="215">
        <f t="shared" si="2263"/>
        <v>0</v>
      </c>
      <c r="BG348" s="215">
        <f t="shared" si="2264"/>
        <v>0</v>
      </c>
      <c r="BH348" s="215">
        <f t="shared" si="2265"/>
        <v>0</v>
      </c>
      <c r="BI348" s="215">
        <f t="shared" si="2266"/>
        <v>0</v>
      </c>
      <c r="BJ348" s="195"/>
      <c r="BK348" s="66">
        <v>14</v>
      </c>
      <c r="BL348" s="66">
        <v>2018</v>
      </c>
      <c r="BM348" s="215">
        <f t="shared" si="2309"/>
        <v>0</v>
      </c>
      <c r="BN348" s="219">
        <f t="shared" si="2310"/>
        <v>0</v>
      </c>
      <c r="BO348" s="219">
        <f t="shared" si="2311"/>
        <v>0</v>
      </c>
      <c r="BP348" s="219">
        <f t="shared" si="2312"/>
        <v>0</v>
      </c>
      <c r="BQ348" s="219">
        <f t="shared" si="2313"/>
        <v>0</v>
      </c>
      <c r="BR348" s="220">
        <f t="shared" si="2314"/>
        <v>0</v>
      </c>
      <c r="BS348" s="219">
        <f t="shared" si="2315"/>
        <v>0</v>
      </c>
      <c r="BT348" s="219">
        <f t="shared" si="2316"/>
        <v>0</v>
      </c>
      <c r="BU348" s="219">
        <f t="shared" si="2317"/>
        <v>0</v>
      </c>
      <c r="BV348" s="219">
        <f t="shared" si="2318"/>
        <v>0</v>
      </c>
      <c r="BW348" s="219">
        <f t="shared" si="2319"/>
        <v>0</v>
      </c>
      <c r="BX348" s="220">
        <f t="shared" si="2320"/>
        <v>0</v>
      </c>
      <c r="BY348" s="195"/>
      <c r="BZ348" s="66">
        <v>14</v>
      </c>
      <c r="CA348" s="66">
        <v>2018</v>
      </c>
      <c r="CB348" s="218">
        <f t="shared" si="2321"/>
        <v>0</v>
      </c>
      <c r="CC348" s="218">
        <f t="shared" si="2322"/>
        <v>0</v>
      </c>
      <c r="CD348" s="73">
        <f t="shared" si="2323"/>
        <v>0</v>
      </c>
      <c r="CE348" s="73">
        <f t="shared" si="2324"/>
        <v>0</v>
      </c>
      <c r="CF348" s="73">
        <f t="shared" si="2325"/>
        <v>0</v>
      </c>
      <c r="CG348" s="73">
        <f t="shared" si="2326"/>
        <v>0</v>
      </c>
      <c r="CH348" s="73">
        <f t="shared" si="2327"/>
        <v>0</v>
      </c>
      <c r="CI348" s="73">
        <f t="shared" si="2328"/>
        <v>0</v>
      </c>
      <c r="CJ348" s="73">
        <f t="shared" si="2329"/>
        <v>0</v>
      </c>
      <c r="CK348" s="73">
        <f t="shared" si="2330"/>
        <v>0</v>
      </c>
      <c r="CL348" s="73">
        <f t="shared" si="2331"/>
        <v>0</v>
      </c>
      <c r="CM348" s="73">
        <f t="shared" si="2332"/>
        <v>0</v>
      </c>
      <c r="CN348" s="73">
        <f t="shared" si="2333"/>
        <v>0</v>
      </c>
      <c r="CO348" s="73">
        <f t="shared" si="2334"/>
        <v>0</v>
      </c>
      <c r="CP348" s="73">
        <f t="shared" si="2335"/>
        <v>0</v>
      </c>
      <c r="CQ348" s="73">
        <f t="shared" si="2336"/>
        <v>0</v>
      </c>
      <c r="CR348" s="73">
        <f t="shared" si="2337"/>
        <v>0</v>
      </c>
      <c r="CS348" s="73">
        <f t="shared" si="2338"/>
        <v>0</v>
      </c>
      <c r="CT348" s="73">
        <f t="shared" si="2339"/>
        <v>0</v>
      </c>
      <c r="CU348" s="73">
        <f t="shared" si="2340"/>
        <v>0</v>
      </c>
      <c r="CV348" s="73">
        <f t="shared" si="2341"/>
        <v>0</v>
      </c>
      <c r="CW348" s="73">
        <f t="shared" si="2342"/>
        <v>0</v>
      </c>
      <c r="CX348" s="73">
        <f t="shared" si="2343"/>
        <v>0</v>
      </c>
      <c r="CY348" s="73">
        <f t="shared" si="2344"/>
        <v>0</v>
      </c>
      <c r="CZ348" s="190"/>
      <c r="DA348" s="66">
        <v>2018</v>
      </c>
      <c r="DB348" s="218">
        <f t="shared" si="2267"/>
        <v>0</v>
      </c>
      <c r="DC348" s="218">
        <f t="shared" si="2268"/>
        <v>0</v>
      </c>
      <c r="DD348" s="73">
        <f t="shared" si="2269"/>
        <v>0</v>
      </c>
      <c r="DE348" s="73">
        <f t="shared" si="2270"/>
        <v>0</v>
      </c>
      <c r="DF348" s="73">
        <f t="shared" si="2271"/>
        <v>0</v>
      </c>
      <c r="DG348" s="73">
        <f t="shared" si="2272"/>
        <v>0</v>
      </c>
      <c r="DH348" s="72" t="e">
        <f t="shared" si="2299"/>
        <v>#DIV/0!</v>
      </c>
      <c r="DI348" s="72" t="e">
        <f t="shared" si="2300"/>
        <v>#DIV/0!</v>
      </c>
      <c r="DJ348" s="73">
        <f>SUM(AV334:AV348,BB334:BB348,BI334:BI348)</f>
        <v>0</v>
      </c>
      <c r="DK348" s="73">
        <f>SUM(AV340:AV348,BB340:BB348,BI340:BI348)</f>
        <v>0</v>
      </c>
      <c r="DL348" s="190"/>
    </row>
    <row r="349" spans="22:116" x14ac:dyDescent="0.25">
      <c r="V349" s="13"/>
      <c r="W349" s="66">
        <v>15</v>
      </c>
      <c r="X349" s="66">
        <v>2019</v>
      </c>
      <c r="Y349" s="69">
        <v>1</v>
      </c>
      <c r="Z349" s="69">
        <v>0</v>
      </c>
      <c r="AA349" s="69">
        <v>0</v>
      </c>
      <c r="AB349" s="69">
        <v>0</v>
      </c>
      <c r="AC349" s="69">
        <v>0</v>
      </c>
      <c r="AD349" s="69">
        <v>0</v>
      </c>
      <c r="AE349" s="69">
        <v>0</v>
      </c>
      <c r="AF349" s="69">
        <v>0</v>
      </c>
      <c r="AG349" s="69">
        <v>0</v>
      </c>
      <c r="AH349" s="69">
        <v>0</v>
      </c>
      <c r="AI349" s="69">
        <v>0</v>
      </c>
      <c r="AJ349" s="69">
        <v>0</v>
      </c>
      <c r="AK349" s="69">
        <v>0</v>
      </c>
      <c r="AL349" s="69">
        <v>0</v>
      </c>
      <c r="AM349" s="69">
        <v>0</v>
      </c>
      <c r="AN349" s="69">
        <v>0</v>
      </c>
      <c r="AO349" s="69">
        <v>0</v>
      </c>
      <c r="AP349" s="190"/>
      <c r="AQ349" s="66">
        <v>15</v>
      </c>
      <c r="AR349" s="66">
        <v>2019</v>
      </c>
      <c r="AS349" s="215">
        <f t="shared" si="2250"/>
        <v>8588.0400000000009</v>
      </c>
      <c r="AT349" s="215">
        <f t="shared" si="2251"/>
        <v>0</v>
      </c>
      <c r="AU349" s="215">
        <f t="shared" si="2252"/>
        <v>0</v>
      </c>
      <c r="AV349" s="215">
        <f t="shared" si="2253"/>
        <v>0</v>
      </c>
      <c r="AW349" s="215">
        <f t="shared" si="2254"/>
        <v>0</v>
      </c>
      <c r="AX349" s="215">
        <f t="shared" si="2255"/>
        <v>0</v>
      </c>
      <c r="AY349" s="215">
        <f t="shared" si="2256"/>
        <v>0</v>
      </c>
      <c r="AZ349" s="215">
        <f t="shared" si="2257"/>
        <v>0</v>
      </c>
      <c r="BA349" s="215">
        <f t="shared" si="2258"/>
        <v>0</v>
      </c>
      <c r="BB349" s="215">
        <f t="shared" si="2259"/>
        <v>0</v>
      </c>
      <c r="BC349" s="215">
        <f t="shared" si="2260"/>
        <v>0</v>
      </c>
      <c r="BD349" s="215">
        <f t="shared" si="2261"/>
        <v>0</v>
      </c>
      <c r="BE349" s="215">
        <f t="shared" si="2262"/>
        <v>0</v>
      </c>
      <c r="BF349" s="215">
        <f t="shared" si="2263"/>
        <v>0</v>
      </c>
      <c r="BG349" s="215">
        <f t="shared" si="2264"/>
        <v>0</v>
      </c>
      <c r="BH349" s="215">
        <f t="shared" si="2265"/>
        <v>0</v>
      </c>
      <c r="BI349" s="215">
        <f t="shared" si="2266"/>
        <v>0</v>
      </c>
      <c r="BJ349" s="195"/>
      <c r="BK349" s="66">
        <v>15</v>
      </c>
      <c r="BL349" s="66">
        <v>2019</v>
      </c>
      <c r="BM349" s="215">
        <f t="shared" si="2309"/>
        <v>0</v>
      </c>
      <c r="BN349" s="219">
        <f t="shared" si="2310"/>
        <v>0</v>
      </c>
      <c r="BO349" s="219">
        <f t="shared" si="2311"/>
        <v>0</v>
      </c>
      <c r="BP349" s="219">
        <f t="shared" si="2312"/>
        <v>0</v>
      </c>
      <c r="BQ349" s="219">
        <f t="shared" si="2313"/>
        <v>0</v>
      </c>
      <c r="BR349" s="220">
        <f t="shared" si="2314"/>
        <v>0</v>
      </c>
      <c r="BS349" s="219">
        <f t="shared" si="2315"/>
        <v>0</v>
      </c>
      <c r="BT349" s="219">
        <f t="shared" si="2316"/>
        <v>0</v>
      </c>
      <c r="BU349" s="219">
        <f t="shared" si="2317"/>
        <v>0</v>
      </c>
      <c r="BV349" s="219">
        <f t="shared" si="2318"/>
        <v>0</v>
      </c>
      <c r="BW349" s="219">
        <f t="shared" si="2319"/>
        <v>0</v>
      </c>
      <c r="BX349" s="220">
        <f t="shared" si="2320"/>
        <v>0</v>
      </c>
      <c r="BY349" s="195"/>
      <c r="BZ349" s="66">
        <v>15</v>
      </c>
      <c r="CA349" s="66">
        <v>2019</v>
      </c>
      <c r="CB349" s="218">
        <f t="shared" si="2321"/>
        <v>0</v>
      </c>
      <c r="CC349" s="218">
        <f t="shared" si="2322"/>
        <v>0</v>
      </c>
      <c r="CD349" s="73">
        <f t="shared" si="2323"/>
        <v>0</v>
      </c>
      <c r="CE349" s="73">
        <f t="shared" si="2324"/>
        <v>0</v>
      </c>
      <c r="CF349" s="73">
        <f t="shared" si="2325"/>
        <v>0</v>
      </c>
      <c r="CG349" s="73">
        <f t="shared" si="2326"/>
        <v>0</v>
      </c>
      <c r="CH349" s="73">
        <f t="shared" si="2327"/>
        <v>0</v>
      </c>
      <c r="CI349" s="73">
        <f t="shared" si="2328"/>
        <v>0</v>
      </c>
      <c r="CJ349" s="73">
        <f t="shared" si="2329"/>
        <v>0</v>
      </c>
      <c r="CK349" s="73">
        <f t="shared" si="2330"/>
        <v>0</v>
      </c>
      <c r="CL349" s="73">
        <f t="shared" si="2331"/>
        <v>0</v>
      </c>
      <c r="CM349" s="73">
        <f t="shared" si="2332"/>
        <v>0</v>
      </c>
      <c r="CN349" s="73">
        <f t="shared" si="2333"/>
        <v>0</v>
      </c>
      <c r="CO349" s="73">
        <f t="shared" si="2334"/>
        <v>0</v>
      </c>
      <c r="CP349" s="73">
        <f t="shared" si="2335"/>
        <v>0</v>
      </c>
      <c r="CQ349" s="73">
        <f t="shared" si="2336"/>
        <v>0</v>
      </c>
      <c r="CR349" s="73">
        <f t="shared" si="2337"/>
        <v>0</v>
      </c>
      <c r="CS349" s="73">
        <f t="shared" si="2338"/>
        <v>0</v>
      </c>
      <c r="CT349" s="73">
        <f t="shared" si="2339"/>
        <v>0</v>
      </c>
      <c r="CU349" s="73">
        <f t="shared" si="2340"/>
        <v>0</v>
      </c>
      <c r="CV349" s="73">
        <f t="shared" si="2341"/>
        <v>0</v>
      </c>
      <c r="CW349" s="73">
        <f t="shared" si="2342"/>
        <v>0</v>
      </c>
      <c r="CX349" s="73">
        <f t="shared" si="2343"/>
        <v>0</v>
      </c>
      <c r="CY349" s="73">
        <f t="shared" si="2344"/>
        <v>0</v>
      </c>
      <c r="CZ349" s="190"/>
      <c r="DA349" s="66">
        <v>2019</v>
      </c>
      <c r="DB349" s="218">
        <f t="shared" si="2267"/>
        <v>0</v>
      </c>
      <c r="DC349" s="218">
        <f t="shared" si="2268"/>
        <v>8588.0400000000009</v>
      </c>
      <c r="DD349" s="73">
        <f t="shared" si="2269"/>
        <v>0</v>
      </c>
      <c r="DE349" s="73">
        <f t="shared" si="2270"/>
        <v>0</v>
      </c>
      <c r="DF349" s="73">
        <f t="shared" si="2271"/>
        <v>0</v>
      </c>
      <c r="DG349" s="73">
        <f t="shared" si="2272"/>
        <v>0</v>
      </c>
      <c r="DH349" s="72" t="e">
        <f t="shared" si="2299"/>
        <v>#DIV/0!</v>
      </c>
      <c r="DI349" s="72" t="e">
        <f t="shared" si="2300"/>
        <v>#DIV/0!</v>
      </c>
      <c r="DJ349" s="73">
        <f>SUM(AV334:AV349,BB334:BB349,BI334:BI349)</f>
        <v>0</v>
      </c>
      <c r="DK349" s="73">
        <f>SUM(AV340:AV349,BB340:BB349,BI340:BI349)</f>
        <v>0</v>
      </c>
      <c r="DL349" s="190"/>
    </row>
    <row r="350" spans="22:116" x14ac:dyDescent="0.25">
      <c r="V350" s="13"/>
      <c r="W350" s="66">
        <v>16</v>
      </c>
      <c r="X350" s="66">
        <v>2020</v>
      </c>
      <c r="Y350" s="70">
        <f t="shared" ref="Y350:Y353" si="2345">MMULT($Y349:$AO349,D$202:D$218)</f>
        <v>0.63376008575865694</v>
      </c>
      <c r="Z350" s="70">
        <f t="shared" ref="Z350:Z353" si="2346">MMULT($Y349:$AO349,E$202:E$218)</f>
        <v>7.4027434914144222E-2</v>
      </c>
      <c r="AA350" s="70">
        <f t="shared" ref="AA350:AA353" si="2347">MMULT($Y349:$AO349,F$202:F$218)</f>
        <v>0</v>
      </c>
      <c r="AB350" s="70">
        <f t="shared" ref="AB350:AB353" si="2348">MMULT($Y349:$AO349,G$202:G$218)</f>
        <v>1.818504441305463E-2</v>
      </c>
      <c r="AC350" s="70">
        <f t="shared" ref="AC350:AC353" si="2349">MMULT($Y349:$AO349,H$202:H$218)</f>
        <v>0.2</v>
      </c>
      <c r="AD350" s="70">
        <f t="shared" ref="AD350:AD353" si="2350">MMULT($Y349:$AO349,I$202:I$218)</f>
        <v>7.4027434914144222E-2</v>
      </c>
      <c r="AE350" s="70">
        <f t="shared" ref="AE350:AE353" si="2351">MMULT($Y349:$AO349,J$202:J$218)</f>
        <v>0</v>
      </c>
      <c r="AF350" s="70">
        <f t="shared" ref="AF350:AF353" si="2352">MMULT($Y349:$AO349,K$202:K$218)</f>
        <v>0</v>
      </c>
      <c r="AG350" s="70">
        <f t="shared" ref="AG350:AG353" si="2353">MMULT($Y349:$AO349,L$202:L$218)</f>
        <v>0</v>
      </c>
      <c r="AH350" s="70">
        <f t="shared" ref="AH350:AH353" si="2354">MMULT($Y349:$AO349,M$202:M$218)</f>
        <v>0</v>
      </c>
      <c r="AI350" s="70">
        <f t="shared" ref="AI350:AI353" si="2355">MMULT($Y349:$AO349,N$202:N$218)</f>
        <v>0</v>
      </c>
      <c r="AJ350" s="70">
        <f t="shared" ref="AJ350:AJ353" si="2356">MMULT($Y349:$AO349,O$202:O$218)</f>
        <v>0</v>
      </c>
      <c r="AK350" s="70">
        <f t="shared" ref="AK350:AK353" si="2357">MMULT($Y349:$AO349,P$202:P$218)</f>
        <v>0</v>
      </c>
      <c r="AL350" s="70">
        <f t="shared" ref="AL350:AL353" si="2358">MMULT($Y349:$AO349,Q$202:Q$218)</f>
        <v>0</v>
      </c>
      <c r="AM350" s="70">
        <f t="shared" ref="AM350:AM353" si="2359">MMULT($Y349:$AO349,R$202:R$218)</f>
        <v>0</v>
      </c>
      <c r="AN350" s="70">
        <f t="shared" ref="AN350:AN353" si="2360">MMULT($Y349:$AO349,S$202:S$218)</f>
        <v>0</v>
      </c>
      <c r="AO350" s="70">
        <f t="shared" ref="AO350:AO353" si="2361">MMULT($Y349:$AO349,T$202:T$218)</f>
        <v>0</v>
      </c>
      <c r="AP350" s="190"/>
      <c r="AQ350" s="66">
        <v>16</v>
      </c>
      <c r="AR350" s="66">
        <v>2020</v>
      </c>
      <c r="AS350" s="215">
        <f t="shared" si="2250"/>
        <v>5442.7569668987771</v>
      </c>
      <c r="AT350" s="215">
        <f t="shared" si="2251"/>
        <v>635.75057214006722</v>
      </c>
      <c r="AU350" s="215">
        <f t="shared" si="2252"/>
        <v>0</v>
      </c>
      <c r="AV350" s="215">
        <f t="shared" si="2253"/>
        <v>156.17388882108969</v>
      </c>
      <c r="AW350" s="215">
        <f t="shared" si="2254"/>
        <v>1717.6080000000002</v>
      </c>
      <c r="AX350" s="215">
        <f t="shared" si="2255"/>
        <v>635.75057214006722</v>
      </c>
      <c r="AY350" s="215">
        <f t="shared" si="2256"/>
        <v>0</v>
      </c>
      <c r="AZ350" s="215">
        <f t="shared" si="2257"/>
        <v>0</v>
      </c>
      <c r="BA350" s="215">
        <f t="shared" si="2258"/>
        <v>0</v>
      </c>
      <c r="BB350" s="215">
        <f t="shared" si="2259"/>
        <v>0</v>
      </c>
      <c r="BC350" s="215">
        <f t="shared" si="2260"/>
        <v>0</v>
      </c>
      <c r="BD350" s="215">
        <f t="shared" si="2261"/>
        <v>0</v>
      </c>
      <c r="BE350" s="215">
        <f t="shared" si="2262"/>
        <v>0</v>
      </c>
      <c r="BF350" s="215">
        <f t="shared" si="2263"/>
        <v>0</v>
      </c>
      <c r="BG350" s="215">
        <f t="shared" si="2264"/>
        <v>0</v>
      </c>
      <c r="BH350" s="215">
        <f t="shared" si="2265"/>
        <v>0</v>
      </c>
      <c r="BI350" s="215">
        <f t="shared" si="2266"/>
        <v>0</v>
      </c>
      <c r="BJ350" s="195"/>
      <c r="BK350" s="66">
        <v>16</v>
      </c>
      <c r="BL350" s="66">
        <v>2020</v>
      </c>
      <c r="BM350" s="215">
        <f t="shared" si="2309"/>
        <v>0</v>
      </c>
      <c r="BN350" s="219">
        <f t="shared" si="2310"/>
        <v>0</v>
      </c>
      <c r="BO350" s="219">
        <f t="shared" si="2311"/>
        <v>0</v>
      </c>
      <c r="BP350" s="219">
        <f t="shared" si="2312"/>
        <v>0</v>
      </c>
      <c r="BQ350" s="219">
        <f t="shared" si="2313"/>
        <v>0</v>
      </c>
      <c r="BR350" s="220">
        <f t="shared" si="2314"/>
        <v>0</v>
      </c>
      <c r="BS350" s="219">
        <f t="shared" si="2315"/>
        <v>0</v>
      </c>
      <c r="BT350" s="219">
        <f t="shared" si="2316"/>
        <v>0</v>
      </c>
      <c r="BU350" s="219">
        <f t="shared" si="2317"/>
        <v>0</v>
      </c>
      <c r="BV350" s="219">
        <f t="shared" si="2318"/>
        <v>0</v>
      </c>
      <c r="BW350" s="219">
        <f t="shared" si="2319"/>
        <v>0</v>
      </c>
      <c r="BX350" s="220">
        <f t="shared" si="2320"/>
        <v>0</v>
      </c>
      <c r="BY350" s="195"/>
      <c r="BZ350" s="66">
        <v>16</v>
      </c>
      <c r="CA350" s="66">
        <v>2020</v>
      </c>
      <c r="CB350" s="218">
        <f t="shared" si="2321"/>
        <v>156.17388882108969</v>
      </c>
      <c r="CC350" s="218">
        <f t="shared" si="2322"/>
        <v>0</v>
      </c>
      <c r="CD350" s="73">
        <f t="shared" si="2323"/>
        <v>0</v>
      </c>
      <c r="CE350" s="73">
        <f t="shared" si="2324"/>
        <v>0</v>
      </c>
      <c r="CF350" s="73">
        <f t="shared" si="2325"/>
        <v>0</v>
      </c>
      <c r="CG350" s="73">
        <f t="shared" si="2326"/>
        <v>0</v>
      </c>
      <c r="CH350" s="73">
        <f t="shared" si="2327"/>
        <v>0</v>
      </c>
      <c r="CI350" s="73">
        <f t="shared" si="2328"/>
        <v>0</v>
      </c>
      <c r="CJ350" s="73">
        <f t="shared" si="2329"/>
        <v>0</v>
      </c>
      <c r="CK350" s="73">
        <f t="shared" si="2330"/>
        <v>0</v>
      </c>
      <c r="CL350" s="73">
        <f t="shared" si="2331"/>
        <v>0</v>
      </c>
      <c r="CM350" s="73">
        <f t="shared" si="2332"/>
        <v>0</v>
      </c>
      <c r="CN350" s="73">
        <f t="shared" si="2333"/>
        <v>0</v>
      </c>
      <c r="CO350" s="73">
        <f t="shared" si="2334"/>
        <v>0</v>
      </c>
      <c r="CP350" s="73">
        <f t="shared" si="2335"/>
        <v>0</v>
      </c>
      <c r="CQ350" s="73">
        <f t="shared" si="2336"/>
        <v>0</v>
      </c>
      <c r="CR350" s="73">
        <f t="shared" si="2337"/>
        <v>0</v>
      </c>
      <c r="CS350" s="73">
        <f t="shared" si="2338"/>
        <v>0</v>
      </c>
      <c r="CT350" s="73">
        <f t="shared" si="2339"/>
        <v>0</v>
      </c>
      <c r="CU350" s="73">
        <f t="shared" si="2340"/>
        <v>0</v>
      </c>
      <c r="CV350" s="73">
        <f t="shared" si="2341"/>
        <v>0</v>
      </c>
      <c r="CW350" s="73">
        <f t="shared" si="2342"/>
        <v>0</v>
      </c>
      <c r="CX350" s="73">
        <f t="shared" si="2343"/>
        <v>0</v>
      </c>
      <c r="CY350" s="73">
        <f t="shared" si="2344"/>
        <v>0</v>
      </c>
      <c r="CZ350" s="190"/>
      <c r="DA350" s="66">
        <v>2020</v>
      </c>
      <c r="DB350" s="218">
        <f t="shared" si="2267"/>
        <v>1271.5011442801344</v>
      </c>
      <c r="DC350" s="218">
        <f t="shared" si="2268"/>
        <v>8431.8661111789115</v>
      </c>
      <c r="DD350" s="73">
        <f t="shared" si="2269"/>
        <v>0</v>
      </c>
      <c r="DE350" s="73">
        <f t="shared" si="2270"/>
        <v>0</v>
      </c>
      <c r="DF350" s="73">
        <f t="shared" si="2271"/>
        <v>0</v>
      </c>
      <c r="DG350" s="73">
        <f t="shared" si="2272"/>
        <v>2353.3585721400673</v>
      </c>
      <c r="DH350" s="72">
        <f t="shared" si="2299"/>
        <v>0</v>
      </c>
      <c r="DI350" s="72" t="e">
        <f t="shared" si="2300"/>
        <v>#DIV/0!</v>
      </c>
      <c r="DJ350" s="73">
        <f>SUM(AV334:AV350,BB334:BB350,BI334:BI350)</f>
        <v>156.17388882108969</v>
      </c>
      <c r="DK350" s="73">
        <f>SUM(AV340:AV350,BB340:BB350,BI340:BI350)</f>
        <v>156.17388882108969</v>
      </c>
      <c r="DL350" s="190"/>
    </row>
    <row r="351" spans="22:116" x14ac:dyDescent="0.25">
      <c r="V351" s="63"/>
      <c r="W351" s="66">
        <v>17</v>
      </c>
      <c r="X351" s="66">
        <v>2021</v>
      </c>
      <c r="Y351" s="70">
        <f t="shared" si="2345"/>
        <v>0.40165184630082018</v>
      </c>
      <c r="Z351" s="70">
        <f t="shared" si="2346"/>
        <v>7.9350132444030066E-2</v>
      </c>
      <c r="AA351" s="70">
        <f t="shared" si="2347"/>
        <v>2.2711269412095766E-2</v>
      </c>
      <c r="AB351" s="70">
        <f t="shared" si="2348"/>
        <v>1.2788092354875989E-2</v>
      </c>
      <c r="AC351" s="70">
        <f t="shared" si="2349"/>
        <v>0.22169301105858225</v>
      </c>
      <c r="AD351" s="70">
        <f t="shared" si="2350"/>
        <v>0.1017364552227743</v>
      </c>
      <c r="AE351" s="70">
        <f t="shared" si="2351"/>
        <v>1.2322340839651991E-2</v>
      </c>
      <c r="AF351" s="70">
        <f t="shared" si="2352"/>
        <v>0</v>
      </c>
      <c r="AG351" s="70">
        <f t="shared" si="2353"/>
        <v>1.3509635260084139E-2</v>
      </c>
      <c r="AH351" s="70">
        <f t="shared" si="2354"/>
        <v>7.5148512019901498E-3</v>
      </c>
      <c r="AI351" s="70">
        <f t="shared" si="2355"/>
        <v>0.06</v>
      </c>
      <c r="AJ351" s="70">
        <f t="shared" si="2356"/>
        <v>4.1948879784681731E-2</v>
      </c>
      <c r="AK351" s="70">
        <f t="shared" si="2357"/>
        <v>6.5884417073588351E-3</v>
      </c>
      <c r="AL351" s="70">
        <f t="shared" si="2358"/>
        <v>0</v>
      </c>
      <c r="AM351" s="70">
        <f t="shared" si="2359"/>
        <v>0</v>
      </c>
      <c r="AN351" s="70">
        <f t="shared" si="2360"/>
        <v>0</v>
      </c>
      <c r="AO351" s="70">
        <f t="shared" si="2361"/>
        <v>0</v>
      </c>
      <c r="AP351" s="190"/>
      <c r="AQ351" s="66">
        <v>17</v>
      </c>
      <c r="AR351" s="66">
        <v>2021</v>
      </c>
      <c r="AS351" s="215">
        <f t="shared" si="2250"/>
        <v>3449.4021221052963</v>
      </c>
      <c r="AT351" s="215">
        <f t="shared" si="2251"/>
        <v>681.46211143462801</v>
      </c>
      <c r="AU351" s="215">
        <f t="shared" si="2252"/>
        <v>195.04529016185495</v>
      </c>
      <c r="AV351" s="215">
        <f t="shared" si="2253"/>
        <v>109.8246486673692</v>
      </c>
      <c r="AW351" s="215">
        <f t="shared" si="2254"/>
        <v>1903.9084466915469</v>
      </c>
      <c r="AX351" s="215">
        <f t="shared" si="2255"/>
        <v>873.71674691139469</v>
      </c>
      <c r="AY351" s="215">
        <f t="shared" si="2256"/>
        <v>105.82475602456491</v>
      </c>
      <c r="AZ351" s="215">
        <f t="shared" si="2257"/>
        <v>0</v>
      </c>
      <c r="BA351" s="215">
        <f t="shared" si="2258"/>
        <v>116.021287999013</v>
      </c>
      <c r="BB351" s="215">
        <f t="shared" si="2259"/>
        <v>64.53784271673949</v>
      </c>
      <c r="BC351" s="215">
        <f t="shared" si="2260"/>
        <v>515.28240000000005</v>
      </c>
      <c r="BD351" s="215">
        <f t="shared" si="2261"/>
        <v>360.25865754603814</v>
      </c>
      <c r="BE351" s="215">
        <f t="shared" si="2262"/>
        <v>56.581800920465973</v>
      </c>
      <c r="BF351" s="215">
        <f t="shared" si="2263"/>
        <v>0</v>
      </c>
      <c r="BG351" s="215">
        <f t="shared" si="2264"/>
        <v>0</v>
      </c>
      <c r="BH351" s="215">
        <f t="shared" si="2265"/>
        <v>0</v>
      </c>
      <c r="BI351" s="215">
        <f t="shared" si="2266"/>
        <v>0</v>
      </c>
      <c r="BJ351" s="195"/>
      <c r="BK351" s="66">
        <v>17</v>
      </c>
      <c r="BL351" s="66">
        <v>2021</v>
      </c>
      <c r="BM351" s="215">
        <f t="shared" si="2309"/>
        <v>116.021287999013</v>
      </c>
      <c r="BN351" s="219">
        <f t="shared" si="2310"/>
        <v>0</v>
      </c>
      <c r="BO351" s="219">
        <f t="shared" si="2311"/>
        <v>0</v>
      </c>
      <c r="BP351" s="219">
        <f t="shared" si="2312"/>
        <v>0</v>
      </c>
      <c r="BQ351" s="219">
        <f t="shared" si="2313"/>
        <v>0</v>
      </c>
      <c r="BR351" s="220">
        <f t="shared" si="2314"/>
        <v>0</v>
      </c>
      <c r="BS351" s="219">
        <f t="shared" si="2315"/>
        <v>0</v>
      </c>
      <c r="BT351" s="219">
        <f t="shared" si="2316"/>
        <v>0</v>
      </c>
      <c r="BU351" s="219">
        <f t="shared" si="2317"/>
        <v>0</v>
      </c>
      <c r="BV351" s="219">
        <f t="shared" si="2318"/>
        <v>0</v>
      </c>
      <c r="BW351" s="219">
        <f t="shared" si="2319"/>
        <v>0</v>
      </c>
      <c r="BX351" s="220">
        <f t="shared" si="2320"/>
        <v>0</v>
      </c>
      <c r="BY351" s="195"/>
      <c r="BZ351" s="66">
        <v>17</v>
      </c>
      <c r="CA351" s="66">
        <v>2021</v>
      </c>
      <c r="CB351" s="218">
        <f t="shared" si="2321"/>
        <v>98.976777172516762</v>
      </c>
      <c r="CC351" s="218">
        <f t="shared" si="2322"/>
        <v>10.847871494852438</v>
      </c>
      <c r="CD351" s="73">
        <f t="shared" si="2323"/>
        <v>0</v>
      </c>
      <c r="CE351" s="73">
        <f t="shared" si="2324"/>
        <v>47.901574880172824</v>
      </c>
      <c r="CF351" s="73">
        <f t="shared" si="2325"/>
        <v>16.636267836566656</v>
      </c>
      <c r="CG351" s="73">
        <f t="shared" si="2326"/>
        <v>0</v>
      </c>
      <c r="CH351" s="73">
        <f t="shared" si="2327"/>
        <v>0</v>
      </c>
      <c r="CI351" s="73">
        <f t="shared" si="2328"/>
        <v>0</v>
      </c>
      <c r="CJ351" s="73">
        <f t="shared" si="2329"/>
        <v>0</v>
      </c>
      <c r="CK351" s="73">
        <f t="shared" si="2330"/>
        <v>0</v>
      </c>
      <c r="CL351" s="73">
        <f t="shared" si="2331"/>
        <v>0</v>
      </c>
      <c r="CM351" s="73">
        <f t="shared" si="2332"/>
        <v>0</v>
      </c>
      <c r="CN351" s="73">
        <f t="shared" si="2333"/>
        <v>0</v>
      </c>
      <c r="CO351" s="73">
        <f t="shared" si="2334"/>
        <v>0</v>
      </c>
      <c r="CP351" s="73">
        <f t="shared" si="2335"/>
        <v>0</v>
      </c>
      <c r="CQ351" s="73">
        <f t="shared" si="2336"/>
        <v>0</v>
      </c>
      <c r="CR351" s="73">
        <f t="shared" si="2337"/>
        <v>0</v>
      </c>
      <c r="CS351" s="73">
        <f t="shared" si="2338"/>
        <v>0</v>
      </c>
      <c r="CT351" s="73">
        <f t="shared" si="2339"/>
        <v>0</v>
      </c>
      <c r="CU351" s="73">
        <f t="shared" si="2340"/>
        <v>0</v>
      </c>
      <c r="CV351" s="73">
        <f t="shared" si="2341"/>
        <v>0</v>
      </c>
      <c r="CW351" s="73">
        <f t="shared" si="2342"/>
        <v>0</v>
      </c>
      <c r="CX351" s="73">
        <f t="shared" si="2343"/>
        <v>0</v>
      </c>
      <c r="CY351" s="73">
        <f t="shared" si="2344"/>
        <v>0</v>
      </c>
      <c r="CZ351" s="190"/>
      <c r="DA351" s="66">
        <v>2021</v>
      </c>
      <c r="DB351" s="218">
        <f t="shared" si="2267"/>
        <v>1915.4375158920609</v>
      </c>
      <c r="DC351" s="218">
        <f t="shared" si="2268"/>
        <v>8257.5036197948029</v>
      </c>
      <c r="DD351" s="73">
        <f t="shared" si="2269"/>
        <v>162.40655694503087</v>
      </c>
      <c r="DE351" s="73">
        <f t="shared" si="2270"/>
        <v>56.581800920465973</v>
      </c>
      <c r="DF351" s="73">
        <f t="shared" si="2271"/>
        <v>875.54105754603825</v>
      </c>
      <c r="DG351" s="73">
        <f t="shared" si="2272"/>
        <v>3769.187539147993</v>
      </c>
      <c r="DH351" s="72">
        <f t="shared" si="2299"/>
        <v>4.1308068171742478E-2</v>
      </c>
      <c r="DI351" s="72">
        <f t="shared" si="2300"/>
        <v>6.0702084930684311E-2</v>
      </c>
      <c r="DJ351" s="73">
        <f>SUM(AV334:AV351,BB334:BB351,BI334:BI351)</f>
        <v>330.53638020519838</v>
      </c>
      <c r="DK351" s="73">
        <f>SUM(AV340:AV351,BB340:BB351,BI340:BI351)</f>
        <v>330.53638020519838</v>
      </c>
      <c r="DL351" s="190"/>
    </row>
    <row r="352" spans="22:116" x14ac:dyDescent="0.25">
      <c r="V352" s="63"/>
      <c r="W352" s="66">
        <v>18</v>
      </c>
      <c r="X352" s="66">
        <v>2022</v>
      </c>
      <c r="Y352" s="70">
        <f t="shared" si="2345"/>
        <v>0.25455090855673068</v>
      </c>
      <c r="Z352" s="70">
        <f t="shared" si="2346"/>
        <v>6.4499850078608451E-2</v>
      </c>
      <c r="AA352" s="70">
        <f t="shared" si="2347"/>
        <v>3.9118268432763954E-2</v>
      </c>
      <c r="AB352" s="70">
        <f t="shared" si="2348"/>
        <v>9.0710208405925634E-3</v>
      </c>
      <c r="AC352" s="70">
        <f t="shared" si="2349"/>
        <v>0.18556914332068541</v>
      </c>
      <c r="AD352" s="70">
        <f t="shared" si="2350"/>
        <v>9.5348753537974687E-2</v>
      </c>
      <c r="AE352" s="70">
        <f t="shared" si="2351"/>
        <v>3.3225173226078444E-2</v>
      </c>
      <c r="AF352" s="70">
        <f t="shared" si="2352"/>
        <v>2.4263437499190883E-3</v>
      </c>
      <c r="AG352" s="70">
        <f t="shared" si="2353"/>
        <v>2.8668531751787067E-2</v>
      </c>
      <c r="AH352" s="70">
        <f t="shared" si="2354"/>
        <v>9.2840050097176517E-3</v>
      </c>
      <c r="AI352" s="70">
        <f t="shared" si="2355"/>
        <v>7.0651352353037836E-2</v>
      </c>
      <c r="AJ352" s="70">
        <f t="shared" si="2356"/>
        <v>8.569708969366624E-2</v>
      </c>
      <c r="AK352" s="70">
        <f t="shared" si="2357"/>
        <v>3.0309750692456512E-2</v>
      </c>
      <c r="AL352" s="70">
        <f t="shared" si="2358"/>
        <v>5.4057491247627015E-3</v>
      </c>
      <c r="AM352" s="70">
        <f t="shared" si="2359"/>
        <v>0</v>
      </c>
      <c r="AN352" s="70">
        <f t="shared" si="2360"/>
        <v>5.9232001121558263E-3</v>
      </c>
      <c r="AO352" s="70">
        <f t="shared" si="2361"/>
        <v>4.1762871549142107E-2</v>
      </c>
      <c r="AP352" s="190"/>
      <c r="AQ352" s="66">
        <v>18</v>
      </c>
      <c r="AR352" s="66">
        <v>2022</v>
      </c>
      <c r="AS352" s="215">
        <f t="shared" si="2250"/>
        <v>2186.0933847215456</v>
      </c>
      <c r="AT352" s="215">
        <f t="shared" si="2251"/>
        <v>553.92729246909255</v>
      </c>
      <c r="AU352" s="215">
        <f t="shared" si="2252"/>
        <v>335.94925403131418</v>
      </c>
      <c r="AV352" s="215">
        <f t="shared" si="2253"/>
        <v>77.902289819842565</v>
      </c>
      <c r="AW352" s="215">
        <f t="shared" si="2254"/>
        <v>1593.6752256037794</v>
      </c>
      <c r="AX352" s="215">
        <f t="shared" si="2255"/>
        <v>818.85890933426822</v>
      </c>
      <c r="AY352" s="215">
        <f t="shared" si="2256"/>
        <v>285.33911667249077</v>
      </c>
      <c r="AZ352" s="215">
        <f t="shared" si="2257"/>
        <v>20.837537178055129</v>
      </c>
      <c r="BA352" s="215">
        <f t="shared" si="2258"/>
        <v>246.20649742561744</v>
      </c>
      <c r="BB352" s="215">
        <f t="shared" si="2259"/>
        <v>79.731406383655596</v>
      </c>
      <c r="BC352" s="215">
        <f t="shared" si="2260"/>
        <v>606.75664006198315</v>
      </c>
      <c r="BD352" s="215">
        <f t="shared" si="2261"/>
        <v>735.97003417279348</v>
      </c>
      <c r="BE352" s="215">
        <f t="shared" si="2262"/>
        <v>260.30135133684428</v>
      </c>
      <c r="BF352" s="215">
        <f t="shared" si="2263"/>
        <v>46.424789713427074</v>
      </c>
      <c r="BG352" s="215">
        <f t="shared" si="2264"/>
        <v>0</v>
      </c>
      <c r="BH352" s="215">
        <f t="shared" si="2265"/>
        <v>50.868679491198726</v>
      </c>
      <c r="BI352" s="215">
        <f t="shared" si="2266"/>
        <v>358.66121137889439</v>
      </c>
      <c r="BJ352" s="195"/>
      <c r="BK352" s="66">
        <v>18</v>
      </c>
      <c r="BL352" s="66">
        <v>2022</v>
      </c>
      <c r="BM352" s="215">
        <f t="shared" si="2309"/>
        <v>205.67509470161843</v>
      </c>
      <c r="BN352" s="219">
        <f t="shared" si="2310"/>
        <v>39.009058032370994</v>
      </c>
      <c r="BO352" s="219">
        <f t="shared" si="2311"/>
        <v>1.5223446916279959</v>
      </c>
      <c r="BP352" s="219">
        <f t="shared" si="2312"/>
        <v>0</v>
      </c>
      <c r="BQ352" s="219">
        <f t="shared" si="2313"/>
        <v>21.185182166464188</v>
      </c>
      <c r="BR352" s="220">
        <f t="shared" si="2314"/>
        <v>0</v>
      </c>
      <c r="BS352" s="219">
        <f t="shared" si="2315"/>
        <v>27.889554306043259</v>
      </c>
      <c r="BT352" s="219">
        <f t="shared" si="2316"/>
        <v>1.7939430186912875</v>
      </c>
      <c r="BU352" s="219">
        <f t="shared" si="2317"/>
        <v>0</v>
      </c>
      <c r="BV352" s="219">
        <f t="shared" si="2318"/>
        <v>0</v>
      </c>
      <c r="BW352" s="219">
        <f t="shared" si="2319"/>
        <v>0</v>
      </c>
      <c r="BX352" s="220">
        <f t="shared" si="2320"/>
        <v>0</v>
      </c>
      <c r="BY352" s="195"/>
      <c r="BZ352" s="66">
        <v>18</v>
      </c>
      <c r="CA352" s="66">
        <v>2022</v>
      </c>
      <c r="CB352" s="218">
        <f t="shared" si="2321"/>
        <v>62.727530788969702</v>
      </c>
      <c r="CC352" s="218">
        <f t="shared" si="2322"/>
        <v>11.627851766722399</v>
      </c>
      <c r="CD352" s="73">
        <f t="shared" si="2323"/>
        <v>3.5469072641504593</v>
      </c>
      <c r="CE352" s="73">
        <f t="shared" si="2324"/>
        <v>53.097221848168303</v>
      </c>
      <c r="CF352" s="73">
        <f t="shared" si="2325"/>
        <v>22.863346809083612</v>
      </c>
      <c r="CG352" s="73">
        <f t="shared" si="2326"/>
        <v>0.53517370132995767</v>
      </c>
      <c r="CH352" s="73">
        <f t="shared" si="2327"/>
        <v>0</v>
      </c>
      <c r="CI352" s="73">
        <f t="shared" si="2328"/>
        <v>3.2356640250737172</v>
      </c>
      <c r="CJ352" s="73">
        <f t="shared" si="2329"/>
        <v>0</v>
      </c>
      <c r="CK352" s="73">
        <f t="shared" si="2330"/>
        <v>0</v>
      </c>
      <c r="CL352" s="73">
        <f t="shared" si="2331"/>
        <v>0</v>
      </c>
      <c r="CM352" s="73">
        <f t="shared" si="2332"/>
        <v>211.53101958806502</v>
      </c>
      <c r="CN352" s="73">
        <f t="shared" si="2333"/>
        <v>138.76712360248183</v>
      </c>
      <c r="CO352" s="73">
        <f t="shared" si="2334"/>
        <v>8.3630681883476132</v>
      </c>
      <c r="CP352" s="73">
        <f t="shared" si="2335"/>
        <v>0</v>
      </c>
      <c r="CQ352" s="73">
        <f t="shared" si="2336"/>
        <v>0</v>
      </c>
      <c r="CR352" s="73">
        <f t="shared" si="2337"/>
        <v>0</v>
      </c>
      <c r="CS352" s="73">
        <f t="shared" si="2338"/>
        <v>0</v>
      </c>
      <c r="CT352" s="73">
        <f t="shared" si="2339"/>
        <v>0</v>
      </c>
      <c r="CU352" s="73">
        <f t="shared" si="2340"/>
        <v>0</v>
      </c>
      <c r="CV352" s="73">
        <f t="shared" si="2341"/>
        <v>0</v>
      </c>
      <c r="CW352" s="73">
        <f t="shared" si="2342"/>
        <v>0</v>
      </c>
      <c r="CX352" s="73">
        <f t="shared" si="2343"/>
        <v>0</v>
      </c>
      <c r="CY352" s="73">
        <f t="shared" si="2344"/>
        <v>0</v>
      </c>
      <c r="CZ352" s="190"/>
      <c r="DA352" s="66">
        <v>2022</v>
      </c>
      <c r="DB352" s="218">
        <f t="shared" si="2267"/>
        <v>2108.7562359761541</v>
      </c>
      <c r="DC352" s="218">
        <f t="shared" si="2268"/>
        <v>7741.2087122124094</v>
      </c>
      <c r="DD352" s="73">
        <f t="shared" si="2269"/>
        <v>612.9027949008173</v>
      </c>
      <c r="DE352" s="73">
        <f t="shared" si="2270"/>
        <v>306.72614105027134</v>
      </c>
      <c r="DF352" s="73">
        <f t="shared" si="2271"/>
        <v>1393.5953537259752</v>
      </c>
      <c r="DG352" s="73">
        <f t="shared" si="2272"/>
        <v>4052.3359860896398</v>
      </c>
      <c r="DH352" s="72">
        <f t="shared" si="2299"/>
        <v>0.13137651118699961</v>
      </c>
      <c r="DI352" s="72">
        <f t="shared" si="2300"/>
        <v>0.18039302684380573</v>
      </c>
      <c r="DJ352" s="73">
        <f>SUM(AV334:AV352,BB334:BB352,BI334:BI352)</f>
        <v>846.83128778759101</v>
      </c>
      <c r="DK352" s="73">
        <f>SUM(AV340:AV352,BB340:BB352,BI340:BI352)</f>
        <v>846.83128778759101</v>
      </c>
      <c r="DL352" s="190"/>
    </row>
    <row r="353" spans="22:116" x14ac:dyDescent="0.25">
      <c r="V353" s="63"/>
      <c r="W353" s="66">
        <v>19</v>
      </c>
      <c r="X353" s="66">
        <v>2023</v>
      </c>
      <c r="Y353" s="70">
        <f t="shared" si="2345"/>
        <v>0.16132420563685768</v>
      </c>
      <c r="Z353" s="70">
        <f t="shared" si="2346"/>
        <v>4.71038184743756E-2</v>
      </c>
      <c r="AA353" s="70">
        <f t="shared" si="2347"/>
        <v>4.5235269776561449E-2</v>
      </c>
      <c r="AB353" s="70">
        <f t="shared" si="2348"/>
        <v>6.4409540029590553E-3</v>
      </c>
      <c r="AC353" s="70">
        <f t="shared" si="2349"/>
        <v>0.13900077623788976</v>
      </c>
      <c r="AD353" s="70">
        <f t="shared" si="2350"/>
        <v>7.6174180760404872E-2</v>
      </c>
      <c r="AE353" s="70">
        <f t="shared" si="2351"/>
        <v>5.6759597073604617E-2</v>
      </c>
      <c r="AF353" s="70">
        <f t="shared" si="2352"/>
        <v>7.5893612305730114E-3</v>
      </c>
      <c r="AG353" s="70">
        <f t="shared" si="2353"/>
        <v>3.7159545159019869E-2</v>
      </c>
      <c r="AH353" s="70">
        <f t="shared" si="2354"/>
        <v>8.6501493740506214E-3</v>
      </c>
      <c r="AI353" s="70">
        <f t="shared" si="2355"/>
        <v>6.0549747625561666E-2</v>
      </c>
      <c r="AJ353" s="70">
        <f t="shared" si="2356"/>
        <v>9.0594426191087832E-2</v>
      </c>
      <c r="AK353" s="70">
        <f t="shared" si="2357"/>
        <v>5.0485938529922988E-2</v>
      </c>
      <c r="AL353" s="70">
        <f t="shared" si="2358"/>
        <v>2.9911611370230826E-2</v>
      </c>
      <c r="AM353" s="70">
        <f t="shared" si="2359"/>
        <v>1.5413424508965083E-3</v>
      </c>
      <c r="AN353" s="70">
        <f t="shared" si="2360"/>
        <v>1.3809606340603651E-2</v>
      </c>
      <c r="AO353" s="70">
        <f t="shared" si="2361"/>
        <v>6.9063584396026889E-2</v>
      </c>
      <c r="AP353" s="190"/>
      <c r="AQ353" s="66">
        <v>19</v>
      </c>
      <c r="AR353" s="66">
        <v>2023</v>
      </c>
      <c r="AS353" s="215">
        <f t="shared" si="2250"/>
        <v>1385.4587309775593</v>
      </c>
      <c r="AT353" s="215">
        <f t="shared" si="2251"/>
        <v>404.52947721067665</v>
      </c>
      <c r="AU353" s="215">
        <f t="shared" si="2252"/>
        <v>388.48230625190081</v>
      </c>
      <c r="AV353" s="215">
        <f t="shared" si="2253"/>
        <v>55.315170615572491</v>
      </c>
      <c r="AW353" s="215">
        <f t="shared" si="2254"/>
        <v>1193.7442263620469</v>
      </c>
      <c r="AX353" s="215">
        <f t="shared" si="2255"/>
        <v>654.1869113375875</v>
      </c>
      <c r="AY353" s="215">
        <f t="shared" si="2256"/>
        <v>487.45369005199944</v>
      </c>
      <c r="AZ353" s="215">
        <f t="shared" si="2257"/>
        <v>65.177737822610254</v>
      </c>
      <c r="BA353" s="215">
        <f t="shared" si="2258"/>
        <v>319.12766020746903</v>
      </c>
      <c r="BB353" s="215">
        <f t="shared" si="2259"/>
        <v>74.2878288303217</v>
      </c>
      <c r="BC353" s="215">
        <f t="shared" si="2260"/>
        <v>520.00365459822865</v>
      </c>
      <c r="BD353" s="215">
        <f t="shared" si="2261"/>
        <v>778.02855590611</v>
      </c>
      <c r="BE353" s="215">
        <f t="shared" si="2262"/>
        <v>433.57525953251985</v>
      </c>
      <c r="BF353" s="215">
        <f t="shared" si="2263"/>
        <v>256.88211491199718</v>
      </c>
      <c r="BG353" s="215">
        <f t="shared" si="2264"/>
        <v>13.23711062199725</v>
      </c>
      <c r="BH353" s="215">
        <f t="shared" si="2265"/>
        <v>118.59745163735779</v>
      </c>
      <c r="BI353" s="215">
        <f t="shared" si="2266"/>
        <v>593.1208253364548</v>
      </c>
      <c r="BJ353" s="195"/>
      <c r="BK353" s="66">
        <v>19</v>
      </c>
      <c r="BL353" s="66">
        <v>2023</v>
      </c>
      <c r="BM353" s="215">
        <f t="shared" si="2309"/>
        <v>231.38443611982507</v>
      </c>
      <c r="BN353" s="219">
        <f t="shared" si="2310"/>
        <v>82.732166789984859</v>
      </c>
      <c r="BO353" s="219">
        <f t="shared" si="2311"/>
        <v>4.711298382058585</v>
      </c>
      <c r="BP353" s="219">
        <f t="shared" si="2312"/>
        <v>0.29975891560052059</v>
      </c>
      <c r="BQ353" s="219">
        <f t="shared" si="2313"/>
        <v>46.352726546685659</v>
      </c>
      <c r="BR353" s="220">
        <f t="shared" si="2314"/>
        <v>9.3771174340924315</v>
      </c>
      <c r="BS353" s="219">
        <f t="shared" si="2315"/>
        <v>53.487175587849435</v>
      </c>
      <c r="BT353" s="219">
        <f t="shared" si="2316"/>
        <v>8.5132073383481472</v>
      </c>
      <c r="BU353" s="219">
        <f t="shared" si="2317"/>
        <v>0.50127882785052602</v>
      </c>
      <c r="BV353" s="219">
        <f t="shared" si="2318"/>
        <v>0.36594590253158416</v>
      </c>
      <c r="BW353" s="219">
        <f t="shared" si="2319"/>
        <v>0</v>
      </c>
      <c r="BX353" s="220">
        <f t="shared" si="2320"/>
        <v>0</v>
      </c>
      <c r="BY353" s="195"/>
      <c r="BZ353" s="66">
        <v>19</v>
      </c>
      <c r="CA353" s="66">
        <v>2023</v>
      </c>
      <c r="CB353" s="218">
        <f t="shared" si="2321"/>
        <v>39.754205292246226</v>
      </c>
      <c r="CC353" s="218">
        <f t="shared" si="2322"/>
        <v>9.4517132182342465</v>
      </c>
      <c r="CD353" s="73">
        <f t="shared" si="2323"/>
        <v>6.1092521050920201</v>
      </c>
      <c r="CE353" s="73">
        <f t="shared" si="2324"/>
        <v>44.445271071126676</v>
      </c>
      <c r="CF353" s="73">
        <f t="shared" si="2325"/>
        <v>21.427831500311104</v>
      </c>
      <c r="CG353" s="73">
        <f t="shared" si="2326"/>
        <v>1.443008204700138</v>
      </c>
      <c r="CH353" s="73">
        <f t="shared" si="2327"/>
        <v>0.10537895211959421</v>
      </c>
      <c r="CI353" s="73">
        <f t="shared" si="2328"/>
        <v>5.7359775628875811</v>
      </c>
      <c r="CJ353" s="73">
        <f t="shared" si="2329"/>
        <v>1.0879055723672841</v>
      </c>
      <c r="CK353" s="73">
        <f t="shared" si="2330"/>
        <v>4.2455966809337199E-2</v>
      </c>
      <c r="CL353" s="73">
        <f t="shared" si="2331"/>
        <v>0</v>
      </c>
      <c r="CM353" s="73">
        <f t="shared" si="2332"/>
        <v>249.08254330856218</v>
      </c>
      <c r="CN353" s="73">
        <f t="shared" si="2333"/>
        <v>283.48644109053123</v>
      </c>
      <c r="CO353" s="73">
        <f t="shared" si="2334"/>
        <v>38.473818707344357</v>
      </c>
      <c r="CP353" s="73">
        <f t="shared" si="2335"/>
        <v>1.1956795808759493</v>
      </c>
      <c r="CQ353" s="73">
        <f t="shared" si="2336"/>
        <v>0</v>
      </c>
      <c r="CR353" s="73">
        <f t="shared" si="2337"/>
        <v>8.696829512964273</v>
      </c>
      <c r="CS353" s="73">
        <f t="shared" si="2338"/>
        <v>0</v>
      </c>
      <c r="CT353" s="73">
        <f t="shared" si="2339"/>
        <v>11.4490730873285</v>
      </c>
      <c r="CU353" s="73">
        <f t="shared" si="2340"/>
        <v>0.7364400488482804</v>
      </c>
      <c r="CV353" s="73">
        <f t="shared" si="2341"/>
        <v>0</v>
      </c>
      <c r="CW353" s="73">
        <f t="shared" si="2342"/>
        <v>0</v>
      </c>
      <c r="CX353" s="73">
        <f t="shared" si="2343"/>
        <v>0</v>
      </c>
      <c r="CY353" s="73">
        <f t="shared" si="2344"/>
        <v>0</v>
      </c>
      <c r="CZ353" s="190"/>
      <c r="DA353" s="66">
        <v>2023</v>
      </c>
      <c r="DB353" s="218">
        <f t="shared" si="2267"/>
        <v>1836.744944454374</v>
      </c>
      <c r="DC353" s="218">
        <f t="shared" si="2268"/>
        <v>7018.4848874300624</v>
      </c>
      <c r="DD353" s="73">
        <f t="shared" si="2269"/>
        <v>1256.325912941124</v>
      </c>
      <c r="DE353" s="73">
        <f t="shared" si="2270"/>
        <v>703.69448506651418</v>
      </c>
      <c r="DF353" s="73">
        <f t="shared" si="2271"/>
        <v>1416.6296621416966</v>
      </c>
      <c r="DG353" s="73">
        <f t="shared" si="2272"/>
        <v>3583.6884600488002</v>
      </c>
      <c r="DH353" s="72">
        <f t="shared" si="2299"/>
        <v>0.25957069878803424</v>
      </c>
      <c r="DI353" s="72">
        <f t="shared" si="2300"/>
        <v>0.33188061645812733</v>
      </c>
      <c r="DJ353" s="73">
        <f>SUM(AV334:AV353,BB334:BB353,BI334:BI353)</f>
        <v>1569.5551125699399</v>
      </c>
      <c r="DK353" s="73">
        <f>SUM(AV340:AV353,BB340:BB353,BI340:BI353)</f>
        <v>1569.5551125699399</v>
      </c>
      <c r="DL353" s="190"/>
    </row>
    <row r="354" spans="22:116" x14ac:dyDescent="0.25">
      <c r="V354" s="13"/>
      <c r="W354" s="197" t="s">
        <v>591</v>
      </c>
      <c r="X354" s="190"/>
      <c r="Y354" s="190"/>
      <c r="Z354" s="190"/>
      <c r="AA354" s="190"/>
      <c r="AB354" s="190"/>
      <c r="AC354" s="190"/>
      <c r="AD354" s="190"/>
      <c r="AE354" s="190"/>
      <c r="AF354" s="190"/>
      <c r="AG354" s="190"/>
      <c r="AH354" s="190"/>
      <c r="AI354" s="190"/>
      <c r="AJ354" s="190"/>
      <c r="AK354" s="190"/>
      <c r="AL354" s="190"/>
      <c r="AM354" s="190"/>
      <c r="AN354" s="190"/>
      <c r="AO354" s="190"/>
      <c r="AP354" s="190"/>
      <c r="AQ354" s="193" t="s">
        <v>90</v>
      </c>
      <c r="AR354" s="25"/>
      <c r="AS354" s="213"/>
      <c r="AT354" s="213"/>
      <c r="AU354" s="213"/>
      <c r="AV354" s="213"/>
      <c r="AW354" s="213"/>
      <c r="AX354" s="213"/>
      <c r="AY354" s="213"/>
      <c r="AZ354" s="213"/>
      <c r="BA354" s="213"/>
      <c r="BB354" s="213"/>
      <c r="BC354" s="213"/>
      <c r="BD354" s="213"/>
      <c r="BE354" s="213"/>
      <c r="BF354" s="213"/>
      <c r="BG354" s="213"/>
      <c r="BH354" s="213"/>
      <c r="BI354" s="213"/>
      <c r="BJ354" s="25"/>
      <c r="BK354" s="25"/>
      <c r="BL354" s="25"/>
      <c r="BM354" s="348" t="s">
        <v>570</v>
      </c>
      <c r="BN354" s="349"/>
      <c r="BO354" s="349"/>
      <c r="BP354" s="349"/>
      <c r="BQ354" s="350" t="s">
        <v>570</v>
      </c>
      <c r="BR354" s="350"/>
      <c r="BS354" s="350"/>
      <c r="BT354" s="350"/>
      <c r="BU354" s="350"/>
      <c r="BV354" s="350"/>
      <c r="BW354" s="350"/>
      <c r="BX354" s="351"/>
      <c r="BY354" s="199"/>
      <c r="BZ354" s="25"/>
      <c r="CA354" s="25"/>
      <c r="CB354" s="350" t="s">
        <v>302</v>
      </c>
      <c r="CC354" s="350"/>
      <c r="CD354" s="350"/>
      <c r="CE354" s="350" t="s">
        <v>302</v>
      </c>
      <c r="CF354" s="350"/>
      <c r="CG354" s="350"/>
      <c r="CH354" s="350"/>
      <c r="CI354" s="350"/>
      <c r="CJ354" s="350"/>
      <c r="CK354" s="350"/>
      <c r="CL354" s="350"/>
      <c r="CM354" s="350" t="s">
        <v>302</v>
      </c>
      <c r="CN354" s="350"/>
      <c r="CO354" s="350"/>
      <c r="CP354" s="350"/>
      <c r="CQ354" s="350"/>
      <c r="CR354" s="350"/>
      <c r="CS354" s="350"/>
      <c r="CT354" s="350"/>
      <c r="CU354" s="350"/>
      <c r="CV354" s="350"/>
      <c r="CW354" s="350"/>
      <c r="CX354" s="350"/>
      <c r="CY354" s="350"/>
      <c r="CZ354" s="190"/>
      <c r="DA354" s="190" t="s">
        <v>100</v>
      </c>
      <c r="DB354" s="217"/>
      <c r="DC354" s="217"/>
      <c r="DD354" s="217"/>
      <c r="DE354" s="217"/>
      <c r="DF354" s="217"/>
      <c r="DG354" s="217"/>
      <c r="DH354" s="222"/>
      <c r="DI354" s="222"/>
      <c r="DJ354" s="217"/>
      <c r="DK354" s="217"/>
      <c r="DL354" s="190"/>
    </row>
    <row r="355" spans="22:116" x14ac:dyDescent="0.25">
      <c r="V355" s="13"/>
      <c r="W355" s="66" t="s">
        <v>88</v>
      </c>
      <c r="X355" s="66" t="s">
        <v>89</v>
      </c>
      <c r="Y355" s="61" t="s">
        <v>320</v>
      </c>
      <c r="Z355" s="61" t="s">
        <v>319</v>
      </c>
      <c r="AA355" s="61" t="s">
        <v>318</v>
      </c>
      <c r="AB355" s="61" t="s">
        <v>317</v>
      </c>
      <c r="AC355" s="61" t="s">
        <v>321</v>
      </c>
      <c r="AD355" s="61" t="s">
        <v>322</v>
      </c>
      <c r="AE355" s="61" t="s">
        <v>323</v>
      </c>
      <c r="AF355" s="61" t="s">
        <v>324</v>
      </c>
      <c r="AG355" s="61" t="s">
        <v>325</v>
      </c>
      <c r="AH355" s="61" t="s">
        <v>326</v>
      </c>
      <c r="AI355" s="61" t="s">
        <v>327</v>
      </c>
      <c r="AJ355" s="61" t="s">
        <v>328</v>
      </c>
      <c r="AK355" s="61" t="s">
        <v>329</v>
      </c>
      <c r="AL355" s="61" t="s">
        <v>330</v>
      </c>
      <c r="AM355" s="61" t="s">
        <v>331</v>
      </c>
      <c r="AN355" s="61" t="s">
        <v>332</v>
      </c>
      <c r="AO355" s="61" t="s">
        <v>333</v>
      </c>
      <c r="AP355" s="190"/>
      <c r="AQ355" s="66" t="s">
        <v>88</v>
      </c>
      <c r="AR355" s="66" t="s">
        <v>89</v>
      </c>
      <c r="AS355" s="214" t="s">
        <v>320</v>
      </c>
      <c r="AT355" s="214" t="s">
        <v>319</v>
      </c>
      <c r="AU355" s="214" t="s">
        <v>318</v>
      </c>
      <c r="AV355" s="214" t="s">
        <v>317</v>
      </c>
      <c r="AW355" s="214" t="s">
        <v>321</v>
      </c>
      <c r="AX355" s="214" t="s">
        <v>322</v>
      </c>
      <c r="AY355" s="214" t="s">
        <v>323</v>
      </c>
      <c r="AZ355" s="214" t="s">
        <v>324</v>
      </c>
      <c r="BA355" s="214" t="s">
        <v>325</v>
      </c>
      <c r="BB355" s="214" t="s">
        <v>326</v>
      </c>
      <c r="BC355" s="214" t="s">
        <v>327</v>
      </c>
      <c r="BD355" s="214" t="s">
        <v>328</v>
      </c>
      <c r="BE355" s="214" t="s">
        <v>329</v>
      </c>
      <c r="BF355" s="214" t="s">
        <v>330</v>
      </c>
      <c r="BG355" s="214" t="s">
        <v>331</v>
      </c>
      <c r="BH355" s="214" t="s">
        <v>332</v>
      </c>
      <c r="BI355" s="214" t="s">
        <v>333</v>
      </c>
      <c r="BJ355" s="182"/>
      <c r="BK355" s="66" t="s">
        <v>88</v>
      </c>
      <c r="BL355" s="66" t="s">
        <v>89</v>
      </c>
      <c r="BM355" s="122" t="s">
        <v>627</v>
      </c>
      <c r="BN355" s="122" t="s">
        <v>715</v>
      </c>
      <c r="BO355" s="122" t="s">
        <v>628</v>
      </c>
      <c r="BP355" s="122" t="s">
        <v>629</v>
      </c>
      <c r="BQ355" s="122" t="s">
        <v>627</v>
      </c>
      <c r="BR355" s="122" t="s">
        <v>716</v>
      </c>
      <c r="BS355" s="122" t="s">
        <v>717</v>
      </c>
      <c r="BT355" s="122" t="s">
        <v>721</v>
      </c>
      <c r="BU355" s="122" t="s">
        <v>720</v>
      </c>
      <c r="BV355" s="122" t="s">
        <v>719</v>
      </c>
      <c r="BW355" s="122" t="s">
        <v>629</v>
      </c>
      <c r="BX355" s="122" t="s">
        <v>722</v>
      </c>
      <c r="BY355" s="182"/>
      <c r="BZ355" s="192" t="s">
        <v>88</v>
      </c>
      <c r="CA355" s="66" t="s">
        <v>89</v>
      </c>
      <c r="CB355" s="218" t="s">
        <v>124</v>
      </c>
      <c r="CC355" s="218" t="s">
        <v>630</v>
      </c>
      <c r="CD355" s="218" t="s">
        <v>570</v>
      </c>
      <c r="CE355" s="218" t="s">
        <v>124</v>
      </c>
      <c r="CF355" s="218" t="s">
        <v>630</v>
      </c>
      <c r="CG355" s="218" t="s">
        <v>631</v>
      </c>
      <c r="CH355" s="218" t="s">
        <v>632</v>
      </c>
      <c r="CI355" s="227" t="s">
        <v>624</v>
      </c>
      <c r="CJ355" s="227" t="s">
        <v>725</v>
      </c>
      <c r="CK355" s="227" t="s">
        <v>625</v>
      </c>
      <c r="CL355" s="227" t="s">
        <v>626</v>
      </c>
      <c r="CM355" s="218" t="s">
        <v>124</v>
      </c>
      <c r="CN355" s="218" t="s">
        <v>633</v>
      </c>
      <c r="CO355" s="218" t="s">
        <v>634</v>
      </c>
      <c r="CP355" s="218" t="s">
        <v>635</v>
      </c>
      <c r="CQ355" s="218" t="s">
        <v>632</v>
      </c>
      <c r="CR355" s="122" t="s">
        <v>624</v>
      </c>
      <c r="CS355" s="122" t="s">
        <v>726</v>
      </c>
      <c r="CT355" s="122" t="s">
        <v>727</v>
      </c>
      <c r="CU355" s="122" t="s">
        <v>637</v>
      </c>
      <c r="CV355" s="122" t="s">
        <v>638</v>
      </c>
      <c r="CW355" s="122" t="s">
        <v>728</v>
      </c>
      <c r="CX355" s="122" t="s">
        <v>626</v>
      </c>
      <c r="CY355" s="122" t="s">
        <v>729</v>
      </c>
      <c r="CZ355" s="190"/>
      <c r="DA355" s="67" t="s">
        <v>89</v>
      </c>
      <c r="DB355" s="219" t="s">
        <v>91</v>
      </c>
      <c r="DC355" s="219" t="s">
        <v>99</v>
      </c>
      <c r="DD355" s="215" t="s">
        <v>92</v>
      </c>
      <c r="DE355" s="215" t="s">
        <v>97</v>
      </c>
      <c r="DF355" s="215" t="s">
        <v>93</v>
      </c>
      <c r="DG355" s="215" t="s">
        <v>94</v>
      </c>
      <c r="DH355" s="223" t="s">
        <v>96</v>
      </c>
      <c r="DI355" s="223" t="s">
        <v>98</v>
      </c>
      <c r="DJ355" s="219" t="s">
        <v>95</v>
      </c>
      <c r="DK355" s="219" t="s">
        <v>102</v>
      </c>
      <c r="DL355" s="190"/>
    </row>
    <row r="356" spans="22:116" x14ac:dyDescent="0.25">
      <c r="V356" s="13"/>
      <c r="W356" s="66">
        <v>0</v>
      </c>
      <c r="X356" s="66">
        <v>2004</v>
      </c>
      <c r="Y356" s="69">
        <v>0</v>
      </c>
      <c r="Z356" s="69">
        <v>0</v>
      </c>
      <c r="AA356" s="69">
        <v>0</v>
      </c>
      <c r="AB356" s="69">
        <v>0</v>
      </c>
      <c r="AC356" s="69">
        <v>0</v>
      </c>
      <c r="AD356" s="69">
        <v>0</v>
      </c>
      <c r="AE356" s="69">
        <v>0</v>
      </c>
      <c r="AF356" s="69">
        <v>0</v>
      </c>
      <c r="AG356" s="69">
        <v>0</v>
      </c>
      <c r="AH356" s="69">
        <v>0</v>
      </c>
      <c r="AI356" s="69">
        <v>0</v>
      </c>
      <c r="AJ356" s="69">
        <v>0</v>
      </c>
      <c r="AK356" s="69">
        <v>0</v>
      </c>
      <c r="AL356" s="69">
        <v>0</v>
      </c>
      <c r="AM356" s="69">
        <v>0</v>
      </c>
      <c r="AN356" s="69">
        <v>0</v>
      </c>
      <c r="AO356" s="69">
        <v>0</v>
      </c>
      <c r="AP356" s="190"/>
      <c r="AQ356" s="66">
        <v>0</v>
      </c>
      <c r="AR356" s="66">
        <v>2004</v>
      </c>
      <c r="AS356" s="215">
        <f t="shared" ref="AS356:AS375" si="2362">Inc_2020*Y356</f>
        <v>0</v>
      </c>
      <c r="AT356" s="215">
        <f t="shared" ref="AT356:AT375" si="2363">Inc_2020*Z356</f>
        <v>0</v>
      </c>
      <c r="AU356" s="215">
        <f t="shared" ref="AU356:AU375" si="2364">Inc_2020*AA356</f>
        <v>0</v>
      </c>
      <c r="AV356" s="215">
        <f t="shared" ref="AV356:AV375" si="2365">Inc_2020*AB356</f>
        <v>0</v>
      </c>
      <c r="AW356" s="215">
        <f t="shared" ref="AW356:AW375" si="2366">Inc_2020*AC356</f>
        <v>0</v>
      </c>
      <c r="AX356" s="215">
        <f t="shared" ref="AX356:AX375" si="2367">Inc_2020*AD356</f>
        <v>0</v>
      </c>
      <c r="AY356" s="215">
        <f t="shared" ref="AY356:AY375" si="2368">Inc_2020*AE356</f>
        <v>0</v>
      </c>
      <c r="AZ356" s="215">
        <f t="shared" ref="AZ356:AZ375" si="2369">Inc_2020*AF356</f>
        <v>0</v>
      </c>
      <c r="BA356" s="215">
        <f t="shared" ref="BA356:BA375" si="2370">Inc_2020*AG356</f>
        <v>0</v>
      </c>
      <c r="BB356" s="215">
        <f t="shared" ref="BB356:BB375" si="2371">Inc_2020*AH356</f>
        <v>0</v>
      </c>
      <c r="BC356" s="215">
        <f t="shared" ref="BC356:BC375" si="2372">Inc_2020*AI356</f>
        <v>0</v>
      </c>
      <c r="BD356" s="215">
        <f t="shared" ref="BD356:BD375" si="2373">Inc_2020*AJ356</f>
        <v>0</v>
      </c>
      <c r="BE356" s="215">
        <f t="shared" ref="BE356:BE375" si="2374">Inc_2020*AK356</f>
        <v>0</v>
      </c>
      <c r="BF356" s="215">
        <f t="shared" ref="BF356:BF375" si="2375">Inc_2020*AL356</f>
        <v>0</v>
      </c>
      <c r="BG356" s="215">
        <f t="shared" ref="BG356:BG375" si="2376">Inc_2020*AM356</f>
        <v>0</v>
      </c>
      <c r="BH356" s="215">
        <f t="shared" ref="BH356:BH375" si="2377">Inc_2020*AN356</f>
        <v>0</v>
      </c>
      <c r="BI356" s="215">
        <f t="shared" ref="BI356:BI375" si="2378">Inc_2020*AO356</f>
        <v>0</v>
      </c>
      <c r="BJ356" s="195"/>
      <c r="BK356" s="66">
        <v>0</v>
      </c>
      <c r="BL356" s="66">
        <v>2004</v>
      </c>
      <c r="BM356" s="215">
        <f>BA356</f>
        <v>0</v>
      </c>
      <c r="BN356" s="219">
        <v>0</v>
      </c>
      <c r="BO356" s="219">
        <v>0</v>
      </c>
      <c r="BP356" s="219">
        <v>0</v>
      </c>
      <c r="BQ356" s="219">
        <f>BH356</f>
        <v>0</v>
      </c>
      <c r="BR356" s="219">
        <v>0</v>
      </c>
      <c r="BS356" s="219">
        <v>0</v>
      </c>
      <c r="BT356" s="219">
        <v>0</v>
      </c>
      <c r="BU356" s="219">
        <v>0</v>
      </c>
      <c r="BV356" s="219">
        <v>0</v>
      </c>
      <c r="BW356" s="219">
        <v>0</v>
      </c>
      <c r="BX356" s="219">
        <v>0</v>
      </c>
      <c r="BY356" s="195"/>
      <c r="BZ356" s="66">
        <v>0</v>
      </c>
      <c r="CA356" s="66">
        <v>2004</v>
      </c>
      <c r="CB356" s="218">
        <v>0</v>
      </c>
      <c r="CC356" s="218">
        <v>0</v>
      </c>
      <c r="CD356" s="218">
        <v>0</v>
      </c>
      <c r="CE356" s="218">
        <v>0</v>
      </c>
      <c r="CF356" s="218">
        <v>0</v>
      </c>
      <c r="CG356" s="218">
        <v>0</v>
      </c>
      <c r="CH356" s="218">
        <v>0</v>
      </c>
      <c r="CI356" s="218">
        <v>0</v>
      </c>
      <c r="CJ356" s="218">
        <v>0</v>
      </c>
      <c r="CK356" s="218">
        <v>0</v>
      </c>
      <c r="CL356" s="218">
        <v>0</v>
      </c>
      <c r="CM356" s="218">
        <v>0</v>
      </c>
      <c r="CN356" s="218">
        <v>0</v>
      </c>
      <c r="CO356" s="218">
        <v>0</v>
      </c>
      <c r="CP356" s="218">
        <v>0</v>
      </c>
      <c r="CQ356" s="218">
        <v>0</v>
      </c>
      <c r="CR356" s="218">
        <v>0</v>
      </c>
      <c r="CS356" s="218">
        <v>0</v>
      </c>
      <c r="CT356" s="218">
        <v>0</v>
      </c>
      <c r="CU356" s="218">
        <v>0</v>
      </c>
      <c r="CV356" s="218">
        <v>0</v>
      </c>
      <c r="CW356" s="218">
        <v>0</v>
      </c>
      <c r="CX356" s="218">
        <v>0</v>
      </c>
      <c r="CY356" s="218">
        <v>0</v>
      </c>
      <c r="CZ356" s="190"/>
      <c r="DA356" s="67">
        <v>2004</v>
      </c>
      <c r="DB356" s="218">
        <f t="shared" ref="DB356:DB375" si="2379">SUM(AT356,AX356,BD356)</f>
        <v>0</v>
      </c>
      <c r="DC356" s="218">
        <f t="shared" ref="DC356:DC375" si="2380">SUM(AS356:AU356,AW356:BA356,BC356:BH356)</f>
        <v>0</v>
      </c>
      <c r="DD356" s="73">
        <f t="shared" ref="DD356:DD375" si="2381">SUM(AY356:AZ356,BE356:BG356)</f>
        <v>0</v>
      </c>
      <c r="DE356" s="73">
        <f t="shared" ref="DE356:DE375" si="2382">SUM(BE356:BG356)</f>
        <v>0</v>
      </c>
      <c r="DF356" s="73">
        <f t="shared" ref="DF356:DF375" si="2383">SUM(BC356,BD356,BH356)</f>
        <v>0</v>
      </c>
      <c r="DG356" s="73">
        <f t="shared" ref="DG356:DG375" si="2384">SUM(BC356,BD356,BH356,AW356,AX356,BA356)</f>
        <v>0</v>
      </c>
      <c r="DH356" s="72" t="e">
        <f>DD356/(DD356+DG356)</f>
        <v>#DIV/0!</v>
      </c>
      <c r="DI356" s="72" t="e">
        <f>DE356/(DE356+DF356)</f>
        <v>#DIV/0!</v>
      </c>
      <c r="DJ356" s="73">
        <f>SUM(AV356,BB356,BI356)</f>
        <v>0</v>
      </c>
      <c r="DK356" s="73">
        <v>0</v>
      </c>
      <c r="DL356" s="190"/>
    </row>
    <row r="357" spans="22:116" x14ac:dyDescent="0.25">
      <c r="V357" s="13"/>
      <c r="W357" s="66">
        <v>1</v>
      </c>
      <c r="X357" s="66">
        <v>2005</v>
      </c>
      <c r="Y357" s="69">
        <v>0</v>
      </c>
      <c r="Z357" s="69">
        <v>0</v>
      </c>
      <c r="AA357" s="69">
        <v>0</v>
      </c>
      <c r="AB357" s="69">
        <v>0</v>
      </c>
      <c r="AC357" s="69">
        <v>0</v>
      </c>
      <c r="AD357" s="69">
        <v>0</v>
      </c>
      <c r="AE357" s="69">
        <v>0</v>
      </c>
      <c r="AF357" s="69">
        <v>0</v>
      </c>
      <c r="AG357" s="69">
        <v>0</v>
      </c>
      <c r="AH357" s="69">
        <v>0</v>
      </c>
      <c r="AI357" s="69">
        <v>0</v>
      </c>
      <c r="AJ357" s="69">
        <v>0</v>
      </c>
      <c r="AK357" s="69">
        <v>0</v>
      </c>
      <c r="AL357" s="69">
        <v>0</v>
      </c>
      <c r="AM357" s="69">
        <v>0</v>
      </c>
      <c r="AN357" s="69">
        <v>0</v>
      </c>
      <c r="AO357" s="69">
        <v>0</v>
      </c>
      <c r="AP357" s="190"/>
      <c r="AQ357" s="66">
        <v>1</v>
      </c>
      <c r="AR357" s="66">
        <v>2005</v>
      </c>
      <c r="AS357" s="215">
        <f t="shared" si="2362"/>
        <v>0</v>
      </c>
      <c r="AT357" s="215">
        <f t="shared" si="2363"/>
        <v>0</v>
      </c>
      <c r="AU357" s="215">
        <f t="shared" si="2364"/>
        <v>0</v>
      </c>
      <c r="AV357" s="215">
        <f t="shared" si="2365"/>
        <v>0</v>
      </c>
      <c r="AW357" s="215">
        <f t="shared" si="2366"/>
        <v>0</v>
      </c>
      <c r="AX357" s="215">
        <f t="shared" si="2367"/>
        <v>0</v>
      </c>
      <c r="AY357" s="215">
        <f t="shared" si="2368"/>
        <v>0</v>
      </c>
      <c r="AZ357" s="215">
        <f t="shared" si="2369"/>
        <v>0</v>
      </c>
      <c r="BA357" s="215">
        <f t="shared" si="2370"/>
        <v>0</v>
      </c>
      <c r="BB357" s="215">
        <f t="shared" si="2371"/>
        <v>0</v>
      </c>
      <c r="BC357" s="215">
        <f t="shared" si="2372"/>
        <v>0</v>
      </c>
      <c r="BD357" s="215">
        <f t="shared" si="2373"/>
        <v>0</v>
      </c>
      <c r="BE357" s="215">
        <f t="shared" si="2374"/>
        <v>0</v>
      </c>
      <c r="BF357" s="215">
        <f t="shared" si="2375"/>
        <v>0</v>
      </c>
      <c r="BG357" s="215">
        <f t="shared" si="2376"/>
        <v>0</v>
      </c>
      <c r="BH357" s="215">
        <f t="shared" si="2377"/>
        <v>0</v>
      </c>
      <c r="BI357" s="215">
        <f t="shared" si="2378"/>
        <v>0</v>
      </c>
      <c r="BJ357" s="195"/>
      <c r="BK357" s="66">
        <v>1</v>
      </c>
      <c r="BL357" s="66">
        <v>2005</v>
      </c>
      <c r="BM357" s="215">
        <f t="shared" ref="BM357:BM364" si="2385">(AX356*pInt_InCare_Int_LTFU_2004_2012)+(BM356*pInt_LTFU_2004_2012)</f>
        <v>0</v>
      </c>
      <c r="BN357" s="219">
        <f t="shared" ref="BN357:BN364" si="2386">(AU356*pAsympt_LTFU_Int_LTFU_2004_2012)+(BN356*pInt_LTFU_2004_2012)</f>
        <v>0</v>
      </c>
      <c r="BO357" s="219">
        <f t="shared" ref="BO357:BO364" si="2387">(AY356*pInt_ART1_Int_LTFU_2004_2012)+(BO356*pInt_LTFU_2004_2012)</f>
        <v>0</v>
      </c>
      <c r="BP357" s="219">
        <v>0</v>
      </c>
      <c r="BQ357" s="219">
        <f t="shared" ref="BQ357:BQ364" si="2388">(BD356*pAIDS_InCare_AIDS_LTFU_2004_2012)+(BQ356*pAIDS_LTFU_2004_2012)</f>
        <v>0</v>
      </c>
      <c r="BR357" s="220">
        <f>(BN356*pInt_LTFU_AIDS_LTFU_2004_2012)</f>
        <v>0</v>
      </c>
      <c r="BS357" s="219">
        <f>(BM356*pInt_LTFU_AIDS_LTFU_2004_2012)</f>
        <v>0</v>
      </c>
      <c r="BT357" s="219">
        <f>(BE356*pAIDS_ART1ear_AIDS_LTFU_2004_2012)</f>
        <v>0</v>
      </c>
      <c r="BU357" s="219">
        <f>(BF356*pAIDS_ART1late_AIDS_LTFU_2004_2012)</f>
        <v>0</v>
      </c>
      <c r="BV357" s="219">
        <f>(BO356*pInt_LTFU_AIDS_LTFU_2004_2012)</f>
        <v>0</v>
      </c>
      <c r="BW357" s="219">
        <f>(BG356*pAIDS_ART2_AIDS_LTFU_2004_2012)</f>
        <v>0</v>
      </c>
      <c r="BX357" s="220">
        <f>(BP356*pInt_LTFU_AIDS_LTFU_2004_2012)</f>
        <v>0</v>
      </c>
      <c r="BY357" s="195"/>
      <c r="BZ357" s="66">
        <v>1</v>
      </c>
      <c r="CA357" s="66">
        <v>2005</v>
      </c>
      <c r="CB357" s="218">
        <f>pAsympt_NoCare_Asympt_Dead_2004_2006*AS356</f>
        <v>0</v>
      </c>
      <c r="CC357" s="218">
        <f t="shared" ref="CC357:CC364" si="2389">pAsympt_InCare_Asympt_Dead_2004_2012*AT356</f>
        <v>0</v>
      </c>
      <c r="CD357" s="73">
        <f t="shared" ref="CD357:CD364" si="2390">pAsympt_LTFU_Asympt_Dead_2004_2012*AU356</f>
        <v>0</v>
      </c>
      <c r="CE357" s="73">
        <f>pInt_NoCare_Int_Dead_2004_2006*AW356</f>
        <v>0</v>
      </c>
      <c r="CF357" s="73">
        <f t="shared" ref="CF357:CF364" si="2391">pInt_InCare_Int_Dead_2004_2012*AX356</f>
        <v>0</v>
      </c>
      <c r="CG357" s="73">
        <f t="shared" ref="CG357:CG364" si="2392">pInt_ART1_Int_Dead_2004_2012*AY356</f>
        <v>0</v>
      </c>
      <c r="CH357" s="73">
        <f t="shared" ref="CH357:CH364" si="2393">pInt_ART2_Int_Dead_2004_2012*AZ356</f>
        <v>0</v>
      </c>
      <c r="CI357" s="73">
        <f t="shared" ref="CI357:CI364" si="2394">(BM356*pInt_LTFU_Int_Dead_2004_2012)</f>
        <v>0</v>
      </c>
      <c r="CJ357" s="73">
        <f t="shared" ref="CJ357:CJ364" si="2395">(BN356*pInt_LTFU_Int_Dead_2004_2012)</f>
        <v>0</v>
      </c>
      <c r="CK357" s="73">
        <f t="shared" ref="CK357:CK364" si="2396">(BO356*pInt_LTFU_Int_Dead_2004_2012)</f>
        <v>0</v>
      </c>
      <c r="CL357" s="73">
        <f t="shared" ref="CL357:CL364" si="2397">(BP356*pInt_LTFU_Int_Dead_2004_2012)</f>
        <v>0</v>
      </c>
      <c r="CM357" s="73">
        <f t="shared" ref="CM357:CM358" si="2398">pAIDS_NoCare_AIDS_Dead_2004_2006*BC356</f>
        <v>0</v>
      </c>
      <c r="CN357" s="73">
        <f t="shared" ref="CN357:CN364" si="2399">pAIDS_InCare_AIDS_Dead_2004_2012*BD356</f>
        <v>0</v>
      </c>
      <c r="CO357" s="73">
        <f t="shared" ref="CO357:CO364" si="2400">pAIDS_ART1ear_AIDS_Dead_2004_2012*BE356</f>
        <v>0</v>
      </c>
      <c r="CP357" s="73">
        <f t="shared" ref="CP357:CP364" si="2401">pAIDS_ART1late_AIDS_Dead_2004_2012*BF356</f>
        <v>0</v>
      </c>
      <c r="CQ357" s="73">
        <f t="shared" ref="CQ357:CQ364" si="2402">pAIDS_ART2_AIDS_Dead_2004_2012*BG356</f>
        <v>0</v>
      </c>
      <c r="CR357" s="73">
        <f t="shared" ref="CR357:CR364" si="2403">(BQ356*pAIDS_LTFU_AIDS_Dead_2004_2012)</f>
        <v>0</v>
      </c>
      <c r="CS357" s="73">
        <f t="shared" ref="CS357:CS364" si="2404">(BR356*pAIDS_LTFU_AIDS_Dead_2004_2012)</f>
        <v>0</v>
      </c>
      <c r="CT357" s="73">
        <f t="shared" ref="CT357:CT364" si="2405">(BS356*pAIDS_LTFU_AIDS_Dead_2004_2012)</f>
        <v>0</v>
      </c>
      <c r="CU357" s="73">
        <f t="shared" ref="CU357:CU364" si="2406">(BT356*pAIDS_LTFU_AIDS_Dead_2004_2012)</f>
        <v>0</v>
      </c>
      <c r="CV357" s="73">
        <f t="shared" ref="CV357:CV364" si="2407">(BU356*pAIDS_LTFU_AIDS_Dead_2004_2012)</f>
        <v>0</v>
      </c>
      <c r="CW357" s="73">
        <f t="shared" ref="CW357:CW364" si="2408">(BV356*pAIDS_LTFU_AIDS_Dead_2004_2012)</f>
        <v>0</v>
      </c>
      <c r="CX357" s="73">
        <f t="shared" ref="CX357:CX364" si="2409">(BW356*pAIDS_LTFU_AIDS_Dead_2004_2012)</f>
        <v>0</v>
      </c>
      <c r="CY357" s="73">
        <f t="shared" ref="CY357:CY364" si="2410">(BX356*pAIDS_LTFU_AIDS_Dead_2004_2012)</f>
        <v>0</v>
      </c>
      <c r="CZ357" s="190"/>
      <c r="DA357" s="67">
        <v>2005</v>
      </c>
      <c r="DB357" s="218">
        <f t="shared" si="2379"/>
        <v>0</v>
      </c>
      <c r="DC357" s="218">
        <f t="shared" si="2380"/>
        <v>0</v>
      </c>
      <c r="DD357" s="73">
        <f t="shared" si="2381"/>
        <v>0</v>
      </c>
      <c r="DE357" s="73">
        <f t="shared" si="2382"/>
        <v>0</v>
      </c>
      <c r="DF357" s="73">
        <f t="shared" si="2383"/>
        <v>0</v>
      </c>
      <c r="DG357" s="73">
        <f t="shared" si="2384"/>
        <v>0</v>
      </c>
      <c r="DH357" s="72" t="e">
        <f t="shared" ref="DH357:DH375" si="2411">DD357/(DD357+DG357)</f>
        <v>#DIV/0!</v>
      </c>
      <c r="DI357" s="72" t="e">
        <f t="shared" ref="DI357:DI375" si="2412">DE357/(DE357+DF357)</f>
        <v>#DIV/0!</v>
      </c>
      <c r="DJ357" s="73">
        <f>SUM(AV356:AV357,BB356:BB357,BI356:BI357)</f>
        <v>0</v>
      </c>
      <c r="DK357" s="73">
        <v>0</v>
      </c>
      <c r="DL357" s="190"/>
    </row>
    <row r="358" spans="22:116" x14ac:dyDescent="0.25">
      <c r="V358" s="13"/>
      <c r="W358" s="66">
        <v>2</v>
      </c>
      <c r="X358" s="66">
        <v>2006</v>
      </c>
      <c r="Y358" s="69">
        <v>0</v>
      </c>
      <c r="Z358" s="69">
        <v>0</v>
      </c>
      <c r="AA358" s="69">
        <v>0</v>
      </c>
      <c r="AB358" s="69">
        <v>0</v>
      </c>
      <c r="AC358" s="69">
        <v>0</v>
      </c>
      <c r="AD358" s="69">
        <v>0</v>
      </c>
      <c r="AE358" s="69">
        <v>0</v>
      </c>
      <c r="AF358" s="69">
        <v>0</v>
      </c>
      <c r="AG358" s="69">
        <v>0</v>
      </c>
      <c r="AH358" s="69">
        <v>0</v>
      </c>
      <c r="AI358" s="69">
        <v>0</v>
      </c>
      <c r="AJ358" s="69">
        <v>0</v>
      </c>
      <c r="AK358" s="69">
        <v>0</v>
      </c>
      <c r="AL358" s="69">
        <v>0</v>
      </c>
      <c r="AM358" s="69">
        <v>0</v>
      </c>
      <c r="AN358" s="69">
        <v>0</v>
      </c>
      <c r="AO358" s="69">
        <v>0</v>
      </c>
      <c r="AP358" s="190"/>
      <c r="AQ358" s="66">
        <v>2</v>
      </c>
      <c r="AR358" s="66">
        <v>2006</v>
      </c>
      <c r="AS358" s="215">
        <f t="shared" si="2362"/>
        <v>0</v>
      </c>
      <c r="AT358" s="215">
        <f t="shared" si="2363"/>
        <v>0</v>
      </c>
      <c r="AU358" s="215">
        <f t="shared" si="2364"/>
        <v>0</v>
      </c>
      <c r="AV358" s="215">
        <f t="shared" si="2365"/>
        <v>0</v>
      </c>
      <c r="AW358" s="215">
        <f t="shared" si="2366"/>
        <v>0</v>
      </c>
      <c r="AX358" s="215">
        <f t="shared" si="2367"/>
        <v>0</v>
      </c>
      <c r="AY358" s="215">
        <f t="shared" si="2368"/>
        <v>0</v>
      </c>
      <c r="AZ358" s="215">
        <f t="shared" si="2369"/>
        <v>0</v>
      </c>
      <c r="BA358" s="215">
        <f t="shared" si="2370"/>
        <v>0</v>
      </c>
      <c r="BB358" s="215">
        <f t="shared" si="2371"/>
        <v>0</v>
      </c>
      <c r="BC358" s="215">
        <f t="shared" si="2372"/>
        <v>0</v>
      </c>
      <c r="BD358" s="215">
        <f t="shared" si="2373"/>
        <v>0</v>
      </c>
      <c r="BE358" s="215">
        <f t="shared" si="2374"/>
        <v>0</v>
      </c>
      <c r="BF358" s="215">
        <f t="shared" si="2375"/>
        <v>0</v>
      </c>
      <c r="BG358" s="215">
        <f t="shared" si="2376"/>
        <v>0</v>
      </c>
      <c r="BH358" s="215">
        <f t="shared" si="2377"/>
        <v>0</v>
      </c>
      <c r="BI358" s="215">
        <f t="shared" si="2378"/>
        <v>0</v>
      </c>
      <c r="BJ358" s="195"/>
      <c r="BK358" s="66">
        <v>2</v>
      </c>
      <c r="BL358" s="66">
        <v>2006</v>
      </c>
      <c r="BM358" s="215">
        <f t="shared" si="2385"/>
        <v>0</v>
      </c>
      <c r="BN358" s="219">
        <f t="shared" si="2386"/>
        <v>0</v>
      </c>
      <c r="BO358" s="219">
        <f t="shared" si="2387"/>
        <v>0</v>
      </c>
      <c r="BP358" s="219">
        <f t="shared" ref="BP358:BP364" si="2413">(AZ357*pInt_ART2_Int_LTFU_2004_2012)+(BP357*pInt_LTFU_2004_2012)</f>
        <v>0</v>
      </c>
      <c r="BQ358" s="219">
        <f t="shared" si="2388"/>
        <v>0</v>
      </c>
      <c r="BR358" s="220">
        <f t="shared" ref="BR358:BR364" si="2414">(BN357*pInt_LTFU_AIDS_LTFU_2004_2012)+(BR357*pAIDS_LTFU_2004_2012)</f>
        <v>0</v>
      </c>
      <c r="BS358" s="219">
        <f t="shared" ref="BS358:BS364" si="2415">(BM357*pInt_LTFU_AIDS_LTFU_2004_2012)+(BS357*pAIDS_LTFU_2004_2012)</f>
        <v>0</v>
      </c>
      <c r="BT358" s="219">
        <f t="shared" ref="BT358:BT364" si="2416">(BE357*pAIDS_ART1ear_AIDS_LTFU_2004_2012)+(BT357*pAIDS_LTFU_2004_2012)</f>
        <v>0</v>
      </c>
      <c r="BU358" s="219">
        <f t="shared" ref="BU358:BU364" si="2417">(BF357*pAIDS_ART1late_AIDS_LTFU_2004_2012)+(BU357*pAIDS_LTFU_2004_2012)</f>
        <v>0</v>
      </c>
      <c r="BV358" s="219">
        <f t="shared" ref="BV358:BV364" si="2418">(BO357*pInt_LTFU_AIDS_LTFU_2004_2012)+(BV357*pAIDS_LTFU_2004_2012)</f>
        <v>0</v>
      </c>
      <c r="BW358" s="219">
        <f t="shared" ref="BW358:BW364" si="2419">(BG357*pAIDS_ART2_AIDS_LTFU_2004_2012)+(BW357*pAIDS_LTFU_2004_2012)</f>
        <v>0</v>
      </c>
      <c r="BX358" s="220">
        <f t="shared" ref="BX358:BX364" si="2420">(BP357*pInt_LTFU_AIDS_LTFU_2004_2012)+(BX357*pAIDS_LTFU_2004_2012)</f>
        <v>0</v>
      </c>
      <c r="BY358" s="195"/>
      <c r="BZ358" s="66">
        <v>2</v>
      </c>
      <c r="CA358" s="66">
        <v>2006</v>
      </c>
      <c r="CB358" s="218">
        <f>pAsympt_NoCare_Asympt_Dead_2004_2006*AS357</f>
        <v>0</v>
      </c>
      <c r="CC358" s="218">
        <f t="shared" si="2389"/>
        <v>0</v>
      </c>
      <c r="CD358" s="73">
        <f t="shared" si="2390"/>
        <v>0</v>
      </c>
      <c r="CE358" s="73">
        <f>pInt_NoCare_Int_Dead_2004_2006*AW357</f>
        <v>0</v>
      </c>
      <c r="CF358" s="73">
        <f t="shared" si="2391"/>
        <v>0</v>
      </c>
      <c r="CG358" s="73">
        <f t="shared" si="2392"/>
        <v>0</v>
      </c>
      <c r="CH358" s="73">
        <f t="shared" si="2393"/>
        <v>0</v>
      </c>
      <c r="CI358" s="73">
        <f t="shared" si="2394"/>
        <v>0</v>
      </c>
      <c r="CJ358" s="73">
        <f t="shared" si="2395"/>
        <v>0</v>
      </c>
      <c r="CK358" s="73">
        <f t="shared" si="2396"/>
        <v>0</v>
      </c>
      <c r="CL358" s="73">
        <f t="shared" si="2397"/>
        <v>0</v>
      </c>
      <c r="CM358" s="73">
        <f t="shared" si="2398"/>
        <v>0</v>
      </c>
      <c r="CN358" s="73">
        <f t="shared" si="2399"/>
        <v>0</v>
      </c>
      <c r="CO358" s="73">
        <f t="shared" si="2400"/>
        <v>0</v>
      </c>
      <c r="CP358" s="73">
        <f t="shared" si="2401"/>
        <v>0</v>
      </c>
      <c r="CQ358" s="73">
        <f t="shared" si="2402"/>
        <v>0</v>
      </c>
      <c r="CR358" s="73">
        <f t="shared" si="2403"/>
        <v>0</v>
      </c>
      <c r="CS358" s="73">
        <f t="shared" si="2404"/>
        <v>0</v>
      </c>
      <c r="CT358" s="73">
        <f t="shared" si="2405"/>
        <v>0</v>
      </c>
      <c r="CU358" s="73">
        <f t="shared" si="2406"/>
        <v>0</v>
      </c>
      <c r="CV358" s="73">
        <f t="shared" si="2407"/>
        <v>0</v>
      </c>
      <c r="CW358" s="73">
        <f t="shared" si="2408"/>
        <v>0</v>
      </c>
      <c r="CX358" s="73">
        <f t="shared" si="2409"/>
        <v>0</v>
      </c>
      <c r="CY358" s="73">
        <f t="shared" si="2410"/>
        <v>0</v>
      </c>
      <c r="CZ358" s="190"/>
      <c r="DA358" s="66">
        <v>2006</v>
      </c>
      <c r="DB358" s="218">
        <f t="shared" si="2379"/>
        <v>0</v>
      </c>
      <c r="DC358" s="218">
        <f t="shared" si="2380"/>
        <v>0</v>
      </c>
      <c r="DD358" s="73">
        <f t="shared" si="2381"/>
        <v>0</v>
      </c>
      <c r="DE358" s="73">
        <f t="shared" si="2382"/>
        <v>0</v>
      </c>
      <c r="DF358" s="73">
        <f t="shared" si="2383"/>
        <v>0</v>
      </c>
      <c r="DG358" s="73">
        <f t="shared" si="2384"/>
        <v>0</v>
      </c>
      <c r="DH358" s="72" t="e">
        <f t="shared" si="2411"/>
        <v>#DIV/0!</v>
      </c>
      <c r="DI358" s="72" t="e">
        <f t="shared" si="2412"/>
        <v>#DIV/0!</v>
      </c>
      <c r="DJ358" s="73">
        <f>SUM(AV356:AV358,BB356:BB358,BI356:BI358)</f>
        <v>0</v>
      </c>
      <c r="DK358" s="73">
        <v>0</v>
      </c>
      <c r="DL358" s="190"/>
    </row>
    <row r="359" spans="22:116" x14ac:dyDescent="0.25">
      <c r="V359" s="13"/>
      <c r="W359" s="66">
        <v>3</v>
      </c>
      <c r="X359" s="66">
        <v>2007</v>
      </c>
      <c r="Y359" s="69">
        <v>0</v>
      </c>
      <c r="Z359" s="69">
        <v>0</v>
      </c>
      <c r="AA359" s="69">
        <v>0</v>
      </c>
      <c r="AB359" s="69">
        <v>0</v>
      </c>
      <c r="AC359" s="69">
        <v>0</v>
      </c>
      <c r="AD359" s="69">
        <v>0</v>
      </c>
      <c r="AE359" s="69">
        <v>0</v>
      </c>
      <c r="AF359" s="69">
        <v>0</v>
      </c>
      <c r="AG359" s="69">
        <v>0</v>
      </c>
      <c r="AH359" s="69">
        <v>0</v>
      </c>
      <c r="AI359" s="69">
        <v>0</v>
      </c>
      <c r="AJ359" s="69">
        <v>0</v>
      </c>
      <c r="AK359" s="69">
        <v>0</v>
      </c>
      <c r="AL359" s="69">
        <v>0</v>
      </c>
      <c r="AM359" s="69">
        <v>0</v>
      </c>
      <c r="AN359" s="69">
        <v>0</v>
      </c>
      <c r="AO359" s="69">
        <v>0</v>
      </c>
      <c r="AP359" s="190"/>
      <c r="AQ359" s="66">
        <v>3</v>
      </c>
      <c r="AR359" s="66">
        <v>2007</v>
      </c>
      <c r="AS359" s="215">
        <f t="shared" si="2362"/>
        <v>0</v>
      </c>
      <c r="AT359" s="215">
        <f t="shared" si="2363"/>
        <v>0</v>
      </c>
      <c r="AU359" s="215">
        <f t="shared" si="2364"/>
        <v>0</v>
      </c>
      <c r="AV359" s="215">
        <f t="shared" si="2365"/>
        <v>0</v>
      </c>
      <c r="AW359" s="215">
        <f t="shared" si="2366"/>
        <v>0</v>
      </c>
      <c r="AX359" s="215">
        <f t="shared" si="2367"/>
        <v>0</v>
      </c>
      <c r="AY359" s="215">
        <f t="shared" si="2368"/>
        <v>0</v>
      </c>
      <c r="AZ359" s="215">
        <f t="shared" si="2369"/>
        <v>0</v>
      </c>
      <c r="BA359" s="215">
        <f t="shared" si="2370"/>
        <v>0</v>
      </c>
      <c r="BB359" s="215">
        <f t="shared" si="2371"/>
        <v>0</v>
      </c>
      <c r="BC359" s="215">
        <f t="shared" si="2372"/>
        <v>0</v>
      </c>
      <c r="BD359" s="215">
        <f t="shared" si="2373"/>
        <v>0</v>
      </c>
      <c r="BE359" s="215">
        <f t="shared" si="2374"/>
        <v>0</v>
      </c>
      <c r="BF359" s="215">
        <f t="shared" si="2375"/>
        <v>0</v>
      </c>
      <c r="BG359" s="215">
        <f t="shared" si="2376"/>
        <v>0</v>
      </c>
      <c r="BH359" s="215">
        <f t="shared" si="2377"/>
        <v>0</v>
      </c>
      <c r="BI359" s="215">
        <f t="shared" si="2378"/>
        <v>0</v>
      </c>
      <c r="BJ359" s="195"/>
      <c r="BK359" s="66">
        <v>3</v>
      </c>
      <c r="BL359" s="66">
        <v>2007</v>
      </c>
      <c r="BM359" s="215">
        <f t="shared" si="2385"/>
        <v>0</v>
      </c>
      <c r="BN359" s="219">
        <f t="shared" si="2386"/>
        <v>0</v>
      </c>
      <c r="BO359" s="219">
        <f t="shared" si="2387"/>
        <v>0</v>
      </c>
      <c r="BP359" s="219">
        <f t="shared" si="2413"/>
        <v>0</v>
      </c>
      <c r="BQ359" s="219">
        <f t="shared" si="2388"/>
        <v>0</v>
      </c>
      <c r="BR359" s="220">
        <f t="shared" si="2414"/>
        <v>0</v>
      </c>
      <c r="BS359" s="219">
        <f t="shared" si="2415"/>
        <v>0</v>
      </c>
      <c r="BT359" s="219">
        <f t="shared" si="2416"/>
        <v>0</v>
      </c>
      <c r="BU359" s="219">
        <f t="shared" si="2417"/>
        <v>0</v>
      </c>
      <c r="BV359" s="219">
        <f t="shared" si="2418"/>
        <v>0</v>
      </c>
      <c r="BW359" s="219">
        <f t="shared" si="2419"/>
        <v>0</v>
      </c>
      <c r="BX359" s="220">
        <f t="shared" si="2420"/>
        <v>0</v>
      </c>
      <c r="BY359" s="195"/>
      <c r="BZ359" s="66">
        <v>3</v>
      </c>
      <c r="CA359" s="66">
        <v>2007</v>
      </c>
      <c r="CB359" s="218">
        <f>pAsympt_NoCare_Asympt_Dead_2007_2009*AS358</f>
        <v>0</v>
      </c>
      <c r="CC359" s="218">
        <f t="shared" si="2389"/>
        <v>0</v>
      </c>
      <c r="CD359" s="73">
        <f t="shared" si="2390"/>
        <v>0</v>
      </c>
      <c r="CE359" s="73">
        <f>pInt_NoCare_Int_Dead_2007_2009*AW358</f>
        <v>0</v>
      </c>
      <c r="CF359" s="73">
        <f t="shared" si="2391"/>
        <v>0</v>
      </c>
      <c r="CG359" s="73">
        <f t="shared" si="2392"/>
        <v>0</v>
      </c>
      <c r="CH359" s="73">
        <f t="shared" si="2393"/>
        <v>0</v>
      </c>
      <c r="CI359" s="73">
        <f t="shared" si="2394"/>
        <v>0</v>
      </c>
      <c r="CJ359" s="73">
        <f t="shared" si="2395"/>
        <v>0</v>
      </c>
      <c r="CK359" s="73">
        <f t="shared" si="2396"/>
        <v>0</v>
      </c>
      <c r="CL359" s="73">
        <f t="shared" si="2397"/>
        <v>0</v>
      </c>
      <c r="CM359" s="73">
        <f>pAIDS_NoCare_AIDS_Dead_2007_2009*BC358</f>
        <v>0</v>
      </c>
      <c r="CN359" s="73">
        <f t="shared" si="2399"/>
        <v>0</v>
      </c>
      <c r="CO359" s="73">
        <f t="shared" si="2400"/>
        <v>0</v>
      </c>
      <c r="CP359" s="73">
        <f t="shared" si="2401"/>
        <v>0</v>
      </c>
      <c r="CQ359" s="73">
        <f t="shared" si="2402"/>
        <v>0</v>
      </c>
      <c r="CR359" s="73">
        <f t="shared" si="2403"/>
        <v>0</v>
      </c>
      <c r="CS359" s="73">
        <f t="shared" si="2404"/>
        <v>0</v>
      </c>
      <c r="CT359" s="73">
        <f t="shared" si="2405"/>
        <v>0</v>
      </c>
      <c r="CU359" s="73">
        <f t="shared" si="2406"/>
        <v>0</v>
      </c>
      <c r="CV359" s="73">
        <f t="shared" si="2407"/>
        <v>0</v>
      </c>
      <c r="CW359" s="73">
        <f t="shared" si="2408"/>
        <v>0</v>
      </c>
      <c r="CX359" s="73">
        <f t="shared" si="2409"/>
        <v>0</v>
      </c>
      <c r="CY359" s="73">
        <f t="shared" si="2410"/>
        <v>0</v>
      </c>
      <c r="CZ359" s="190"/>
      <c r="DA359" s="66">
        <v>2007</v>
      </c>
      <c r="DB359" s="218">
        <f t="shared" si="2379"/>
        <v>0</v>
      </c>
      <c r="DC359" s="218">
        <f t="shared" si="2380"/>
        <v>0</v>
      </c>
      <c r="DD359" s="73">
        <f t="shared" si="2381"/>
        <v>0</v>
      </c>
      <c r="DE359" s="73">
        <f t="shared" si="2382"/>
        <v>0</v>
      </c>
      <c r="DF359" s="73">
        <f t="shared" si="2383"/>
        <v>0</v>
      </c>
      <c r="DG359" s="73">
        <f t="shared" si="2384"/>
        <v>0</v>
      </c>
      <c r="DH359" s="72" t="e">
        <f t="shared" si="2411"/>
        <v>#DIV/0!</v>
      </c>
      <c r="DI359" s="72" t="e">
        <f t="shared" si="2412"/>
        <v>#DIV/0!</v>
      </c>
      <c r="DJ359" s="73">
        <f>SUM(AV356:AV359,BB356:BB359,BI356:BI359)</f>
        <v>0</v>
      </c>
      <c r="DK359" s="218">
        <v>0</v>
      </c>
      <c r="DL359" s="190"/>
    </row>
    <row r="360" spans="22:116" x14ac:dyDescent="0.25">
      <c r="V360" s="13"/>
      <c r="W360" s="66">
        <v>4</v>
      </c>
      <c r="X360" s="66">
        <v>2008</v>
      </c>
      <c r="Y360" s="69">
        <v>0</v>
      </c>
      <c r="Z360" s="69">
        <v>0</v>
      </c>
      <c r="AA360" s="69">
        <v>0</v>
      </c>
      <c r="AB360" s="69">
        <v>0</v>
      </c>
      <c r="AC360" s="69">
        <v>0</v>
      </c>
      <c r="AD360" s="69">
        <v>0</v>
      </c>
      <c r="AE360" s="69">
        <v>0</v>
      </c>
      <c r="AF360" s="69">
        <v>0</v>
      </c>
      <c r="AG360" s="69">
        <v>0</v>
      </c>
      <c r="AH360" s="69">
        <v>0</v>
      </c>
      <c r="AI360" s="69">
        <v>0</v>
      </c>
      <c r="AJ360" s="69">
        <v>0</v>
      </c>
      <c r="AK360" s="69">
        <v>0</v>
      </c>
      <c r="AL360" s="69">
        <v>0</v>
      </c>
      <c r="AM360" s="69">
        <v>0</v>
      </c>
      <c r="AN360" s="69">
        <v>0</v>
      </c>
      <c r="AO360" s="69">
        <v>0</v>
      </c>
      <c r="AP360" s="190"/>
      <c r="AQ360" s="66">
        <v>4</v>
      </c>
      <c r="AR360" s="66">
        <v>2008</v>
      </c>
      <c r="AS360" s="215">
        <f t="shared" si="2362"/>
        <v>0</v>
      </c>
      <c r="AT360" s="215">
        <f t="shared" si="2363"/>
        <v>0</v>
      </c>
      <c r="AU360" s="215">
        <f t="shared" si="2364"/>
        <v>0</v>
      </c>
      <c r="AV360" s="215">
        <f t="shared" si="2365"/>
        <v>0</v>
      </c>
      <c r="AW360" s="215">
        <f t="shared" si="2366"/>
        <v>0</v>
      </c>
      <c r="AX360" s="215">
        <f t="shared" si="2367"/>
        <v>0</v>
      </c>
      <c r="AY360" s="215">
        <f t="shared" si="2368"/>
        <v>0</v>
      </c>
      <c r="AZ360" s="215">
        <f t="shared" si="2369"/>
        <v>0</v>
      </c>
      <c r="BA360" s="215">
        <f t="shared" si="2370"/>
        <v>0</v>
      </c>
      <c r="BB360" s="215">
        <f t="shared" si="2371"/>
        <v>0</v>
      </c>
      <c r="BC360" s="215">
        <f t="shared" si="2372"/>
        <v>0</v>
      </c>
      <c r="BD360" s="215">
        <f t="shared" si="2373"/>
        <v>0</v>
      </c>
      <c r="BE360" s="215">
        <f t="shared" si="2374"/>
        <v>0</v>
      </c>
      <c r="BF360" s="215">
        <f t="shared" si="2375"/>
        <v>0</v>
      </c>
      <c r="BG360" s="215">
        <f t="shared" si="2376"/>
        <v>0</v>
      </c>
      <c r="BH360" s="215">
        <f t="shared" si="2377"/>
        <v>0</v>
      </c>
      <c r="BI360" s="215">
        <f t="shared" si="2378"/>
        <v>0</v>
      </c>
      <c r="BJ360" s="195"/>
      <c r="BK360" s="66">
        <v>4</v>
      </c>
      <c r="BL360" s="66">
        <v>2008</v>
      </c>
      <c r="BM360" s="215">
        <f t="shared" si="2385"/>
        <v>0</v>
      </c>
      <c r="BN360" s="219">
        <f t="shared" si="2386"/>
        <v>0</v>
      </c>
      <c r="BO360" s="219">
        <f t="shared" si="2387"/>
        <v>0</v>
      </c>
      <c r="BP360" s="219">
        <f t="shared" si="2413"/>
        <v>0</v>
      </c>
      <c r="BQ360" s="219">
        <f t="shared" si="2388"/>
        <v>0</v>
      </c>
      <c r="BR360" s="220">
        <f t="shared" si="2414"/>
        <v>0</v>
      </c>
      <c r="BS360" s="219">
        <f t="shared" si="2415"/>
        <v>0</v>
      </c>
      <c r="BT360" s="219">
        <f t="shared" si="2416"/>
        <v>0</v>
      </c>
      <c r="BU360" s="219">
        <f t="shared" si="2417"/>
        <v>0</v>
      </c>
      <c r="BV360" s="219">
        <f t="shared" si="2418"/>
        <v>0</v>
      </c>
      <c r="BW360" s="219">
        <f t="shared" si="2419"/>
        <v>0</v>
      </c>
      <c r="BX360" s="220">
        <f t="shared" si="2420"/>
        <v>0</v>
      </c>
      <c r="BY360" s="195"/>
      <c r="BZ360" s="66">
        <v>4</v>
      </c>
      <c r="CA360" s="66">
        <v>2008</v>
      </c>
      <c r="CB360" s="218">
        <f>pAsympt_NoCare_Asympt_Dead_2007_2009*AS359</f>
        <v>0</v>
      </c>
      <c r="CC360" s="218">
        <f t="shared" si="2389"/>
        <v>0</v>
      </c>
      <c r="CD360" s="73">
        <f t="shared" si="2390"/>
        <v>0</v>
      </c>
      <c r="CE360" s="73">
        <f>pInt_NoCare_Int_Dead_2007_2009*AW359</f>
        <v>0</v>
      </c>
      <c r="CF360" s="73">
        <f t="shared" si="2391"/>
        <v>0</v>
      </c>
      <c r="CG360" s="73">
        <f t="shared" si="2392"/>
        <v>0</v>
      </c>
      <c r="CH360" s="73">
        <f t="shared" si="2393"/>
        <v>0</v>
      </c>
      <c r="CI360" s="73">
        <f t="shared" si="2394"/>
        <v>0</v>
      </c>
      <c r="CJ360" s="73">
        <f t="shared" si="2395"/>
        <v>0</v>
      </c>
      <c r="CK360" s="73">
        <f t="shared" si="2396"/>
        <v>0</v>
      </c>
      <c r="CL360" s="73">
        <f t="shared" si="2397"/>
        <v>0</v>
      </c>
      <c r="CM360" s="73">
        <f>pAIDS_NoCare_AIDS_Dead_2007_2009*BC359</f>
        <v>0</v>
      </c>
      <c r="CN360" s="73">
        <f t="shared" si="2399"/>
        <v>0</v>
      </c>
      <c r="CO360" s="73">
        <f t="shared" si="2400"/>
        <v>0</v>
      </c>
      <c r="CP360" s="73">
        <f t="shared" si="2401"/>
        <v>0</v>
      </c>
      <c r="CQ360" s="73">
        <f t="shared" si="2402"/>
        <v>0</v>
      </c>
      <c r="CR360" s="73">
        <f t="shared" si="2403"/>
        <v>0</v>
      </c>
      <c r="CS360" s="73">
        <f t="shared" si="2404"/>
        <v>0</v>
      </c>
      <c r="CT360" s="73">
        <f t="shared" si="2405"/>
        <v>0</v>
      </c>
      <c r="CU360" s="73">
        <f t="shared" si="2406"/>
        <v>0</v>
      </c>
      <c r="CV360" s="73">
        <f t="shared" si="2407"/>
        <v>0</v>
      </c>
      <c r="CW360" s="73">
        <f t="shared" si="2408"/>
        <v>0</v>
      </c>
      <c r="CX360" s="73">
        <f t="shared" si="2409"/>
        <v>0</v>
      </c>
      <c r="CY360" s="73">
        <f t="shared" si="2410"/>
        <v>0</v>
      </c>
      <c r="CZ360" s="190"/>
      <c r="DA360" s="66">
        <v>2008</v>
      </c>
      <c r="DB360" s="218">
        <f t="shared" si="2379"/>
        <v>0</v>
      </c>
      <c r="DC360" s="218">
        <f t="shared" si="2380"/>
        <v>0</v>
      </c>
      <c r="DD360" s="73">
        <f t="shared" si="2381"/>
        <v>0</v>
      </c>
      <c r="DE360" s="73">
        <f t="shared" si="2382"/>
        <v>0</v>
      </c>
      <c r="DF360" s="73">
        <f t="shared" si="2383"/>
        <v>0</v>
      </c>
      <c r="DG360" s="73">
        <f t="shared" si="2384"/>
        <v>0</v>
      </c>
      <c r="DH360" s="72" t="e">
        <f t="shared" si="2411"/>
        <v>#DIV/0!</v>
      </c>
      <c r="DI360" s="72" t="e">
        <f t="shared" si="2412"/>
        <v>#DIV/0!</v>
      </c>
      <c r="DJ360" s="73">
        <f>SUM(AV356:AV360,BB356:BB360,BI356:BI360)</f>
        <v>0</v>
      </c>
      <c r="DK360" s="218">
        <v>0</v>
      </c>
      <c r="DL360" s="190"/>
    </row>
    <row r="361" spans="22:116" x14ac:dyDescent="0.25">
      <c r="V361" s="13"/>
      <c r="W361" s="66">
        <v>5</v>
      </c>
      <c r="X361" s="66">
        <v>2009</v>
      </c>
      <c r="Y361" s="69">
        <v>0</v>
      </c>
      <c r="Z361" s="69">
        <v>0</v>
      </c>
      <c r="AA361" s="69">
        <v>0</v>
      </c>
      <c r="AB361" s="69">
        <v>0</v>
      </c>
      <c r="AC361" s="69">
        <v>0</v>
      </c>
      <c r="AD361" s="69">
        <v>0</v>
      </c>
      <c r="AE361" s="69">
        <v>0</v>
      </c>
      <c r="AF361" s="69">
        <v>0</v>
      </c>
      <c r="AG361" s="69">
        <v>0</v>
      </c>
      <c r="AH361" s="69">
        <v>0</v>
      </c>
      <c r="AI361" s="69">
        <v>0</v>
      </c>
      <c r="AJ361" s="69">
        <v>0</v>
      </c>
      <c r="AK361" s="69">
        <v>0</v>
      </c>
      <c r="AL361" s="69">
        <v>0</v>
      </c>
      <c r="AM361" s="69">
        <v>0</v>
      </c>
      <c r="AN361" s="69">
        <v>0</v>
      </c>
      <c r="AO361" s="69">
        <v>0</v>
      </c>
      <c r="AP361" s="190"/>
      <c r="AQ361" s="66">
        <v>5</v>
      </c>
      <c r="AR361" s="66">
        <v>2009</v>
      </c>
      <c r="AS361" s="215">
        <f t="shared" si="2362"/>
        <v>0</v>
      </c>
      <c r="AT361" s="215">
        <f t="shared" si="2363"/>
        <v>0</v>
      </c>
      <c r="AU361" s="215">
        <f t="shared" si="2364"/>
        <v>0</v>
      </c>
      <c r="AV361" s="215">
        <f t="shared" si="2365"/>
        <v>0</v>
      </c>
      <c r="AW361" s="215">
        <f t="shared" si="2366"/>
        <v>0</v>
      </c>
      <c r="AX361" s="215">
        <f t="shared" si="2367"/>
        <v>0</v>
      </c>
      <c r="AY361" s="215">
        <f t="shared" si="2368"/>
        <v>0</v>
      </c>
      <c r="AZ361" s="215">
        <f t="shared" si="2369"/>
        <v>0</v>
      </c>
      <c r="BA361" s="215">
        <f t="shared" si="2370"/>
        <v>0</v>
      </c>
      <c r="BB361" s="215">
        <f t="shared" si="2371"/>
        <v>0</v>
      </c>
      <c r="BC361" s="215">
        <f t="shared" si="2372"/>
        <v>0</v>
      </c>
      <c r="BD361" s="215">
        <f t="shared" si="2373"/>
        <v>0</v>
      </c>
      <c r="BE361" s="215">
        <f t="shared" si="2374"/>
        <v>0</v>
      </c>
      <c r="BF361" s="215">
        <f t="shared" si="2375"/>
        <v>0</v>
      </c>
      <c r="BG361" s="215">
        <f t="shared" si="2376"/>
        <v>0</v>
      </c>
      <c r="BH361" s="215">
        <f t="shared" si="2377"/>
        <v>0</v>
      </c>
      <c r="BI361" s="215">
        <f t="shared" si="2378"/>
        <v>0</v>
      </c>
      <c r="BJ361" s="195"/>
      <c r="BK361" s="66">
        <v>5</v>
      </c>
      <c r="BL361" s="66">
        <v>2009</v>
      </c>
      <c r="BM361" s="215">
        <f t="shared" si="2385"/>
        <v>0</v>
      </c>
      <c r="BN361" s="219">
        <f t="shared" si="2386"/>
        <v>0</v>
      </c>
      <c r="BO361" s="219">
        <f t="shared" si="2387"/>
        <v>0</v>
      </c>
      <c r="BP361" s="219">
        <f t="shared" si="2413"/>
        <v>0</v>
      </c>
      <c r="BQ361" s="219">
        <f t="shared" si="2388"/>
        <v>0</v>
      </c>
      <c r="BR361" s="220">
        <f t="shared" si="2414"/>
        <v>0</v>
      </c>
      <c r="BS361" s="219">
        <f t="shared" si="2415"/>
        <v>0</v>
      </c>
      <c r="BT361" s="219">
        <f t="shared" si="2416"/>
        <v>0</v>
      </c>
      <c r="BU361" s="219">
        <f t="shared" si="2417"/>
        <v>0</v>
      </c>
      <c r="BV361" s="219">
        <f t="shared" si="2418"/>
        <v>0</v>
      </c>
      <c r="BW361" s="219">
        <f t="shared" si="2419"/>
        <v>0</v>
      </c>
      <c r="BX361" s="220">
        <f t="shared" si="2420"/>
        <v>0</v>
      </c>
      <c r="BY361" s="195"/>
      <c r="BZ361" s="66">
        <v>5</v>
      </c>
      <c r="CA361" s="66">
        <v>2009</v>
      </c>
      <c r="CB361" s="218">
        <f>pAsympt_NoCare_Asympt_Dead_2007_2009*AS360</f>
        <v>0</v>
      </c>
      <c r="CC361" s="218">
        <f t="shared" si="2389"/>
        <v>0</v>
      </c>
      <c r="CD361" s="73">
        <f t="shared" si="2390"/>
        <v>0</v>
      </c>
      <c r="CE361" s="73">
        <f>pInt_NoCare_Int_Dead_2007_2009*AW360</f>
        <v>0</v>
      </c>
      <c r="CF361" s="73">
        <f t="shared" si="2391"/>
        <v>0</v>
      </c>
      <c r="CG361" s="73">
        <f t="shared" si="2392"/>
        <v>0</v>
      </c>
      <c r="CH361" s="73">
        <f t="shared" si="2393"/>
        <v>0</v>
      </c>
      <c r="CI361" s="73">
        <f t="shared" si="2394"/>
        <v>0</v>
      </c>
      <c r="CJ361" s="73">
        <f t="shared" si="2395"/>
        <v>0</v>
      </c>
      <c r="CK361" s="73">
        <f t="shared" si="2396"/>
        <v>0</v>
      </c>
      <c r="CL361" s="73">
        <f t="shared" si="2397"/>
        <v>0</v>
      </c>
      <c r="CM361" s="73">
        <f>pAIDS_NoCare_AIDS_Dead_2007_2009*BC360</f>
        <v>0</v>
      </c>
      <c r="CN361" s="73">
        <f t="shared" si="2399"/>
        <v>0</v>
      </c>
      <c r="CO361" s="73">
        <f t="shared" si="2400"/>
        <v>0</v>
      </c>
      <c r="CP361" s="73">
        <f t="shared" si="2401"/>
        <v>0</v>
      </c>
      <c r="CQ361" s="73">
        <f t="shared" si="2402"/>
        <v>0</v>
      </c>
      <c r="CR361" s="73">
        <f t="shared" si="2403"/>
        <v>0</v>
      </c>
      <c r="CS361" s="73">
        <f t="shared" si="2404"/>
        <v>0</v>
      </c>
      <c r="CT361" s="73">
        <f t="shared" si="2405"/>
        <v>0</v>
      </c>
      <c r="CU361" s="73">
        <f t="shared" si="2406"/>
        <v>0</v>
      </c>
      <c r="CV361" s="73">
        <f t="shared" si="2407"/>
        <v>0</v>
      </c>
      <c r="CW361" s="73">
        <f t="shared" si="2408"/>
        <v>0</v>
      </c>
      <c r="CX361" s="73">
        <f t="shared" si="2409"/>
        <v>0</v>
      </c>
      <c r="CY361" s="73">
        <f t="shared" si="2410"/>
        <v>0</v>
      </c>
      <c r="CZ361" s="190"/>
      <c r="DA361" s="66">
        <v>2009</v>
      </c>
      <c r="DB361" s="218">
        <f t="shared" si="2379"/>
        <v>0</v>
      </c>
      <c r="DC361" s="218">
        <f t="shared" si="2380"/>
        <v>0</v>
      </c>
      <c r="DD361" s="73">
        <f t="shared" si="2381"/>
        <v>0</v>
      </c>
      <c r="DE361" s="73">
        <f t="shared" si="2382"/>
        <v>0</v>
      </c>
      <c r="DF361" s="73">
        <f t="shared" si="2383"/>
        <v>0</v>
      </c>
      <c r="DG361" s="73">
        <f t="shared" si="2384"/>
        <v>0</v>
      </c>
      <c r="DH361" s="72" t="e">
        <f t="shared" si="2411"/>
        <v>#DIV/0!</v>
      </c>
      <c r="DI361" s="72" t="e">
        <f t="shared" si="2412"/>
        <v>#DIV/0!</v>
      </c>
      <c r="DJ361" s="73">
        <f>SUM(AV356:AV361,BB356:BB361,BI356:BI361)</f>
        <v>0</v>
      </c>
      <c r="DK361" s="218">
        <v>0</v>
      </c>
      <c r="DL361" s="190"/>
    </row>
    <row r="362" spans="22:116" x14ac:dyDescent="0.25">
      <c r="V362" s="13"/>
      <c r="W362" s="66">
        <v>6</v>
      </c>
      <c r="X362" s="66">
        <v>2010</v>
      </c>
      <c r="Y362" s="69">
        <v>0</v>
      </c>
      <c r="Z362" s="69">
        <v>0</v>
      </c>
      <c r="AA362" s="69">
        <v>0</v>
      </c>
      <c r="AB362" s="69">
        <v>0</v>
      </c>
      <c r="AC362" s="69">
        <v>0</v>
      </c>
      <c r="AD362" s="69">
        <v>0</v>
      </c>
      <c r="AE362" s="69">
        <v>0</v>
      </c>
      <c r="AF362" s="69">
        <v>0</v>
      </c>
      <c r="AG362" s="69">
        <v>0</v>
      </c>
      <c r="AH362" s="69">
        <v>0</v>
      </c>
      <c r="AI362" s="69">
        <v>0</v>
      </c>
      <c r="AJ362" s="69">
        <v>0</v>
      </c>
      <c r="AK362" s="69">
        <v>0</v>
      </c>
      <c r="AL362" s="69">
        <v>0</v>
      </c>
      <c r="AM362" s="69">
        <v>0</v>
      </c>
      <c r="AN362" s="69">
        <v>0</v>
      </c>
      <c r="AO362" s="69">
        <v>0</v>
      </c>
      <c r="AP362" s="190"/>
      <c r="AQ362" s="66">
        <v>6</v>
      </c>
      <c r="AR362" s="66">
        <v>2010</v>
      </c>
      <c r="AS362" s="215">
        <f t="shared" si="2362"/>
        <v>0</v>
      </c>
      <c r="AT362" s="215">
        <f t="shared" si="2363"/>
        <v>0</v>
      </c>
      <c r="AU362" s="215">
        <f t="shared" si="2364"/>
        <v>0</v>
      </c>
      <c r="AV362" s="215">
        <f t="shared" si="2365"/>
        <v>0</v>
      </c>
      <c r="AW362" s="215">
        <f t="shared" si="2366"/>
        <v>0</v>
      </c>
      <c r="AX362" s="215">
        <f t="shared" si="2367"/>
        <v>0</v>
      </c>
      <c r="AY362" s="215">
        <f t="shared" si="2368"/>
        <v>0</v>
      </c>
      <c r="AZ362" s="215">
        <f t="shared" si="2369"/>
        <v>0</v>
      </c>
      <c r="BA362" s="215">
        <f t="shared" si="2370"/>
        <v>0</v>
      </c>
      <c r="BB362" s="215">
        <f t="shared" si="2371"/>
        <v>0</v>
      </c>
      <c r="BC362" s="215">
        <f t="shared" si="2372"/>
        <v>0</v>
      </c>
      <c r="BD362" s="215">
        <f t="shared" si="2373"/>
        <v>0</v>
      </c>
      <c r="BE362" s="215">
        <f t="shared" si="2374"/>
        <v>0</v>
      </c>
      <c r="BF362" s="215">
        <f t="shared" si="2375"/>
        <v>0</v>
      </c>
      <c r="BG362" s="215">
        <f t="shared" si="2376"/>
        <v>0</v>
      </c>
      <c r="BH362" s="215">
        <f t="shared" si="2377"/>
        <v>0</v>
      </c>
      <c r="BI362" s="215">
        <f t="shared" si="2378"/>
        <v>0</v>
      </c>
      <c r="BJ362" s="195"/>
      <c r="BK362" s="66">
        <v>6</v>
      </c>
      <c r="BL362" s="66">
        <v>2010</v>
      </c>
      <c r="BM362" s="215">
        <f t="shared" si="2385"/>
        <v>0</v>
      </c>
      <c r="BN362" s="219">
        <f t="shared" si="2386"/>
        <v>0</v>
      </c>
      <c r="BO362" s="219">
        <f t="shared" si="2387"/>
        <v>0</v>
      </c>
      <c r="BP362" s="219">
        <f t="shared" si="2413"/>
        <v>0</v>
      </c>
      <c r="BQ362" s="219">
        <f t="shared" si="2388"/>
        <v>0</v>
      </c>
      <c r="BR362" s="220">
        <f t="shared" si="2414"/>
        <v>0</v>
      </c>
      <c r="BS362" s="219">
        <f t="shared" si="2415"/>
        <v>0</v>
      </c>
      <c r="BT362" s="219">
        <f t="shared" si="2416"/>
        <v>0</v>
      </c>
      <c r="BU362" s="219">
        <f t="shared" si="2417"/>
        <v>0</v>
      </c>
      <c r="BV362" s="219">
        <f t="shared" si="2418"/>
        <v>0</v>
      </c>
      <c r="BW362" s="219">
        <f t="shared" si="2419"/>
        <v>0</v>
      </c>
      <c r="BX362" s="220">
        <f t="shared" si="2420"/>
        <v>0</v>
      </c>
      <c r="BY362" s="195"/>
      <c r="BZ362" s="66">
        <v>6</v>
      </c>
      <c r="CA362" s="66">
        <v>2010</v>
      </c>
      <c r="CB362" s="218">
        <f>pAsympt_NoCare_Asympt_Dead_2010_2012*AS361</f>
        <v>0</v>
      </c>
      <c r="CC362" s="218">
        <f t="shared" si="2389"/>
        <v>0</v>
      </c>
      <c r="CD362" s="73">
        <f t="shared" si="2390"/>
        <v>0</v>
      </c>
      <c r="CE362" s="73">
        <f>pInt_NoCare_Int_Dead_2010_2012*AW361</f>
        <v>0</v>
      </c>
      <c r="CF362" s="73">
        <f t="shared" si="2391"/>
        <v>0</v>
      </c>
      <c r="CG362" s="73">
        <f t="shared" si="2392"/>
        <v>0</v>
      </c>
      <c r="CH362" s="73">
        <f t="shared" si="2393"/>
        <v>0</v>
      </c>
      <c r="CI362" s="73">
        <f t="shared" si="2394"/>
        <v>0</v>
      </c>
      <c r="CJ362" s="73">
        <f t="shared" si="2395"/>
        <v>0</v>
      </c>
      <c r="CK362" s="73">
        <f t="shared" si="2396"/>
        <v>0</v>
      </c>
      <c r="CL362" s="73">
        <f t="shared" si="2397"/>
        <v>0</v>
      </c>
      <c r="CM362" s="73">
        <f>pAIDS_NoCare_AIDS_Dead_2010_2012*BC361</f>
        <v>0</v>
      </c>
      <c r="CN362" s="73">
        <f t="shared" si="2399"/>
        <v>0</v>
      </c>
      <c r="CO362" s="73">
        <f t="shared" si="2400"/>
        <v>0</v>
      </c>
      <c r="CP362" s="73">
        <f t="shared" si="2401"/>
        <v>0</v>
      </c>
      <c r="CQ362" s="73">
        <f t="shared" si="2402"/>
        <v>0</v>
      </c>
      <c r="CR362" s="73">
        <f t="shared" si="2403"/>
        <v>0</v>
      </c>
      <c r="CS362" s="73">
        <f t="shared" si="2404"/>
        <v>0</v>
      </c>
      <c r="CT362" s="73">
        <f t="shared" si="2405"/>
        <v>0</v>
      </c>
      <c r="CU362" s="73">
        <f t="shared" si="2406"/>
        <v>0</v>
      </c>
      <c r="CV362" s="73">
        <f t="shared" si="2407"/>
        <v>0</v>
      </c>
      <c r="CW362" s="73">
        <f t="shared" si="2408"/>
        <v>0</v>
      </c>
      <c r="CX362" s="73">
        <f t="shared" si="2409"/>
        <v>0</v>
      </c>
      <c r="CY362" s="73">
        <f t="shared" si="2410"/>
        <v>0</v>
      </c>
      <c r="CZ362" s="190"/>
      <c r="DA362" s="66">
        <v>2010</v>
      </c>
      <c r="DB362" s="218">
        <f t="shared" si="2379"/>
        <v>0</v>
      </c>
      <c r="DC362" s="218">
        <f t="shared" si="2380"/>
        <v>0</v>
      </c>
      <c r="DD362" s="73">
        <f t="shared" si="2381"/>
        <v>0</v>
      </c>
      <c r="DE362" s="73">
        <f t="shared" si="2382"/>
        <v>0</v>
      </c>
      <c r="DF362" s="73">
        <f t="shared" si="2383"/>
        <v>0</v>
      </c>
      <c r="DG362" s="73">
        <f t="shared" si="2384"/>
        <v>0</v>
      </c>
      <c r="DH362" s="72" t="e">
        <f t="shared" si="2411"/>
        <v>#DIV/0!</v>
      </c>
      <c r="DI362" s="72" t="e">
        <f t="shared" si="2412"/>
        <v>#DIV/0!</v>
      </c>
      <c r="DJ362" s="73">
        <f>SUM(AV356:AV362,BB356:BB362,BI356:BI362)</f>
        <v>0</v>
      </c>
      <c r="DK362" s="218">
        <f>SUM(AV362,BB362,BI362)</f>
        <v>0</v>
      </c>
      <c r="DL362" s="190"/>
    </row>
    <row r="363" spans="22:116" x14ac:dyDescent="0.25">
      <c r="V363" s="13"/>
      <c r="W363" s="66">
        <v>7</v>
      </c>
      <c r="X363" s="66">
        <v>2011</v>
      </c>
      <c r="Y363" s="69">
        <v>0</v>
      </c>
      <c r="Z363" s="69">
        <v>0</v>
      </c>
      <c r="AA363" s="69">
        <v>0</v>
      </c>
      <c r="AB363" s="69">
        <v>0</v>
      </c>
      <c r="AC363" s="69">
        <v>0</v>
      </c>
      <c r="AD363" s="69">
        <v>0</v>
      </c>
      <c r="AE363" s="69">
        <v>0</v>
      </c>
      <c r="AF363" s="69">
        <v>0</v>
      </c>
      <c r="AG363" s="69">
        <v>0</v>
      </c>
      <c r="AH363" s="69">
        <v>0</v>
      </c>
      <c r="AI363" s="69">
        <v>0</v>
      </c>
      <c r="AJ363" s="69">
        <v>0</v>
      </c>
      <c r="AK363" s="69">
        <v>0</v>
      </c>
      <c r="AL363" s="69">
        <v>0</v>
      </c>
      <c r="AM363" s="69">
        <v>0</v>
      </c>
      <c r="AN363" s="69">
        <v>0</v>
      </c>
      <c r="AO363" s="69">
        <v>0</v>
      </c>
      <c r="AP363" s="190"/>
      <c r="AQ363" s="66">
        <v>7</v>
      </c>
      <c r="AR363" s="66">
        <v>2011</v>
      </c>
      <c r="AS363" s="215">
        <f t="shared" si="2362"/>
        <v>0</v>
      </c>
      <c r="AT363" s="215">
        <f t="shared" si="2363"/>
        <v>0</v>
      </c>
      <c r="AU363" s="215">
        <f t="shared" si="2364"/>
        <v>0</v>
      </c>
      <c r="AV363" s="215">
        <f t="shared" si="2365"/>
        <v>0</v>
      </c>
      <c r="AW363" s="215">
        <f t="shared" si="2366"/>
        <v>0</v>
      </c>
      <c r="AX363" s="215">
        <f t="shared" si="2367"/>
        <v>0</v>
      </c>
      <c r="AY363" s="215">
        <f t="shared" si="2368"/>
        <v>0</v>
      </c>
      <c r="AZ363" s="215">
        <f t="shared" si="2369"/>
        <v>0</v>
      </c>
      <c r="BA363" s="215">
        <f t="shared" si="2370"/>
        <v>0</v>
      </c>
      <c r="BB363" s="215">
        <f t="shared" si="2371"/>
        <v>0</v>
      </c>
      <c r="BC363" s="215">
        <f t="shared" si="2372"/>
        <v>0</v>
      </c>
      <c r="BD363" s="215">
        <f t="shared" si="2373"/>
        <v>0</v>
      </c>
      <c r="BE363" s="215">
        <f t="shared" si="2374"/>
        <v>0</v>
      </c>
      <c r="BF363" s="215">
        <f t="shared" si="2375"/>
        <v>0</v>
      </c>
      <c r="BG363" s="215">
        <f t="shared" si="2376"/>
        <v>0</v>
      </c>
      <c r="BH363" s="215">
        <f t="shared" si="2377"/>
        <v>0</v>
      </c>
      <c r="BI363" s="215">
        <f t="shared" si="2378"/>
        <v>0</v>
      </c>
      <c r="BJ363" s="195"/>
      <c r="BK363" s="66">
        <v>7</v>
      </c>
      <c r="BL363" s="66">
        <v>2011</v>
      </c>
      <c r="BM363" s="215">
        <f t="shared" si="2385"/>
        <v>0</v>
      </c>
      <c r="BN363" s="219">
        <f t="shared" si="2386"/>
        <v>0</v>
      </c>
      <c r="BO363" s="219">
        <f t="shared" si="2387"/>
        <v>0</v>
      </c>
      <c r="BP363" s="219">
        <f t="shared" si="2413"/>
        <v>0</v>
      </c>
      <c r="BQ363" s="219">
        <f t="shared" si="2388"/>
        <v>0</v>
      </c>
      <c r="BR363" s="220">
        <f t="shared" si="2414"/>
        <v>0</v>
      </c>
      <c r="BS363" s="219">
        <f t="shared" si="2415"/>
        <v>0</v>
      </c>
      <c r="BT363" s="219">
        <f t="shared" si="2416"/>
        <v>0</v>
      </c>
      <c r="BU363" s="219">
        <f t="shared" si="2417"/>
        <v>0</v>
      </c>
      <c r="BV363" s="219">
        <f t="shared" si="2418"/>
        <v>0</v>
      </c>
      <c r="BW363" s="219">
        <f t="shared" si="2419"/>
        <v>0</v>
      </c>
      <c r="BX363" s="220">
        <f t="shared" si="2420"/>
        <v>0</v>
      </c>
      <c r="BY363" s="195"/>
      <c r="BZ363" s="66">
        <v>7</v>
      </c>
      <c r="CA363" s="66">
        <v>2011</v>
      </c>
      <c r="CB363" s="218">
        <f>pAsympt_NoCare_Asympt_Dead_2010_2012*AS362</f>
        <v>0</v>
      </c>
      <c r="CC363" s="218">
        <f t="shared" si="2389"/>
        <v>0</v>
      </c>
      <c r="CD363" s="73">
        <f t="shared" si="2390"/>
        <v>0</v>
      </c>
      <c r="CE363" s="73">
        <f>pInt_NoCare_Int_Dead_2010_2012*AW362</f>
        <v>0</v>
      </c>
      <c r="CF363" s="73">
        <f t="shared" si="2391"/>
        <v>0</v>
      </c>
      <c r="CG363" s="73">
        <f t="shared" si="2392"/>
        <v>0</v>
      </c>
      <c r="CH363" s="73">
        <f t="shared" si="2393"/>
        <v>0</v>
      </c>
      <c r="CI363" s="73">
        <f t="shared" si="2394"/>
        <v>0</v>
      </c>
      <c r="CJ363" s="73">
        <f t="shared" si="2395"/>
        <v>0</v>
      </c>
      <c r="CK363" s="73">
        <f t="shared" si="2396"/>
        <v>0</v>
      </c>
      <c r="CL363" s="73">
        <f t="shared" si="2397"/>
        <v>0</v>
      </c>
      <c r="CM363" s="73">
        <f>pAIDS_NoCare_AIDS_Dead_2010_2012*BC362</f>
        <v>0</v>
      </c>
      <c r="CN363" s="73">
        <f t="shared" si="2399"/>
        <v>0</v>
      </c>
      <c r="CO363" s="73">
        <f t="shared" si="2400"/>
        <v>0</v>
      </c>
      <c r="CP363" s="73">
        <f t="shared" si="2401"/>
        <v>0</v>
      </c>
      <c r="CQ363" s="73">
        <f t="shared" si="2402"/>
        <v>0</v>
      </c>
      <c r="CR363" s="73">
        <f t="shared" si="2403"/>
        <v>0</v>
      </c>
      <c r="CS363" s="73">
        <f t="shared" si="2404"/>
        <v>0</v>
      </c>
      <c r="CT363" s="73">
        <f t="shared" si="2405"/>
        <v>0</v>
      </c>
      <c r="CU363" s="73">
        <f t="shared" si="2406"/>
        <v>0</v>
      </c>
      <c r="CV363" s="73">
        <f t="shared" si="2407"/>
        <v>0</v>
      </c>
      <c r="CW363" s="73">
        <f t="shared" si="2408"/>
        <v>0</v>
      </c>
      <c r="CX363" s="73">
        <f t="shared" si="2409"/>
        <v>0</v>
      </c>
      <c r="CY363" s="73">
        <f t="shared" si="2410"/>
        <v>0</v>
      </c>
      <c r="CZ363" s="190"/>
      <c r="DA363" s="66">
        <v>2011</v>
      </c>
      <c r="DB363" s="218">
        <f t="shared" si="2379"/>
        <v>0</v>
      </c>
      <c r="DC363" s="218">
        <f t="shared" si="2380"/>
        <v>0</v>
      </c>
      <c r="DD363" s="73">
        <f t="shared" si="2381"/>
        <v>0</v>
      </c>
      <c r="DE363" s="73">
        <f t="shared" si="2382"/>
        <v>0</v>
      </c>
      <c r="DF363" s="73">
        <f t="shared" si="2383"/>
        <v>0</v>
      </c>
      <c r="DG363" s="73">
        <f t="shared" si="2384"/>
        <v>0</v>
      </c>
      <c r="DH363" s="72" t="e">
        <f t="shared" si="2411"/>
        <v>#DIV/0!</v>
      </c>
      <c r="DI363" s="72" t="e">
        <f t="shared" si="2412"/>
        <v>#DIV/0!</v>
      </c>
      <c r="DJ363" s="73">
        <f>SUM(AV356:AV363,BB356:BB363,BI356:BI363)</f>
        <v>0</v>
      </c>
      <c r="DK363" s="218">
        <f>SUM(AV362:AV363,BB362:BB363,BI362:BI363)</f>
        <v>0</v>
      </c>
      <c r="DL363" s="190"/>
    </row>
    <row r="364" spans="22:116" x14ac:dyDescent="0.25">
      <c r="V364" s="13"/>
      <c r="W364" s="66">
        <v>8</v>
      </c>
      <c r="X364" s="66">
        <v>2012</v>
      </c>
      <c r="Y364" s="69">
        <v>0</v>
      </c>
      <c r="Z364" s="69">
        <v>0</v>
      </c>
      <c r="AA364" s="69">
        <v>0</v>
      </c>
      <c r="AB364" s="69">
        <v>0</v>
      </c>
      <c r="AC364" s="69">
        <v>0</v>
      </c>
      <c r="AD364" s="69">
        <v>0</v>
      </c>
      <c r="AE364" s="69">
        <v>0</v>
      </c>
      <c r="AF364" s="69">
        <v>0</v>
      </c>
      <c r="AG364" s="69">
        <v>0</v>
      </c>
      <c r="AH364" s="69">
        <v>0</v>
      </c>
      <c r="AI364" s="69">
        <v>0</v>
      </c>
      <c r="AJ364" s="69">
        <v>0</v>
      </c>
      <c r="AK364" s="69">
        <v>0</v>
      </c>
      <c r="AL364" s="69">
        <v>0</v>
      </c>
      <c r="AM364" s="69">
        <v>0</v>
      </c>
      <c r="AN364" s="69">
        <v>0</v>
      </c>
      <c r="AO364" s="69">
        <v>0</v>
      </c>
      <c r="AP364" s="190"/>
      <c r="AQ364" s="66">
        <v>8</v>
      </c>
      <c r="AR364" s="66">
        <v>2012</v>
      </c>
      <c r="AS364" s="215">
        <f t="shared" si="2362"/>
        <v>0</v>
      </c>
      <c r="AT364" s="215">
        <f t="shared" si="2363"/>
        <v>0</v>
      </c>
      <c r="AU364" s="215">
        <f t="shared" si="2364"/>
        <v>0</v>
      </c>
      <c r="AV364" s="215">
        <f t="shared" si="2365"/>
        <v>0</v>
      </c>
      <c r="AW364" s="215">
        <f t="shared" si="2366"/>
        <v>0</v>
      </c>
      <c r="AX364" s="215">
        <f t="shared" si="2367"/>
        <v>0</v>
      </c>
      <c r="AY364" s="215">
        <f t="shared" si="2368"/>
        <v>0</v>
      </c>
      <c r="AZ364" s="215">
        <f t="shared" si="2369"/>
        <v>0</v>
      </c>
      <c r="BA364" s="215">
        <f t="shared" si="2370"/>
        <v>0</v>
      </c>
      <c r="BB364" s="215">
        <f t="shared" si="2371"/>
        <v>0</v>
      </c>
      <c r="BC364" s="215">
        <f t="shared" si="2372"/>
        <v>0</v>
      </c>
      <c r="BD364" s="215">
        <f t="shared" si="2373"/>
        <v>0</v>
      </c>
      <c r="BE364" s="215">
        <f t="shared" si="2374"/>
        <v>0</v>
      </c>
      <c r="BF364" s="215">
        <f t="shared" si="2375"/>
        <v>0</v>
      </c>
      <c r="BG364" s="215">
        <f t="shared" si="2376"/>
        <v>0</v>
      </c>
      <c r="BH364" s="215">
        <f t="shared" si="2377"/>
        <v>0</v>
      </c>
      <c r="BI364" s="215">
        <f t="shared" si="2378"/>
        <v>0</v>
      </c>
      <c r="BJ364" s="195"/>
      <c r="BK364" s="66">
        <v>8</v>
      </c>
      <c r="BL364" s="66">
        <v>2012</v>
      </c>
      <c r="BM364" s="215">
        <f t="shared" si="2385"/>
        <v>0</v>
      </c>
      <c r="BN364" s="219">
        <f t="shared" si="2386"/>
        <v>0</v>
      </c>
      <c r="BO364" s="219">
        <f t="shared" si="2387"/>
        <v>0</v>
      </c>
      <c r="BP364" s="219">
        <f t="shared" si="2413"/>
        <v>0</v>
      </c>
      <c r="BQ364" s="219">
        <f t="shared" si="2388"/>
        <v>0</v>
      </c>
      <c r="BR364" s="220">
        <f t="shared" si="2414"/>
        <v>0</v>
      </c>
      <c r="BS364" s="219">
        <f t="shared" si="2415"/>
        <v>0</v>
      </c>
      <c r="BT364" s="219">
        <f t="shared" si="2416"/>
        <v>0</v>
      </c>
      <c r="BU364" s="219">
        <f t="shared" si="2417"/>
        <v>0</v>
      </c>
      <c r="BV364" s="219">
        <f t="shared" si="2418"/>
        <v>0</v>
      </c>
      <c r="BW364" s="219">
        <f t="shared" si="2419"/>
        <v>0</v>
      </c>
      <c r="BX364" s="220">
        <f t="shared" si="2420"/>
        <v>0</v>
      </c>
      <c r="BY364" s="195"/>
      <c r="BZ364" s="66">
        <v>8</v>
      </c>
      <c r="CA364" s="66">
        <v>2012</v>
      </c>
      <c r="CB364" s="218">
        <f>pAsympt_NoCare_Asympt_Dead_2010_2012*AS363</f>
        <v>0</v>
      </c>
      <c r="CC364" s="218">
        <f t="shared" si="2389"/>
        <v>0</v>
      </c>
      <c r="CD364" s="73">
        <f t="shared" si="2390"/>
        <v>0</v>
      </c>
      <c r="CE364" s="73">
        <f>pInt_NoCare_Int_Dead_2010_2012*AW363</f>
        <v>0</v>
      </c>
      <c r="CF364" s="73">
        <f t="shared" si="2391"/>
        <v>0</v>
      </c>
      <c r="CG364" s="73">
        <f t="shared" si="2392"/>
        <v>0</v>
      </c>
      <c r="CH364" s="73">
        <f t="shared" si="2393"/>
        <v>0</v>
      </c>
      <c r="CI364" s="73">
        <f t="shared" si="2394"/>
        <v>0</v>
      </c>
      <c r="CJ364" s="73">
        <f t="shared" si="2395"/>
        <v>0</v>
      </c>
      <c r="CK364" s="73">
        <f t="shared" si="2396"/>
        <v>0</v>
      </c>
      <c r="CL364" s="73">
        <f t="shared" si="2397"/>
        <v>0</v>
      </c>
      <c r="CM364" s="73">
        <f>pAIDS_NoCare_AIDS_Dead_2010_2012*BC363</f>
        <v>0</v>
      </c>
      <c r="CN364" s="73">
        <f t="shared" si="2399"/>
        <v>0</v>
      </c>
      <c r="CO364" s="73">
        <f t="shared" si="2400"/>
        <v>0</v>
      </c>
      <c r="CP364" s="73">
        <f t="shared" si="2401"/>
        <v>0</v>
      </c>
      <c r="CQ364" s="73">
        <f t="shared" si="2402"/>
        <v>0</v>
      </c>
      <c r="CR364" s="73">
        <f t="shared" si="2403"/>
        <v>0</v>
      </c>
      <c r="CS364" s="73">
        <f t="shared" si="2404"/>
        <v>0</v>
      </c>
      <c r="CT364" s="73">
        <f t="shared" si="2405"/>
        <v>0</v>
      </c>
      <c r="CU364" s="73">
        <f t="shared" si="2406"/>
        <v>0</v>
      </c>
      <c r="CV364" s="73">
        <f t="shared" si="2407"/>
        <v>0</v>
      </c>
      <c r="CW364" s="73">
        <f t="shared" si="2408"/>
        <v>0</v>
      </c>
      <c r="CX364" s="73">
        <f t="shared" si="2409"/>
        <v>0</v>
      </c>
      <c r="CY364" s="73">
        <f t="shared" si="2410"/>
        <v>0</v>
      </c>
      <c r="CZ364" s="190"/>
      <c r="DA364" s="66">
        <v>2012</v>
      </c>
      <c r="DB364" s="218">
        <f t="shared" si="2379"/>
        <v>0</v>
      </c>
      <c r="DC364" s="218">
        <f t="shared" si="2380"/>
        <v>0</v>
      </c>
      <c r="DD364" s="73">
        <f t="shared" si="2381"/>
        <v>0</v>
      </c>
      <c r="DE364" s="73">
        <f t="shared" si="2382"/>
        <v>0</v>
      </c>
      <c r="DF364" s="73">
        <f t="shared" si="2383"/>
        <v>0</v>
      </c>
      <c r="DG364" s="73">
        <f t="shared" si="2384"/>
        <v>0</v>
      </c>
      <c r="DH364" s="72" t="e">
        <f t="shared" si="2411"/>
        <v>#DIV/0!</v>
      </c>
      <c r="DI364" s="72" t="e">
        <f t="shared" si="2412"/>
        <v>#DIV/0!</v>
      </c>
      <c r="DJ364" s="73">
        <f>SUM(AV356:AV364,BB356:BB364,BI356:BI364)</f>
        <v>0</v>
      </c>
      <c r="DK364" s="73">
        <f>SUM(AV362:AV364,BB362:BB364,BI362:BI364)</f>
        <v>0</v>
      </c>
      <c r="DL364" s="190"/>
    </row>
    <row r="365" spans="22:116" x14ac:dyDescent="0.25">
      <c r="V365" s="13"/>
      <c r="W365" s="66">
        <v>9</v>
      </c>
      <c r="X365" s="66">
        <v>2013</v>
      </c>
      <c r="Y365" s="69">
        <v>0</v>
      </c>
      <c r="Z365" s="69">
        <v>0</v>
      </c>
      <c r="AA365" s="69">
        <v>0</v>
      </c>
      <c r="AB365" s="69">
        <v>0</v>
      </c>
      <c r="AC365" s="69">
        <v>0</v>
      </c>
      <c r="AD365" s="69">
        <v>0</v>
      </c>
      <c r="AE365" s="69">
        <v>0</v>
      </c>
      <c r="AF365" s="69">
        <v>0</v>
      </c>
      <c r="AG365" s="69">
        <v>0</v>
      </c>
      <c r="AH365" s="69">
        <v>0</v>
      </c>
      <c r="AI365" s="69">
        <v>0</v>
      </c>
      <c r="AJ365" s="69">
        <v>0</v>
      </c>
      <c r="AK365" s="69">
        <v>0</v>
      </c>
      <c r="AL365" s="69">
        <v>0</v>
      </c>
      <c r="AM365" s="69">
        <v>0</v>
      </c>
      <c r="AN365" s="69">
        <v>0</v>
      </c>
      <c r="AO365" s="69">
        <v>0</v>
      </c>
      <c r="AP365" s="190"/>
      <c r="AQ365" s="66">
        <v>9</v>
      </c>
      <c r="AR365" s="66">
        <v>2013</v>
      </c>
      <c r="AS365" s="215">
        <f t="shared" si="2362"/>
        <v>0</v>
      </c>
      <c r="AT365" s="215">
        <f t="shared" si="2363"/>
        <v>0</v>
      </c>
      <c r="AU365" s="215">
        <f t="shared" si="2364"/>
        <v>0</v>
      </c>
      <c r="AV365" s="215">
        <f t="shared" si="2365"/>
        <v>0</v>
      </c>
      <c r="AW365" s="215">
        <f t="shared" si="2366"/>
        <v>0</v>
      </c>
      <c r="AX365" s="215">
        <f t="shared" si="2367"/>
        <v>0</v>
      </c>
      <c r="AY365" s="215">
        <f t="shared" si="2368"/>
        <v>0</v>
      </c>
      <c r="AZ365" s="215">
        <f t="shared" si="2369"/>
        <v>0</v>
      </c>
      <c r="BA365" s="215">
        <f t="shared" si="2370"/>
        <v>0</v>
      </c>
      <c r="BB365" s="215">
        <f t="shared" si="2371"/>
        <v>0</v>
      </c>
      <c r="BC365" s="215">
        <f t="shared" si="2372"/>
        <v>0</v>
      </c>
      <c r="BD365" s="215">
        <f t="shared" si="2373"/>
        <v>0</v>
      </c>
      <c r="BE365" s="215">
        <f t="shared" si="2374"/>
        <v>0</v>
      </c>
      <c r="BF365" s="215">
        <f t="shared" si="2375"/>
        <v>0</v>
      </c>
      <c r="BG365" s="215">
        <f t="shared" si="2376"/>
        <v>0</v>
      </c>
      <c r="BH365" s="215">
        <f t="shared" si="2377"/>
        <v>0</v>
      </c>
      <c r="BI365" s="215">
        <f t="shared" si="2378"/>
        <v>0</v>
      </c>
      <c r="BJ365" s="195"/>
      <c r="BK365" s="66">
        <v>9</v>
      </c>
      <c r="BL365" s="66">
        <v>2013</v>
      </c>
      <c r="BM365" s="215">
        <f t="shared" ref="BM365:BM375" si="2421">(AX364*pInt_InCare_Int_LTFU_2013plus_u)+(BM364*pInt_LTFU_2013plus_u)</f>
        <v>0</v>
      </c>
      <c r="BN365" s="219">
        <f t="shared" ref="BN365:BN375" si="2422">(AU364*pAsympt_LTFU_Int_LTFU_2013plus_u)+(BN364*pInt_LTFU_2013plus_u)</f>
        <v>0</v>
      </c>
      <c r="BO365" s="219">
        <f t="shared" ref="BO365:BO375" si="2423">(AY364*pInt_ART1_Int_LTFU_2013plus_u)+(BO364*pInt_LTFU_2013plus_u)</f>
        <v>0</v>
      </c>
      <c r="BP365" s="219">
        <f t="shared" ref="BP365:BP375" si="2424">(AZ364*pInt_ART2_Int_LTFU_2013plus_u)+(BP364*pInt_LTFU_2013plus_u)</f>
        <v>0</v>
      </c>
      <c r="BQ365" s="219">
        <f t="shared" ref="BQ365:BQ375" si="2425">(BD364*pAIDS_InCare_AIDS_LTFU_2013plus_u)+(BQ364*pAIDS_LTFU_2013plus_u)</f>
        <v>0</v>
      </c>
      <c r="BR365" s="220">
        <f t="shared" ref="BR365:BR375" si="2426">(BN364*pInt_LTFU_AIDS_LTFU_2013plus_u)+(BR364*pAIDS_LTFU_2013plus_u)</f>
        <v>0</v>
      </c>
      <c r="BS365" s="219">
        <f t="shared" ref="BS365:BS375" si="2427">(BM364*pInt_LTFU_AIDS_LTFU_2013plus_u)+(BS364*pAIDS_LTFU_2013plus_u)</f>
        <v>0</v>
      </c>
      <c r="BT365" s="219">
        <f t="shared" ref="BT365:BT375" si="2428">(BE364*pAIDS_ART1ear_AIDS_LTFU_2013plus_u)+(BT364*pAIDS_LTFU_2013plus_u)</f>
        <v>0</v>
      </c>
      <c r="BU365" s="219">
        <f t="shared" ref="BU365:BU375" si="2429">(BF364*pAIDS_ART1late_AIDS_LTFU_2013plus_u)+(BU364*pAIDS_LTFU_2013plus_u)</f>
        <v>0</v>
      </c>
      <c r="BV365" s="219">
        <f t="shared" ref="BV365:BV375" si="2430">(BO364*pInt_LTFU_AIDS_LTFU_2013plus_u)+(BV364*pAIDS_LTFU_2013plus_u)</f>
        <v>0</v>
      </c>
      <c r="BW365" s="219">
        <f t="shared" ref="BW365:BW375" si="2431">(BG364*pAIDS_ART2_AIDS_LTFU_2013plus_u)+(BW364*pAIDS_LTFU_2013plus_u)</f>
        <v>0</v>
      </c>
      <c r="BX365" s="220">
        <f t="shared" ref="BX365:BX375" si="2432">(BP364*pInt_LTFU_AIDS_LTFU_2013plus_u)+(BX364*pAIDS_LTFU_2013plus_u)</f>
        <v>0</v>
      </c>
      <c r="BY365" s="195"/>
      <c r="BZ365" s="66">
        <v>9</v>
      </c>
      <c r="CA365" s="66">
        <v>2013</v>
      </c>
      <c r="CB365" s="218">
        <f t="shared" ref="CB365:CB375" si="2433">pAsympt_NoCare_Asympt_Dead_2013plus_u*AS364</f>
        <v>0</v>
      </c>
      <c r="CC365" s="218">
        <f t="shared" ref="CC365:CC375" si="2434">pAsympt_InCare_Asympt_Dead_2013plus_u*AT364</f>
        <v>0</v>
      </c>
      <c r="CD365" s="73">
        <f t="shared" ref="CD365:CD375" si="2435">pAsympt_LTFU_Asympt_Dead_2013plus_u*AU364</f>
        <v>0</v>
      </c>
      <c r="CE365" s="73">
        <f t="shared" ref="CE365:CE375" si="2436">pInt_NoCare_Int_Dead_2013plus_u*AW364</f>
        <v>0</v>
      </c>
      <c r="CF365" s="73">
        <f t="shared" ref="CF365:CF375" si="2437">pInt_InCare_Int_Dead_2013plus_u*AX364</f>
        <v>0</v>
      </c>
      <c r="CG365" s="73">
        <f t="shared" ref="CG365:CG375" si="2438">pInt_ART1_Int_Dead_2013plus_u*AY364</f>
        <v>0</v>
      </c>
      <c r="CH365" s="73">
        <f t="shared" ref="CH365:CH375" si="2439">pInt_ART2_Int_Dead_2013plus_u*AZ364</f>
        <v>0</v>
      </c>
      <c r="CI365" s="73">
        <f t="shared" ref="CI365:CI375" si="2440">(BM364*pInt_LTFU_Int_Dead_2013plus_u)</f>
        <v>0</v>
      </c>
      <c r="CJ365" s="73">
        <f t="shared" ref="CJ365:CJ375" si="2441">(BN364*pInt_LTFU_Int_Dead_2013plus_u)</f>
        <v>0</v>
      </c>
      <c r="CK365" s="73">
        <f t="shared" ref="CK365:CK375" si="2442">(BO364*pInt_LTFU_Int_Dead_2013plus_u)</f>
        <v>0</v>
      </c>
      <c r="CL365" s="73">
        <f t="shared" ref="CL365:CL375" si="2443">(BP364*pInt_LTFU_Int_Dead_2013plus_u)</f>
        <v>0</v>
      </c>
      <c r="CM365" s="73">
        <f t="shared" ref="CM365:CM375" si="2444">pAIDS_NoCare_AIDS_Dead_2013plus_u*BC364</f>
        <v>0</v>
      </c>
      <c r="CN365" s="73">
        <f t="shared" ref="CN365:CN375" si="2445">pAIDS_InCare_AIDS_Dead_2013plus_u*BD364</f>
        <v>0</v>
      </c>
      <c r="CO365" s="73">
        <f t="shared" ref="CO365:CO375" si="2446">pAIDS_ART1ear_AIDS_Dead_2013plus_u*BE364</f>
        <v>0</v>
      </c>
      <c r="CP365" s="73">
        <f t="shared" ref="CP365:CP375" si="2447">pAIDS_ART1late_AIDS_Dead_2013plus_u*BF364</f>
        <v>0</v>
      </c>
      <c r="CQ365" s="73">
        <f t="shared" ref="CQ365:CQ375" si="2448">pAIDS_ART2_AIDS_Dead_2013plus_u*BG364</f>
        <v>0</v>
      </c>
      <c r="CR365" s="73">
        <f t="shared" ref="CR365:CR375" si="2449">(BQ364*pAIDS_LTFU_AIDS_Dead_2013plus_u)</f>
        <v>0</v>
      </c>
      <c r="CS365" s="73">
        <f t="shared" ref="CS365:CS375" si="2450">(BR364*pAIDS_LTFU_AIDS_Dead_2013plus_u)</f>
        <v>0</v>
      </c>
      <c r="CT365" s="73">
        <f t="shared" ref="CT365:CT375" si="2451">(BS364*pAIDS_LTFU_AIDS_Dead_2013plus_u)</f>
        <v>0</v>
      </c>
      <c r="CU365" s="73">
        <f t="shared" ref="CU365:CU375" si="2452">(BT364*pAIDS_LTFU_AIDS_Dead_2013plus_u)</f>
        <v>0</v>
      </c>
      <c r="CV365" s="73">
        <f t="shared" ref="CV365:CV375" si="2453">(BU364*pAIDS_LTFU_AIDS_Dead_2013plus_u)</f>
        <v>0</v>
      </c>
      <c r="CW365" s="73">
        <f t="shared" ref="CW365:CW375" si="2454">(BV364*pAIDS_LTFU_AIDS_Dead_2013plus_u)</f>
        <v>0</v>
      </c>
      <c r="CX365" s="73">
        <f t="shared" ref="CX365:CX375" si="2455">(BW364*pAIDS_LTFU_AIDS_Dead_2013plus_u)</f>
        <v>0</v>
      </c>
      <c r="CY365" s="73">
        <f t="shared" ref="CY365:CY375" si="2456">(BX364*pAIDS_LTFU_AIDS_Dead_2013plus_u)</f>
        <v>0</v>
      </c>
      <c r="CZ365" s="190"/>
      <c r="DA365" s="66">
        <v>2013</v>
      </c>
      <c r="DB365" s="218">
        <f t="shared" si="2379"/>
        <v>0</v>
      </c>
      <c r="DC365" s="218">
        <f t="shared" si="2380"/>
        <v>0</v>
      </c>
      <c r="DD365" s="73">
        <f t="shared" si="2381"/>
        <v>0</v>
      </c>
      <c r="DE365" s="73">
        <f t="shared" si="2382"/>
        <v>0</v>
      </c>
      <c r="DF365" s="73">
        <f t="shared" si="2383"/>
        <v>0</v>
      </c>
      <c r="DG365" s="73">
        <f t="shared" si="2384"/>
        <v>0</v>
      </c>
      <c r="DH365" s="72" t="e">
        <f t="shared" si="2411"/>
        <v>#DIV/0!</v>
      </c>
      <c r="DI365" s="72" t="e">
        <f t="shared" si="2412"/>
        <v>#DIV/0!</v>
      </c>
      <c r="DJ365" s="73">
        <f>SUM(AV356:AV365,BB356:BB365,BI356:BI365)</f>
        <v>0</v>
      </c>
      <c r="DK365" s="73">
        <f>SUM(AV362:AV365,BB362:BB365,BI362:BI365)</f>
        <v>0</v>
      </c>
      <c r="DL365" s="190"/>
    </row>
    <row r="366" spans="22:116" x14ac:dyDescent="0.25">
      <c r="V366" s="13"/>
      <c r="W366" s="66">
        <v>10</v>
      </c>
      <c r="X366" s="66">
        <v>2014</v>
      </c>
      <c r="Y366" s="69">
        <v>0</v>
      </c>
      <c r="Z366" s="69">
        <v>0</v>
      </c>
      <c r="AA366" s="69">
        <v>0</v>
      </c>
      <c r="AB366" s="69">
        <v>0</v>
      </c>
      <c r="AC366" s="69">
        <v>0</v>
      </c>
      <c r="AD366" s="69">
        <v>0</v>
      </c>
      <c r="AE366" s="69">
        <v>0</v>
      </c>
      <c r="AF366" s="69">
        <v>0</v>
      </c>
      <c r="AG366" s="69">
        <v>0</v>
      </c>
      <c r="AH366" s="69">
        <v>0</v>
      </c>
      <c r="AI366" s="69">
        <v>0</v>
      </c>
      <c r="AJ366" s="69">
        <v>0</v>
      </c>
      <c r="AK366" s="69">
        <v>0</v>
      </c>
      <c r="AL366" s="69">
        <v>0</v>
      </c>
      <c r="AM366" s="69">
        <v>0</v>
      </c>
      <c r="AN366" s="69">
        <v>0</v>
      </c>
      <c r="AO366" s="69">
        <v>0</v>
      </c>
      <c r="AP366" s="190"/>
      <c r="AQ366" s="66">
        <v>10</v>
      </c>
      <c r="AR366" s="66">
        <v>2014</v>
      </c>
      <c r="AS366" s="215">
        <f t="shared" si="2362"/>
        <v>0</v>
      </c>
      <c r="AT366" s="215">
        <f t="shared" si="2363"/>
        <v>0</v>
      </c>
      <c r="AU366" s="215">
        <f t="shared" si="2364"/>
        <v>0</v>
      </c>
      <c r="AV366" s="215">
        <f t="shared" si="2365"/>
        <v>0</v>
      </c>
      <c r="AW366" s="215">
        <f t="shared" si="2366"/>
        <v>0</v>
      </c>
      <c r="AX366" s="215">
        <f t="shared" si="2367"/>
        <v>0</v>
      </c>
      <c r="AY366" s="215">
        <f t="shared" si="2368"/>
        <v>0</v>
      </c>
      <c r="AZ366" s="215">
        <f t="shared" si="2369"/>
        <v>0</v>
      </c>
      <c r="BA366" s="215">
        <f t="shared" si="2370"/>
        <v>0</v>
      </c>
      <c r="BB366" s="215">
        <f t="shared" si="2371"/>
        <v>0</v>
      </c>
      <c r="BC366" s="215">
        <f t="shared" si="2372"/>
        <v>0</v>
      </c>
      <c r="BD366" s="215">
        <f t="shared" si="2373"/>
        <v>0</v>
      </c>
      <c r="BE366" s="215">
        <f t="shared" si="2374"/>
        <v>0</v>
      </c>
      <c r="BF366" s="215">
        <f t="shared" si="2375"/>
        <v>0</v>
      </c>
      <c r="BG366" s="215">
        <f t="shared" si="2376"/>
        <v>0</v>
      </c>
      <c r="BH366" s="215">
        <f t="shared" si="2377"/>
        <v>0</v>
      </c>
      <c r="BI366" s="215">
        <f t="shared" si="2378"/>
        <v>0</v>
      </c>
      <c r="BJ366" s="195"/>
      <c r="BK366" s="66">
        <v>10</v>
      </c>
      <c r="BL366" s="66">
        <v>2014</v>
      </c>
      <c r="BM366" s="215">
        <f t="shared" si="2421"/>
        <v>0</v>
      </c>
      <c r="BN366" s="219">
        <f t="shared" si="2422"/>
        <v>0</v>
      </c>
      <c r="BO366" s="219">
        <f t="shared" si="2423"/>
        <v>0</v>
      </c>
      <c r="BP366" s="219">
        <f t="shared" si="2424"/>
        <v>0</v>
      </c>
      <c r="BQ366" s="219">
        <f t="shared" si="2425"/>
        <v>0</v>
      </c>
      <c r="BR366" s="220">
        <f t="shared" si="2426"/>
        <v>0</v>
      </c>
      <c r="BS366" s="219">
        <f t="shared" si="2427"/>
        <v>0</v>
      </c>
      <c r="BT366" s="219">
        <f t="shared" si="2428"/>
        <v>0</v>
      </c>
      <c r="BU366" s="219">
        <f t="shared" si="2429"/>
        <v>0</v>
      </c>
      <c r="BV366" s="219">
        <f t="shared" si="2430"/>
        <v>0</v>
      </c>
      <c r="BW366" s="219">
        <f t="shared" si="2431"/>
        <v>0</v>
      </c>
      <c r="BX366" s="220">
        <f t="shared" si="2432"/>
        <v>0</v>
      </c>
      <c r="BY366" s="195"/>
      <c r="BZ366" s="66">
        <v>10</v>
      </c>
      <c r="CA366" s="66">
        <v>2014</v>
      </c>
      <c r="CB366" s="218">
        <f t="shared" si="2433"/>
        <v>0</v>
      </c>
      <c r="CC366" s="218">
        <f t="shared" si="2434"/>
        <v>0</v>
      </c>
      <c r="CD366" s="73">
        <f t="shared" si="2435"/>
        <v>0</v>
      </c>
      <c r="CE366" s="73">
        <f t="shared" si="2436"/>
        <v>0</v>
      </c>
      <c r="CF366" s="73">
        <f t="shared" si="2437"/>
        <v>0</v>
      </c>
      <c r="CG366" s="73">
        <f t="shared" si="2438"/>
        <v>0</v>
      </c>
      <c r="CH366" s="73">
        <f t="shared" si="2439"/>
        <v>0</v>
      </c>
      <c r="CI366" s="73">
        <f t="shared" si="2440"/>
        <v>0</v>
      </c>
      <c r="CJ366" s="73">
        <f t="shared" si="2441"/>
        <v>0</v>
      </c>
      <c r="CK366" s="73">
        <f t="shared" si="2442"/>
        <v>0</v>
      </c>
      <c r="CL366" s="73">
        <f t="shared" si="2443"/>
        <v>0</v>
      </c>
      <c r="CM366" s="73">
        <f t="shared" si="2444"/>
        <v>0</v>
      </c>
      <c r="CN366" s="73">
        <f t="shared" si="2445"/>
        <v>0</v>
      </c>
      <c r="CO366" s="73">
        <f t="shared" si="2446"/>
        <v>0</v>
      </c>
      <c r="CP366" s="73">
        <f t="shared" si="2447"/>
        <v>0</v>
      </c>
      <c r="CQ366" s="73">
        <f t="shared" si="2448"/>
        <v>0</v>
      </c>
      <c r="CR366" s="73">
        <f t="shared" si="2449"/>
        <v>0</v>
      </c>
      <c r="CS366" s="73">
        <f t="shared" si="2450"/>
        <v>0</v>
      </c>
      <c r="CT366" s="73">
        <f t="shared" si="2451"/>
        <v>0</v>
      </c>
      <c r="CU366" s="73">
        <f t="shared" si="2452"/>
        <v>0</v>
      </c>
      <c r="CV366" s="73">
        <f t="shared" si="2453"/>
        <v>0</v>
      </c>
      <c r="CW366" s="73">
        <f t="shared" si="2454"/>
        <v>0</v>
      </c>
      <c r="CX366" s="73">
        <f t="shared" si="2455"/>
        <v>0</v>
      </c>
      <c r="CY366" s="73">
        <f t="shared" si="2456"/>
        <v>0</v>
      </c>
      <c r="CZ366" s="190"/>
      <c r="DA366" s="66">
        <v>2014</v>
      </c>
      <c r="DB366" s="218">
        <f t="shared" si="2379"/>
        <v>0</v>
      </c>
      <c r="DC366" s="218">
        <f t="shared" si="2380"/>
        <v>0</v>
      </c>
      <c r="DD366" s="73">
        <f t="shared" si="2381"/>
        <v>0</v>
      </c>
      <c r="DE366" s="73">
        <f t="shared" si="2382"/>
        <v>0</v>
      </c>
      <c r="DF366" s="73">
        <f t="shared" si="2383"/>
        <v>0</v>
      </c>
      <c r="DG366" s="73">
        <f t="shared" si="2384"/>
        <v>0</v>
      </c>
      <c r="DH366" s="72" t="e">
        <f t="shared" si="2411"/>
        <v>#DIV/0!</v>
      </c>
      <c r="DI366" s="72" t="e">
        <f t="shared" si="2412"/>
        <v>#DIV/0!</v>
      </c>
      <c r="DJ366" s="73">
        <f>SUM(AV356:AV366,BB356:BB366,BI356:BI366)</f>
        <v>0</v>
      </c>
      <c r="DK366" s="73">
        <f>SUM(AV362:AV366,BB362:BB366,BI362:BI366)</f>
        <v>0</v>
      </c>
      <c r="DL366" s="190"/>
    </row>
    <row r="367" spans="22:116" x14ac:dyDescent="0.25">
      <c r="V367" s="13"/>
      <c r="W367" s="66">
        <v>11</v>
      </c>
      <c r="X367" s="66">
        <v>2015</v>
      </c>
      <c r="Y367" s="69">
        <v>0</v>
      </c>
      <c r="Z367" s="69">
        <v>0</v>
      </c>
      <c r="AA367" s="69">
        <v>0</v>
      </c>
      <c r="AB367" s="69">
        <v>0</v>
      </c>
      <c r="AC367" s="69">
        <v>0</v>
      </c>
      <c r="AD367" s="69">
        <v>0</v>
      </c>
      <c r="AE367" s="69">
        <v>0</v>
      </c>
      <c r="AF367" s="69">
        <v>0</v>
      </c>
      <c r="AG367" s="69">
        <v>0</v>
      </c>
      <c r="AH367" s="69">
        <v>0</v>
      </c>
      <c r="AI367" s="69">
        <v>0</v>
      </c>
      <c r="AJ367" s="69">
        <v>0</v>
      </c>
      <c r="AK367" s="69">
        <v>0</v>
      </c>
      <c r="AL367" s="69">
        <v>0</v>
      </c>
      <c r="AM367" s="69">
        <v>0</v>
      </c>
      <c r="AN367" s="69">
        <v>0</v>
      </c>
      <c r="AO367" s="69">
        <v>0</v>
      </c>
      <c r="AP367" s="190"/>
      <c r="AQ367" s="66">
        <v>11</v>
      </c>
      <c r="AR367" s="66">
        <v>2015</v>
      </c>
      <c r="AS367" s="215">
        <f t="shared" si="2362"/>
        <v>0</v>
      </c>
      <c r="AT367" s="215">
        <f t="shared" si="2363"/>
        <v>0</v>
      </c>
      <c r="AU367" s="215">
        <f t="shared" si="2364"/>
        <v>0</v>
      </c>
      <c r="AV367" s="215">
        <f t="shared" si="2365"/>
        <v>0</v>
      </c>
      <c r="AW367" s="215">
        <f t="shared" si="2366"/>
        <v>0</v>
      </c>
      <c r="AX367" s="215">
        <f t="shared" si="2367"/>
        <v>0</v>
      </c>
      <c r="AY367" s="215">
        <f t="shared" si="2368"/>
        <v>0</v>
      </c>
      <c r="AZ367" s="215">
        <f t="shared" si="2369"/>
        <v>0</v>
      </c>
      <c r="BA367" s="215">
        <f t="shared" si="2370"/>
        <v>0</v>
      </c>
      <c r="BB367" s="215">
        <f t="shared" si="2371"/>
        <v>0</v>
      </c>
      <c r="BC367" s="215">
        <f t="shared" si="2372"/>
        <v>0</v>
      </c>
      <c r="BD367" s="215">
        <f t="shared" si="2373"/>
        <v>0</v>
      </c>
      <c r="BE367" s="215">
        <f t="shared" si="2374"/>
        <v>0</v>
      </c>
      <c r="BF367" s="215">
        <f t="shared" si="2375"/>
        <v>0</v>
      </c>
      <c r="BG367" s="215">
        <f t="shared" si="2376"/>
        <v>0</v>
      </c>
      <c r="BH367" s="215">
        <f t="shared" si="2377"/>
        <v>0</v>
      </c>
      <c r="BI367" s="215">
        <f t="shared" si="2378"/>
        <v>0</v>
      </c>
      <c r="BJ367" s="195"/>
      <c r="BK367" s="66">
        <v>11</v>
      </c>
      <c r="BL367" s="66">
        <v>2015</v>
      </c>
      <c r="BM367" s="215">
        <f t="shared" si="2421"/>
        <v>0</v>
      </c>
      <c r="BN367" s="219">
        <f t="shared" si="2422"/>
        <v>0</v>
      </c>
      <c r="BO367" s="219">
        <f t="shared" si="2423"/>
        <v>0</v>
      </c>
      <c r="BP367" s="219">
        <f t="shared" si="2424"/>
        <v>0</v>
      </c>
      <c r="BQ367" s="219">
        <f t="shared" si="2425"/>
        <v>0</v>
      </c>
      <c r="BR367" s="220">
        <f t="shared" si="2426"/>
        <v>0</v>
      </c>
      <c r="BS367" s="219">
        <f t="shared" si="2427"/>
        <v>0</v>
      </c>
      <c r="BT367" s="219">
        <f t="shared" si="2428"/>
        <v>0</v>
      </c>
      <c r="BU367" s="219">
        <f t="shared" si="2429"/>
        <v>0</v>
      </c>
      <c r="BV367" s="219">
        <f t="shared" si="2430"/>
        <v>0</v>
      </c>
      <c r="BW367" s="219">
        <f t="shared" si="2431"/>
        <v>0</v>
      </c>
      <c r="BX367" s="220">
        <f t="shared" si="2432"/>
        <v>0</v>
      </c>
      <c r="BY367" s="195"/>
      <c r="BZ367" s="66">
        <v>11</v>
      </c>
      <c r="CA367" s="66">
        <v>2015</v>
      </c>
      <c r="CB367" s="218">
        <f t="shared" si="2433"/>
        <v>0</v>
      </c>
      <c r="CC367" s="218">
        <f t="shared" si="2434"/>
        <v>0</v>
      </c>
      <c r="CD367" s="73">
        <f t="shared" si="2435"/>
        <v>0</v>
      </c>
      <c r="CE367" s="73">
        <f t="shared" si="2436"/>
        <v>0</v>
      </c>
      <c r="CF367" s="73">
        <f t="shared" si="2437"/>
        <v>0</v>
      </c>
      <c r="CG367" s="73">
        <f t="shared" si="2438"/>
        <v>0</v>
      </c>
      <c r="CH367" s="73">
        <f t="shared" si="2439"/>
        <v>0</v>
      </c>
      <c r="CI367" s="73">
        <f t="shared" si="2440"/>
        <v>0</v>
      </c>
      <c r="CJ367" s="73">
        <f t="shared" si="2441"/>
        <v>0</v>
      </c>
      <c r="CK367" s="73">
        <f t="shared" si="2442"/>
        <v>0</v>
      </c>
      <c r="CL367" s="73">
        <f t="shared" si="2443"/>
        <v>0</v>
      </c>
      <c r="CM367" s="73">
        <f t="shared" si="2444"/>
        <v>0</v>
      </c>
      <c r="CN367" s="73">
        <f t="shared" si="2445"/>
        <v>0</v>
      </c>
      <c r="CO367" s="73">
        <f t="shared" si="2446"/>
        <v>0</v>
      </c>
      <c r="CP367" s="73">
        <f t="shared" si="2447"/>
        <v>0</v>
      </c>
      <c r="CQ367" s="73">
        <f t="shared" si="2448"/>
        <v>0</v>
      </c>
      <c r="CR367" s="73">
        <f t="shared" si="2449"/>
        <v>0</v>
      </c>
      <c r="CS367" s="73">
        <f t="shared" si="2450"/>
        <v>0</v>
      </c>
      <c r="CT367" s="73">
        <f t="shared" si="2451"/>
        <v>0</v>
      </c>
      <c r="CU367" s="73">
        <f t="shared" si="2452"/>
        <v>0</v>
      </c>
      <c r="CV367" s="73">
        <f t="shared" si="2453"/>
        <v>0</v>
      </c>
      <c r="CW367" s="73">
        <f t="shared" si="2454"/>
        <v>0</v>
      </c>
      <c r="CX367" s="73">
        <f t="shared" si="2455"/>
        <v>0</v>
      </c>
      <c r="CY367" s="73">
        <f t="shared" si="2456"/>
        <v>0</v>
      </c>
      <c r="CZ367" s="190"/>
      <c r="DA367" s="66">
        <v>2015</v>
      </c>
      <c r="DB367" s="218">
        <f t="shared" si="2379"/>
        <v>0</v>
      </c>
      <c r="DC367" s="218">
        <f t="shared" si="2380"/>
        <v>0</v>
      </c>
      <c r="DD367" s="73">
        <f t="shared" si="2381"/>
        <v>0</v>
      </c>
      <c r="DE367" s="73">
        <f t="shared" si="2382"/>
        <v>0</v>
      </c>
      <c r="DF367" s="73">
        <f t="shared" si="2383"/>
        <v>0</v>
      </c>
      <c r="DG367" s="73">
        <f t="shared" si="2384"/>
        <v>0</v>
      </c>
      <c r="DH367" s="72" t="e">
        <f t="shared" si="2411"/>
        <v>#DIV/0!</v>
      </c>
      <c r="DI367" s="72" t="e">
        <f t="shared" si="2412"/>
        <v>#DIV/0!</v>
      </c>
      <c r="DJ367" s="73">
        <f>SUM(AV356:AV367,BB356:BB367,BI356:BI367)</f>
        <v>0</v>
      </c>
      <c r="DK367" s="73">
        <f>SUM(AV362:AV367,BB362:BB367,BI362:BI367)</f>
        <v>0</v>
      </c>
      <c r="DL367" s="190"/>
    </row>
    <row r="368" spans="22:116" x14ac:dyDescent="0.25">
      <c r="V368" s="13"/>
      <c r="W368" s="66">
        <v>12</v>
      </c>
      <c r="X368" s="66">
        <v>2016</v>
      </c>
      <c r="Y368" s="69">
        <v>0</v>
      </c>
      <c r="Z368" s="69">
        <v>0</v>
      </c>
      <c r="AA368" s="69">
        <v>0</v>
      </c>
      <c r="AB368" s="69">
        <v>0</v>
      </c>
      <c r="AC368" s="69">
        <v>0</v>
      </c>
      <c r="AD368" s="69">
        <v>0</v>
      </c>
      <c r="AE368" s="69">
        <v>0</v>
      </c>
      <c r="AF368" s="69">
        <v>0</v>
      </c>
      <c r="AG368" s="69">
        <v>0</v>
      </c>
      <c r="AH368" s="69">
        <v>0</v>
      </c>
      <c r="AI368" s="69">
        <v>0</v>
      </c>
      <c r="AJ368" s="69">
        <v>0</v>
      </c>
      <c r="AK368" s="69">
        <v>0</v>
      </c>
      <c r="AL368" s="69">
        <v>0</v>
      </c>
      <c r="AM368" s="69">
        <v>0</v>
      </c>
      <c r="AN368" s="69">
        <v>0</v>
      </c>
      <c r="AO368" s="69">
        <v>0</v>
      </c>
      <c r="AP368" s="190"/>
      <c r="AQ368" s="66">
        <v>12</v>
      </c>
      <c r="AR368" s="66">
        <v>2016</v>
      </c>
      <c r="AS368" s="215">
        <f t="shared" si="2362"/>
        <v>0</v>
      </c>
      <c r="AT368" s="215">
        <f t="shared" si="2363"/>
        <v>0</v>
      </c>
      <c r="AU368" s="215">
        <f t="shared" si="2364"/>
        <v>0</v>
      </c>
      <c r="AV368" s="215">
        <f t="shared" si="2365"/>
        <v>0</v>
      </c>
      <c r="AW368" s="215">
        <f t="shared" si="2366"/>
        <v>0</v>
      </c>
      <c r="AX368" s="215">
        <f t="shared" si="2367"/>
        <v>0</v>
      </c>
      <c r="AY368" s="215">
        <f t="shared" si="2368"/>
        <v>0</v>
      </c>
      <c r="AZ368" s="215">
        <f t="shared" si="2369"/>
        <v>0</v>
      </c>
      <c r="BA368" s="215">
        <f t="shared" si="2370"/>
        <v>0</v>
      </c>
      <c r="BB368" s="215">
        <f t="shared" si="2371"/>
        <v>0</v>
      </c>
      <c r="BC368" s="215">
        <f t="shared" si="2372"/>
        <v>0</v>
      </c>
      <c r="BD368" s="215">
        <f t="shared" si="2373"/>
        <v>0</v>
      </c>
      <c r="BE368" s="215">
        <f t="shared" si="2374"/>
        <v>0</v>
      </c>
      <c r="BF368" s="215">
        <f t="shared" si="2375"/>
        <v>0</v>
      </c>
      <c r="BG368" s="215">
        <f t="shared" si="2376"/>
        <v>0</v>
      </c>
      <c r="BH368" s="215">
        <f t="shared" si="2377"/>
        <v>0</v>
      </c>
      <c r="BI368" s="215">
        <f t="shared" si="2378"/>
        <v>0</v>
      </c>
      <c r="BJ368" s="195"/>
      <c r="BK368" s="66">
        <v>12</v>
      </c>
      <c r="BL368" s="66">
        <v>2016</v>
      </c>
      <c r="BM368" s="215">
        <f t="shared" si="2421"/>
        <v>0</v>
      </c>
      <c r="BN368" s="219">
        <f t="shared" si="2422"/>
        <v>0</v>
      </c>
      <c r="BO368" s="219">
        <f t="shared" si="2423"/>
        <v>0</v>
      </c>
      <c r="BP368" s="219">
        <f t="shared" si="2424"/>
        <v>0</v>
      </c>
      <c r="BQ368" s="219">
        <f t="shared" si="2425"/>
        <v>0</v>
      </c>
      <c r="BR368" s="220">
        <f t="shared" si="2426"/>
        <v>0</v>
      </c>
      <c r="BS368" s="219">
        <f t="shared" si="2427"/>
        <v>0</v>
      </c>
      <c r="BT368" s="219">
        <f t="shared" si="2428"/>
        <v>0</v>
      </c>
      <c r="BU368" s="219">
        <f t="shared" si="2429"/>
        <v>0</v>
      </c>
      <c r="BV368" s="219">
        <f t="shared" si="2430"/>
        <v>0</v>
      </c>
      <c r="BW368" s="219">
        <f t="shared" si="2431"/>
        <v>0</v>
      </c>
      <c r="BX368" s="220">
        <f t="shared" si="2432"/>
        <v>0</v>
      </c>
      <c r="BY368" s="195"/>
      <c r="BZ368" s="66">
        <v>12</v>
      </c>
      <c r="CA368" s="66">
        <v>2016</v>
      </c>
      <c r="CB368" s="218">
        <f t="shared" si="2433"/>
        <v>0</v>
      </c>
      <c r="CC368" s="218">
        <f t="shared" si="2434"/>
        <v>0</v>
      </c>
      <c r="CD368" s="73">
        <f t="shared" si="2435"/>
        <v>0</v>
      </c>
      <c r="CE368" s="73">
        <f t="shared" si="2436"/>
        <v>0</v>
      </c>
      <c r="CF368" s="73">
        <f t="shared" si="2437"/>
        <v>0</v>
      </c>
      <c r="CG368" s="73">
        <f t="shared" si="2438"/>
        <v>0</v>
      </c>
      <c r="CH368" s="73">
        <f t="shared" si="2439"/>
        <v>0</v>
      </c>
      <c r="CI368" s="73">
        <f t="shared" si="2440"/>
        <v>0</v>
      </c>
      <c r="CJ368" s="73">
        <f t="shared" si="2441"/>
        <v>0</v>
      </c>
      <c r="CK368" s="73">
        <f t="shared" si="2442"/>
        <v>0</v>
      </c>
      <c r="CL368" s="73">
        <f t="shared" si="2443"/>
        <v>0</v>
      </c>
      <c r="CM368" s="73">
        <f t="shared" si="2444"/>
        <v>0</v>
      </c>
      <c r="CN368" s="73">
        <f t="shared" si="2445"/>
        <v>0</v>
      </c>
      <c r="CO368" s="73">
        <f t="shared" si="2446"/>
        <v>0</v>
      </c>
      <c r="CP368" s="73">
        <f t="shared" si="2447"/>
        <v>0</v>
      </c>
      <c r="CQ368" s="73">
        <f t="shared" si="2448"/>
        <v>0</v>
      </c>
      <c r="CR368" s="73">
        <f t="shared" si="2449"/>
        <v>0</v>
      </c>
      <c r="CS368" s="73">
        <f t="shared" si="2450"/>
        <v>0</v>
      </c>
      <c r="CT368" s="73">
        <f t="shared" si="2451"/>
        <v>0</v>
      </c>
      <c r="CU368" s="73">
        <f t="shared" si="2452"/>
        <v>0</v>
      </c>
      <c r="CV368" s="73">
        <f t="shared" si="2453"/>
        <v>0</v>
      </c>
      <c r="CW368" s="73">
        <f t="shared" si="2454"/>
        <v>0</v>
      </c>
      <c r="CX368" s="73">
        <f t="shared" si="2455"/>
        <v>0</v>
      </c>
      <c r="CY368" s="73">
        <f t="shared" si="2456"/>
        <v>0</v>
      </c>
      <c r="CZ368" s="190"/>
      <c r="DA368" s="66">
        <v>2016</v>
      </c>
      <c r="DB368" s="218">
        <f t="shared" si="2379"/>
        <v>0</v>
      </c>
      <c r="DC368" s="218">
        <f t="shared" si="2380"/>
        <v>0</v>
      </c>
      <c r="DD368" s="73">
        <f t="shared" si="2381"/>
        <v>0</v>
      </c>
      <c r="DE368" s="73">
        <f t="shared" si="2382"/>
        <v>0</v>
      </c>
      <c r="DF368" s="73">
        <f t="shared" si="2383"/>
        <v>0</v>
      </c>
      <c r="DG368" s="73">
        <f t="shared" si="2384"/>
        <v>0</v>
      </c>
      <c r="DH368" s="72" t="e">
        <f t="shared" si="2411"/>
        <v>#DIV/0!</v>
      </c>
      <c r="DI368" s="72" t="e">
        <f t="shared" si="2412"/>
        <v>#DIV/0!</v>
      </c>
      <c r="DJ368" s="73">
        <f>SUM(AV356:AV368,BB356:BB368,BI356:BI368)</f>
        <v>0</v>
      </c>
      <c r="DK368" s="73">
        <f>SUM(AV362:AV368,BB362:BB368,BI362:BI368)</f>
        <v>0</v>
      </c>
      <c r="DL368" s="190"/>
    </row>
    <row r="369" spans="22:116" x14ac:dyDescent="0.25">
      <c r="V369" s="13"/>
      <c r="W369" s="66">
        <v>13</v>
      </c>
      <c r="X369" s="66">
        <v>2017</v>
      </c>
      <c r="Y369" s="69">
        <v>0</v>
      </c>
      <c r="Z369" s="69">
        <v>0</v>
      </c>
      <c r="AA369" s="69">
        <v>0</v>
      </c>
      <c r="AB369" s="69">
        <v>0</v>
      </c>
      <c r="AC369" s="69">
        <v>0</v>
      </c>
      <c r="AD369" s="69">
        <v>0</v>
      </c>
      <c r="AE369" s="69">
        <v>0</v>
      </c>
      <c r="AF369" s="69">
        <v>0</v>
      </c>
      <c r="AG369" s="69">
        <v>0</v>
      </c>
      <c r="AH369" s="69">
        <v>0</v>
      </c>
      <c r="AI369" s="69">
        <v>0</v>
      </c>
      <c r="AJ369" s="69">
        <v>0</v>
      </c>
      <c r="AK369" s="69">
        <v>0</v>
      </c>
      <c r="AL369" s="69">
        <v>0</v>
      </c>
      <c r="AM369" s="69">
        <v>0</v>
      </c>
      <c r="AN369" s="69">
        <v>0</v>
      </c>
      <c r="AO369" s="69">
        <v>0</v>
      </c>
      <c r="AP369" s="190"/>
      <c r="AQ369" s="66">
        <v>13</v>
      </c>
      <c r="AR369" s="66">
        <v>2017</v>
      </c>
      <c r="AS369" s="215">
        <f t="shared" si="2362"/>
        <v>0</v>
      </c>
      <c r="AT369" s="215">
        <f t="shared" si="2363"/>
        <v>0</v>
      </c>
      <c r="AU369" s="215">
        <f t="shared" si="2364"/>
        <v>0</v>
      </c>
      <c r="AV369" s="215">
        <f t="shared" si="2365"/>
        <v>0</v>
      </c>
      <c r="AW369" s="215">
        <f t="shared" si="2366"/>
        <v>0</v>
      </c>
      <c r="AX369" s="215">
        <f t="shared" si="2367"/>
        <v>0</v>
      </c>
      <c r="AY369" s="215">
        <f t="shared" si="2368"/>
        <v>0</v>
      </c>
      <c r="AZ369" s="215">
        <f t="shared" si="2369"/>
        <v>0</v>
      </c>
      <c r="BA369" s="215">
        <f t="shared" si="2370"/>
        <v>0</v>
      </c>
      <c r="BB369" s="215">
        <f t="shared" si="2371"/>
        <v>0</v>
      </c>
      <c r="BC369" s="215">
        <f t="shared" si="2372"/>
        <v>0</v>
      </c>
      <c r="BD369" s="215">
        <f t="shared" si="2373"/>
        <v>0</v>
      </c>
      <c r="BE369" s="215">
        <f t="shared" si="2374"/>
        <v>0</v>
      </c>
      <c r="BF369" s="215">
        <f t="shared" si="2375"/>
        <v>0</v>
      </c>
      <c r="BG369" s="215">
        <f t="shared" si="2376"/>
        <v>0</v>
      </c>
      <c r="BH369" s="215">
        <f t="shared" si="2377"/>
        <v>0</v>
      </c>
      <c r="BI369" s="215">
        <f t="shared" si="2378"/>
        <v>0</v>
      </c>
      <c r="BJ369" s="195"/>
      <c r="BK369" s="66">
        <v>13</v>
      </c>
      <c r="BL369" s="66">
        <v>2017</v>
      </c>
      <c r="BM369" s="215">
        <f t="shared" si="2421"/>
        <v>0</v>
      </c>
      <c r="BN369" s="219">
        <f t="shared" si="2422"/>
        <v>0</v>
      </c>
      <c r="BO369" s="219">
        <f t="shared" si="2423"/>
        <v>0</v>
      </c>
      <c r="BP369" s="219">
        <f t="shared" si="2424"/>
        <v>0</v>
      </c>
      <c r="BQ369" s="219">
        <f t="shared" si="2425"/>
        <v>0</v>
      </c>
      <c r="BR369" s="220">
        <f t="shared" si="2426"/>
        <v>0</v>
      </c>
      <c r="BS369" s="219">
        <f t="shared" si="2427"/>
        <v>0</v>
      </c>
      <c r="BT369" s="219">
        <f t="shared" si="2428"/>
        <v>0</v>
      </c>
      <c r="BU369" s="219">
        <f t="shared" si="2429"/>
        <v>0</v>
      </c>
      <c r="BV369" s="219">
        <f t="shared" si="2430"/>
        <v>0</v>
      </c>
      <c r="BW369" s="219">
        <f t="shared" si="2431"/>
        <v>0</v>
      </c>
      <c r="BX369" s="220">
        <f t="shared" si="2432"/>
        <v>0</v>
      </c>
      <c r="BY369" s="195"/>
      <c r="BZ369" s="66">
        <v>13</v>
      </c>
      <c r="CA369" s="66">
        <v>2017</v>
      </c>
      <c r="CB369" s="218">
        <f t="shared" si="2433"/>
        <v>0</v>
      </c>
      <c r="CC369" s="218">
        <f t="shared" si="2434"/>
        <v>0</v>
      </c>
      <c r="CD369" s="73">
        <f t="shared" si="2435"/>
        <v>0</v>
      </c>
      <c r="CE369" s="73">
        <f t="shared" si="2436"/>
        <v>0</v>
      </c>
      <c r="CF369" s="73">
        <f t="shared" si="2437"/>
        <v>0</v>
      </c>
      <c r="CG369" s="73">
        <f t="shared" si="2438"/>
        <v>0</v>
      </c>
      <c r="CH369" s="73">
        <f t="shared" si="2439"/>
        <v>0</v>
      </c>
      <c r="CI369" s="73">
        <f t="shared" si="2440"/>
        <v>0</v>
      </c>
      <c r="CJ369" s="73">
        <f t="shared" si="2441"/>
        <v>0</v>
      </c>
      <c r="CK369" s="73">
        <f t="shared" si="2442"/>
        <v>0</v>
      </c>
      <c r="CL369" s="73">
        <f t="shared" si="2443"/>
        <v>0</v>
      </c>
      <c r="CM369" s="73">
        <f t="shared" si="2444"/>
        <v>0</v>
      </c>
      <c r="CN369" s="73">
        <f t="shared" si="2445"/>
        <v>0</v>
      </c>
      <c r="CO369" s="73">
        <f t="shared" si="2446"/>
        <v>0</v>
      </c>
      <c r="CP369" s="73">
        <f t="shared" si="2447"/>
        <v>0</v>
      </c>
      <c r="CQ369" s="73">
        <f t="shared" si="2448"/>
        <v>0</v>
      </c>
      <c r="CR369" s="73">
        <f t="shared" si="2449"/>
        <v>0</v>
      </c>
      <c r="CS369" s="73">
        <f t="shared" si="2450"/>
        <v>0</v>
      </c>
      <c r="CT369" s="73">
        <f t="shared" si="2451"/>
        <v>0</v>
      </c>
      <c r="CU369" s="73">
        <f t="shared" si="2452"/>
        <v>0</v>
      </c>
      <c r="CV369" s="73">
        <f t="shared" si="2453"/>
        <v>0</v>
      </c>
      <c r="CW369" s="73">
        <f t="shared" si="2454"/>
        <v>0</v>
      </c>
      <c r="CX369" s="73">
        <f t="shared" si="2455"/>
        <v>0</v>
      </c>
      <c r="CY369" s="73">
        <f t="shared" si="2456"/>
        <v>0</v>
      </c>
      <c r="CZ369" s="190"/>
      <c r="DA369" s="66">
        <v>2017</v>
      </c>
      <c r="DB369" s="218">
        <f t="shared" si="2379"/>
        <v>0</v>
      </c>
      <c r="DC369" s="218">
        <f t="shared" si="2380"/>
        <v>0</v>
      </c>
      <c r="DD369" s="73">
        <f t="shared" si="2381"/>
        <v>0</v>
      </c>
      <c r="DE369" s="73">
        <f t="shared" si="2382"/>
        <v>0</v>
      </c>
      <c r="DF369" s="73">
        <f t="shared" si="2383"/>
        <v>0</v>
      </c>
      <c r="DG369" s="73">
        <f t="shared" si="2384"/>
        <v>0</v>
      </c>
      <c r="DH369" s="72" t="e">
        <f t="shared" si="2411"/>
        <v>#DIV/0!</v>
      </c>
      <c r="DI369" s="72" t="e">
        <f t="shared" si="2412"/>
        <v>#DIV/0!</v>
      </c>
      <c r="DJ369" s="73">
        <f>SUM(AV356:AV369,BB356:BB369,BI356:BI369)</f>
        <v>0</v>
      </c>
      <c r="DK369" s="73">
        <f>SUM(AV362:AV369,BB362:BB369,BI362:BI369)</f>
        <v>0</v>
      </c>
      <c r="DL369" s="190"/>
    </row>
    <row r="370" spans="22:116" x14ac:dyDescent="0.25">
      <c r="V370" s="13"/>
      <c r="W370" s="66">
        <v>14</v>
      </c>
      <c r="X370" s="66">
        <v>2018</v>
      </c>
      <c r="Y370" s="69">
        <v>0</v>
      </c>
      <c r="Z370" s="69">
        <v>0</v>
      </c>
      <c r="AA370" s="69">
        <v>0</v>
      </c>
      <c r="AB370" s="69">
        <v>0</v>
      </c>
      <c r="AC370" s="69">
        <v>0</v>
      </c>
      <c r="AD370" s="69">
        <v>0</v>
      </c>
      <c r="AE370" s="69">
        <v>0</v>
      </c>
      <c r="AF370" s="69">
        <v>0</v>
      </c>
      <c r="AG370" s="69">
        <v>0</v>
      </c>
      <c r="AH370" s="69">
        <v>0</v>
      </c>
      <c r="AI370" s="69">
        <v>0</v>
      </c>
      <c r="AJ370" s="69">
        <v>0</v>
      </c>
      <c r="AK370" s="69">
        <v>0</v>
      </c>
      <c r="AL370" s="69">
        <v>0</v>
      </c>
      <c r="AM370" s="69">
        <v>0</v>
      </c>
      <c r="AN370" s="69">
        <v>0</v>
      </c>
      <c r="AO370" s="69">
        <v>0</v>
      </c>
      <c r="AP370" s="190"/>
      <c r="AQ370" s="66">
        <v>14</v>
      </c>
      <c r="AR370" s="66">
        <v>2018</v>
      </c>
      <c r="AS370" s="215">
        <f t="shared" si="2362"/>
        <v>0</v>
      </c>
      <c r="AT370" s="215">
        <f t="shared" si="2363"/>
        <v>0</v>
      </c>
      <c r="AU370" s="215">
        <f t="shared" si="2364"/>
        <v>0</v>
      </c>
      <c r="AV370" s="215">
        <f t="shared" si="2365"/>
        <v>0</v>
      </c>
      <c r="AW370" s="215">
        <f t="shared" si="2366"/>
        <v>0</v>
      </c>
      <c r="AX370" s="215">
        <f t="shared" si="2367"/>
        <v>0</v>
      </c>
      <c r="AY370" s="215">
        <f t="shared" si="2368"/>
        <v>0</v>
      </c>
      <c r="AZ370" s="215">
        <f t="shared" si="2369"/>
        <v>0</v>
      </c>
      <c r="BA370" s="215">
        <f t="shared" si="2370"/>
        <v>0</v>
      </c>
      <c r="BB370" s="215">
        <f t="shared" si="2371"/>
        <v>0</v>
      </c>
      <c r="BC370" s="215">
        <f t="shared" si="2372"/>
        <v>0</v>
      </c>
      <c r="BD370" s="215">
        <f t="shared" si="2373"/>
        <v>0</v>
      </c>
      <c r="BE370" s="215">
        <f t="shared" si="2374"/>
        <v>0</v>
      </c>
      <c r="BF370" s="215">
        <f t="shared" si="2375"/>
        <v>0</v>
      </c>
      <c r="BG370" s="215">
        <f t="shared" si="2376"/>
        <v>0</v>
      </c>
      <c r="BH370" s="215">
        <f t="shared" si="2377"/>
        <v>0</v>
      </c>
      <c r="BI370" s="215">
        <f t="shared" si="2378"/>
        <v>0</v>
      </c>
      <c r="BJ370" s="195"/>
      <c r="BK370" s="66">
        <v>14</v>
      </c>
      <c r="BL370" s="66">
        <v>2018</v>
      </c>
      <c r="BM370" s="215">
        <f t="shared" si="2421"/>
        <v>0</v>
      </c>
      <c r="BN370" s="219">
        <f t="shared" si="2422"/>
        <v>0</v>
      </c>
      <c r="BO370" s="219">
        <f t="shared" si="2423"/>
        <v>0</v>
      </c>
      <c r="BP370" s="219">
        <f t="shared" si="2424"/>
        <v>0</v>
      </c>
      <c r="BQ370" s="219">
        <f t="shared" si="2425"/>
        <v>0</v>
      </c>
      <c r="BR370" s="220">
        <f t="shared" si="2426"/>
        <v>0</v>
      </c>
      <c r="BS370" s="219">
        <f t="shared" si="2427"/>
        <v>0</v>
      </c>
      <c r="BT370" s="219">
        <f t="shared" si="2428"/>
        <v>0</v>
      </c>
      <c r="BU370" s="219">
        <f t="shared" si="2429"/>
        <v>0</v>
      </c>
      <c r="BV370" s="219">
        <f t="shared" si="2430"/>
        <v>0</v>
      </c>
      <c r="BW370" s="219">
        <f t="shared" si="2431"/>
        <v>0</v>
      </c>
      <c r="BX370" s="220">
        <f t="shared" si="2432"/>
        <v>0</v>
      </c>
      <c r="BY370" s="195"/>
      <c r="BZ370" s="66">
        <v>14</v>
      </c>
      <c r="CA370" s="66">
        <v>2018</v>
      </c>
      <c r="CB370" s="218">
        <f t="shared" si="2433"/>
        <v>0</v>
      </c>
      <c r="CC370" s="218">
        <f t="shared" si="2434"/>
        <v>0</v>
      </c>
      <c r="CD370" s="73">
        <f t="shared" si="2435"/>
        <v>0</v>
      </c>
      <c r="CE370" s="73">
        <f t="shared" si="2436"/>
        <v>0</v>
      </c>
      <c r="CF370" s="73">
        <f t="shared" si="2437"/>
        <v>0</v>
      </c>
      <c r="CG370" s="73">
        <f t="shared" si="2438"/>
        <v>0</v>
      </c>
      <c r="CH370" s="73">
        <f t="shared" si="2439"/>
        <v>0</v>
      </c>
      <c r="CI370" s="73">
        <f t="shared" si="2440"/>
        <v>0</v>
      </c>
      <c r="CJ370" s="73">
        <f t="shared" si="2441"/>
        <v>0</v>
      </c>
      <c r="CK370" s="73">
        <f t="shared" si="2442"/>
        <v>0</v>
      </c>
      <c r="CL370" s="73">
        <f t="shared" si="2443"/>
        <v>0</v>
      </c>
      <c r="CM370" s="73">
        <f t="shared" si="2444"/>
        <v>0</v>
      </c>
      <c r="CN370" s="73">
        <f t="shared" si="2445"/>
        <v>0</v>
      </c>
      <c r="CO370" s="73">
        <f t="shared" si="2446"/>
        <v>0</v>
      </c>
      <c r="CP370" s="73">
        <f t="shared" si="2447"/>
        <v>0</v>
      </c>
      <c r="CQ370" s="73">
        <f t="shared" si="2448"/>
        <v>0</v>
      </c>
      <c r="CR370" s="73">
        <f t="shared" si="2449"/>
        <v>0</v>
      </c>
      <c r="CS370" s="73">
        <f t="shared" si="2450"/>
        <v>0</v>
      </c>
      <c r="CT370" s="73">
        <f t="shared" si="2451"/>
        <v>0</v>
      </c>
      <c r="CU370" s="73">
        <f t="shared" si="2452"/>
        <v>0</v>
      </c>
      <c r="CV370" s="73">
        <f t="shared" si="2453"/>
        <v>0</v>
      </c>
      <c r="CW370" s="73">
        <f t="shared" si="2454"/>
        <v>0</v>
      </c>
      <c r="CX370" s="73">
        <f t="shared" si="2455"/>
        <v>0</v>
      </c>
      <c r="CY370" s="73">
        <f t="shared" si="2456"/>
        <v>0</v>
      </c>
      <c r="CZ370" s="190"/>
      <c r="DA370" s="66">
        <v>2018</v>
      </c>
      <c r="DB370" s="218">
        <f t="shared" si="2379"/>
        <v>0</v>
      </c>
      <c r="DC370" s="218">
        <f t="shared" si="2380"/>
        <v>0</v>
      </c>
      <c r="DD370" s="73">
        <f t="shared" si="2381"/>
        <v>0</v>
      </c>
      <c r="DE370" s="73">
        <f t="shared" si="2382"/>
        <v>0</v>
      </c>
      <c r="DF370" s="73">
        <f t="shared" si="2383"/>
        <v>0</v>
      </c>
      <c r="DG370" s="73">
        <f t="shared" si="2384"/>
        <v>0</v>
      </c>
      <c r="DH370" s="72" t="e">
        <f t="shared" si="2411"/>
        <v>#DIV/0!</v>
      </c>
      <c r="DI370" s="72" t="e">
        <f t="shared" si="2412"/>
        <v>#DIV/0!</v>
      </c>
      <c r="DJ370" s="73">
        <f>SUM(AV356:AV370,BB356:BB370,BI356:BI370)</f>
        <v>0</v>
      </c>
      <c r="DK370" s="73">
        <f>SUM(AV362:AV370,BB362:BB370,BI362:BI370)</f>
        <v>0</v>
      </c>
      <c r="DL370" s="190"/>
    </row>
    <row r="371" spans="22:116" x14ac:dyDescent="0.25">
      <c r="V371" s="13"/>
      <c r="W371" s="66">
        <v>15</v>
      </c>
      <c r="X371" s="66">
        <v>2019</v>
      </c>
      <c r="Y371" s="69">
        <v>0</v>
      </c>
      <c r="Z371" s="69">
        <v>0</v>
      </c>
      <c r="AA371" s="69">
        <v>0</v>
      </c>
      <c r="AB371" s="69">
        <v>0</v>
      </c>
      <c r="AC371" s="69">
        <v>0</v>
      </c>
      <c r="AD371" s="69">
        <v>0</v>
      </c>
      <c r="AE371" s="69">
        <v>0</v>
      </c>
      <c r="AF371" s="69">
        <v>0</v>
      </c>
      <c r="AG371" s="69">
        <v>0</v>
      </c>
      <c r="AH371" s="69">
        <v>0</v>
      </c>
      <c r="AI371" s="69">
        <v>0</v>
      </c>
      <c r="AJ371" s="69">
        <v>0</v>
      </c>
      <c r="AK371" s="69">
        <v>0</v>
      </c>
      <c r="AL371" s="69">
        <v>0</v>
      </c>
      <c r="AM371" s="69">
        <v>0</v>
      </c>
      <c r="AN371" s="69">
        <v>0</v>
      </c>
      <c r="AO371" s="69">
        <v>0</v>
      </c>
      <c r="AP371" s="190"/>
      <c r="AQ371" s="66">
        <v>15</v>
      </c>
      <c r="AR371" s="66">
        <v>2019</v>
      </c>
      <c r="AS371" s="215">
        <f t="shared" si="2362"/>
        <v>0</v>
      </c>
      <c r="AT371" s="215">
        <f t="shared" si="2363"/>
        <v>0</v>
      </c>
      <c r="AU371" s="215">
        <f t="shared" si="2364"/>
        <v>0</v>
      </c>
      <c r="AV371" s="215">
        <f t="shared" si="2365"/>
        <v>0</v>
      </c>
      <c r="AW371" s="215">
        <f t="shared" si="2366"/>
        <v>0</v>
      </c>
      <c r="AX371" s="215">
        <f t="shared" si="2367"/>
        <v>0</v>
      </c>
      <c r="AY371" s="215">
        <f t="shared" si="2368"/>
        <v>0</v>
      </c>
      <c r="AZ371" s="215">
        <f t="shared" si="2369"/>
        <v>0</v>
      </c>
      <c r="BA371" s="215">
        <f t="shared" si="2370"/>
        <v>0</v>
      </c>
      <c r="BB371" s="215">
        <f t="shared" si="2371"/>
        <v>0</v>
      </c>
      <c r="BC371" s="215">
        <f t="shared" si="2372"/>
        <v>0</v>
      </c>
      <c r="BD371" s="215">
        <f t="shared" si="2373"/>
        <v>0</v>
      </c>
      <c r="BE371" s="215">
        <f t="shared" si="2374"/>
        <v>0</v>
      </c>
      <c r="BF371" s="215">
        <f t="shared" si="2375"/>
        <v>0</v>
      </c>
      <c r="BG371" s="215">
        <f t="shared" si="2376"/>
        <v>0</v>
      </c>
      <c r="BH371" s="215">
        <f t="shared" si="2377"/>
        <v>0</v>
      </c>
      <c r="BI371" s="215">
        <f t="shared" si="2378"/>
        <v>0</v>
      </c>
      <c r="BJ371" s="195"/>
      <c r="BK371" s="66">
        <v>15</v>
      </c>
      <c r="BL371" s="66">
        <v>2019</v>
      </c>
      <c r="BM371" s="215">
        <f t="shared" si="2421"/>
        <v>0</v>
      </c>
      <c r="BN371" s="219">
        <f t="shared" si="2422"/>
        <v>0</v>
      </c>
      <c r="BO371" s="219">
        <f t="shared" si="2423"/>
        <v>0</v>
      </c>
      <c r="BP371" s="219">
        <f t="shared" si="2424"/>
        <v>0</v>
      </c>
      <c r="BQ371" s="219">
        <f t="shared" si="2425"/>
        <v>0</v>
      </c>
      <c r="BR371" s="220">
        <f t="shared" si="2426"/>
        <v>0</v>
      </c>
      <c r="BS371" s="219">
        <f t="shared" si="2427"/>
        <v>0</v>
      </c>
      <c r="BT371" s="219">
        <f t="shared" si="2428"/>
        <v>0</v>
      </c>
      <c r="BU371" s="219">
        <f t="shared" si="2429"/>
        <v>0</v>
      </c>
      <c r="BV371" s="219">
        <f t="shared" si="2430"/>
        <v>0</v>
      </c>
      <c r="BW371" s="219">
        <f t="shared" si="2431"/>
        <v>0</v>
      </c>
      <c r="BX371" s="220">
        <f t="shared" si="2432"/>
        <v>0</v>
      </c>
      <c r="BY371" s="195"/>
      <c r="BZ371" s="66">
        <v>15</v>
      </c>
      <c r="CA371" s="66">
        <v>2019</v>
      </c>
      <c r="CB371" s="218">
        <f t="shared" si="2433"/>
        <v>0</v>
      </c>
      <c r="CC371" s="218">
        <f t="shared" si="2434"/>
        <v>0</v>
      </c>
      <c r="CD371" s="73">
        <f t="shared" si="2435"/>
        <v>0</v>
      </c>
      <c r="CE371" s="73">
        <f t="shared" si="2436"/>
        <v>0</v>
      </c>
      <c r="CF371" s="73">
        <f t="shared" si="2437"/>
        <v>0</v>
      </c>
      <c r="CG371" s="73">
        <f t="shared" si="2438"/>
        <v>0</v>
      </c>
      <c r="CH371" s="73">
        <f t="shared" si="2439"/>
        <v>0</v>
      </c>
      <c r="CI371" s="73">
        <f t="shared" si="2440"/>
        <v>0</v>
      </c>
      <c r="CJ371" s="73">
        <f t="shared" si="2441"/>
        <v>0</v>
      </c>
      <c r="CK371" s="73">
        <f t="shared" si="2442"/>
        <v>0</v>
      </c>
      <c r="CL371" s="73">
        <f t="shared" si="2443"/>
        <v>0</v>
      </c>
      <c r="CM371" s="73">
        <f t="shared" si="2444"/>
        <v>0</v>
      </c>
      <c r="CN371" s="73">
        <f t="shared" si="2445"/>
        <v>0</v>
      </c>
      <c r="CO371" s="73">
        <f t="shared" si="2446"/>
        <v>0</v>
      </c>
      <c r="CP371" s="73">
        <f t="shared" si="2447"/>
        <v>0</v>
      </c>
      <c r="CQ371" s="73">
        <f t="shared" si="2448"/>
        <v>0</v>
      </c>
      <c r="CR371" s="73">
        <f t="shared" si="2449"/>
        <v>0</v>
      </c>
      <c r="CS371" s="73">
        <f t="shared" si="2450"/>
        <v>0</v>
      </c>
      <c r="CT371" s="73">
        <f t="shared" si="2451"/>
        <v>0</v>
      </c>
      <c r="CU371" s="73">
        <f t="shared" si="2452"/>
        <v>0</v>
      </c>
      <c r="CV371" s="73">
        <f t="shared" si="2453"/>
        <v>0</v>
      </c>
      <c r="CW371" s="73">
        <f t="shared" si="2454"/>
        <v>0</v>
      </c>
      <c r="CX371" s="73">
        <f t="shared" si="2455"/>
        <v>0</v>
      </c>
      <c r="CY371" s="73">
        <f t="shared" si="2456"/>
        <v>0</v>
      </c>
      <c r="CZ371" s="190"/>
      <c r="DA371" s="66">
        <v>2019</v>
      </c>
      <c r="DB371" s="218">
        <f t="shared" si="2379"/>
        <v>0</v>
      </c>
      <c r="DC371" s="218">
        <f t="shared" si="2380"/>
        <v>0</v>
      </c>
      <c r="DD371" s="73">
        <f t="shared" si="2381"/>
        <v>0</v>
      </c>
      <c r="DE371" s="73">
        <f t="shared" si="2382"/>
        <v>0</v>
      </c>
      <c r="DF371" s="73">
        <f t="shared" si="2383"/>
        <v>0</v>
      </c>
      <c r="DG371" s="73">
        <f t="shared" si="2384"/>
        <v>0</v>
      </c>
      <c r="DH371" s="72" t="e">
        <f t="shared" si="2411"/>
        <v>#DIV/0!</v>
      </c>
      <c r="DI371" s="72" t="e">
        <f t="shared" si="2412"/>
        <v>#DIV/0!</v>
      </c>
      <c r="DJ371" s="73">
        <f>SUM(AV356:AV371,BB356:BB371,BI356:BI371)</f>
        <v>0</v>
      </c>
      <c r="DK371" s="73">
        <f>SUM(AV362:AV371,BB362:BB371,BI362:BI371)</f>
        <v>0</v>
      </c>
      <c r="DL371" s="190"/>
    </row>
    <row r="372" spans="22:116" x14ac:dyDescent="0.25">
      <c r="V372" s="13"/>
      <c r="W372" s="66">
        <v>16</v>
      </c>
      <c r="X372" s="66">
        <v>2020</v>
      </c>
      <c r="Y372" s="69">
        <v>1</v>
      </c>
      <c r="Z372" s="69">
        <v>0</v>
      </c>
      <c r="AA372" s="69">
        <v>0</v>
      </c>
      <c r="AB372" s="69">
        <v>0</v>
      </c>
      <c r="AC372" s="69">
        <v>0</v>
      </c>
      <c r="AD372" s="69">
        <v>0</v>
      </c>
      <c r="AE372" s="69">
        <v>0</v>
      </c>
      <c r="AF372" s="69">
        <v>0</v>
      </c>
      <c r="AG372" s="69">
        <v>0</v>
      </c>
      <c r="AH372" s="69">
        <v>0</v>
      </c>
      <c r="AI372" s="69">
        <v>0</v>
      </c>
      <c r="AJ372" s="69">
        <v>0</v>
      </c>
      <c r="AK372" s="69">
        <v>0</v>
      </c>
      <c r="AL372" s="69">
        <v>0</v>
      </c>
      <c r="AM372" s="69">
        <v>0</v>
      </c>
      <c r="AN372" s="69">
        <v>0</v>
      </c>
      <c r="AO372" s="69">
        <v>0</v>
      </c>
      <c r="AP372" s="190"/>
      <c r="AQ372" s="66">
        <v>16</v>
      </c>
      <c r="AR372" s="66">
        <v>2020</v>
      </c>
      <c r="AS372" s="215">
        <f t="shared" si="2362"/>
        <v>8588.0400000000009</v>
      </c>
      <c r="AT372" s="215">
        <f t="shared" si="2363"/>
        <v>0</v>
      </c>
      <c r="AU372" s="215">
        <f t="shared" si="2364"/>
        <v>0</v>
      </c>
      <c r="AV372" s="215">
        <f t="shared" si="2365"/>
        <v>0</v>
      </c>
      <c r="AW372" s="215">
        <f t="shared" si="2366"/>
        <v>0</v>
      </c>
      <c r="AX372" s="215">
        <f t="shared" si="2367"/>
        <v>0</v>
      </c>
      <c r="AY372" s="215">
        <f t="shared" si="2368"/>
        <v>0</v>
      </c>
      <c r="AZ372" s="215">
        <f t="shared" si="2369"/>
        <v>0</v>
      </c>
      <c r="BA372" s="215">
        <f t="shared" si="2370"/>
        <v>0</v>
      </c>
      <c r="BB372" s="215">
        <f t="shared" si="2371"/>
        <v>0</v>
      </c>
      <c r="BC372" s="215">
        <f t="shared" si="2372"/>
        <v>0</v>
      </c>
      <c r="BD372" s="215">
        <f t="shared" si="2373"/>
        <v>0</v>
      </c>
      <c r="BE372" s="215">
        <f t="shared" si="2374"/>
        <v>0</v>
      </c>
      <c r="BF372" s="215">
        <f t="shared" si="2375"/>
        <v>0</v>
      </c>
      <c r="BG372" s="215">
        <f t="shared" si="2376"/>
        <v>0</v>
      </c>
      <c r="BH372" s="215">
        <f t="shared" si="2377"/>
        <v>0</v>
      </c>
      <c r="BI372" s="215">
        <f t="shared" si="2378"/>
        <v>0</v>
      </c>
      <c r="BJ372" s="195"/>
      <c r="BK372" s="66">
        <v>16</v>
      </c>
      <c r="BL372" s="66">
        <v>2020</v>
      </c>
      <c r="BM372" s="215">
        <f t="shared" si="2421"/>
        <v>0</v>
      </c>
      <c r="BN372" s="219">
        <f t="shared" si="2422"/>
        <v>0</v>
      </c>
      <c r="BO372" s="219">
        <f t="shared" si="2423"/>
        <v>0</v>
      </c>
      <c r="BP372" s="219">
        <f t="shared" si="2424"/>
        <v>0</v>
      </c>
      <c r="BQ372" s="219">
        <f t="shared" si="2425"/>
        <v>0</v>
      </c>
      <c r="BR372" s="220">
        <f t="shared" si="2426"/>
        <v>0</v>
      </c>
      <c r="BS372" s="219">
        <f t="shared" si="2427"/>
        <v>0</v>
      </c>
      <c r="BT372" s="219">
        <f t="shared" si="2428"/>
        <v>0</v>
      </c>
      <c r="BU372" s="219">
        <f t="shared" si="2429"/>
        <v>0</v>
      </c>
      <c r="BV372" s="219">
        <f t="shared" si="2430"/>
        <v>0</v>
      </c>
      <c r="BW372" s="219">
        <f t="shared" si="2431"/>
        <v>0</v>
      </c>
      <c r="BX372" s="220">
        <f t="shared" si="2432"/>
        <v>0</v>
      </c>
      <c r="BY372" s="195"/>
      <c r="BZ372" s="66">
        <v>16</v>
      </c>
      <c r="CA372" s="66">
        <v>2020</v>
      </c>
      <c r="CB372" s="218">
        <f t="shared" si="2433"/>
        <v>0</v>
      </c>
      <c r="CC372" s="218">
        <f t="shared" si="2434"/>
        <v>0</v>
      </c>
      <c r="CD372" s="73">
        <f t="shared" si="2435"/>
        <v>0</v>
      </c>
      <c r="CE372" s="73">
        <f t="shared" si="2436"/>
        <v>0</v>
      </c>
      <c r="CF372" s="73">
        <f t="shared" si="2437"/>
        <v>0</v>
      </c>
      <c r="CG372" s="73">
        <f t="shared" si="2438"/>
        <v>0</v>
      </c>
      <c r="CH372" s="73">
        <f t="shared" si="2439"/>
        <v>0</v>
      </c>
      <c r="CI372" s="73">
        <f t="shared" si="2440"/>
        <v>0</v>
      </c>
      <c r="CJ372" s="73">
        <f t="shared" si="2441"/>
        <v>0</v>
      </c>
      <c r="CK372" s="73">
        <f t="shared" si="2442"/>
        <v>0</v>
      </c>
      <c r="CL372" s="73">
        <f t="shared" si="2443"/>
        <v>0</v>
      </c>
      <c r="CM372" s="73">
        <f t="shared" si="2444"/>
        <v>0</v>
      </c>
      <c r="CN372" s="73">
        <f t="shared" si="2445"/>
        <v>0</v>
      </c>
      <c r="CO372" s="73">
        <f t="shared" si="2446"/>
        <v>0</v>
      </c>
      <c r="CP372" s="73">
        <f t="shared" si="2447"/>
        <v>0</v>
      </c>
      <c r="CQ372" s="73">
        <f t="shared" si="2448"/>
        <v>0</v>
      </c>
      <c r="CR372" s="73">
        <f t="shared" si="2449"/>
        <v>0</v>
      </c>
      <c r="CS372" s="73">
        <f t="shared" si="2450"/>
        <v>0</v>
      </c>
      <c r="CT372" s="73">
        <f t="shared" si="2451"/>
        <v>0</v>
      </c>
      <c r="CU372" s="73">
        <f t="shared" si="2452"/>
        <v>0</v>
      </c>
      <c r="CV372" s="73">
        <f t="shared" si="2453"/>
        <v>0</v>
      </c>
      <c r="CW372" s="73">
        <f t="shared" si="2454"/>
        <v>0</v>
      </c>
      <c r="CX372" s="73">
        <f t="shared" si="2455"/>
        <v>0</v>
      </c>
      <c r="CY372" s="73">
        <f t="shared" si="2456"/>
        <v>0</v>
      </c>
      <c r="CZ372" s="190"/>
      <c r="DA372" s="66">
        <v>2020</v>
      </c>
      <c r="DB372" s="218">
        <f t="shared" si="2379"/>
        <v>0</v>
      </c>
      <c r="DC372" s="218">
        <f t="shared" si="2380"/>
        <v>8588.0400000000009</v>
      </c>
      <c r="DD372" s="73">
        <f t="shared" si="2381"/>
        <v>0</v>
      </c>
      <c r="DE372" s="73">
        <f t="shared" si="2382"/>
        <v>0</v>
      </c>
      <c r="DF372" s="73">
        <f t="shared" si="2383"/>
        <v>0</v>
      </c>
      <c r="DG372" s="73">
        <f t="shared" si="2384"/>
        <v>0</v>
      </c>
      <c r="DH372" s="72" t="e">
        <f t="shared" si="2411"/>
        <v>#DIV/0!</v>
      </c>
      <c r="DI372" s="72" t="e">
        <f t="shared" si="2412"/>
        <v>#DIV/0!</v>
      </c>
      <c r="DJ372" s="73">
        <f>SUM(AV356:AV372,BB356:BB372,BI356:BI372)</f>
        <v>0</v>
      </c>
      <c r="DK372" s="73">
        <f>SUM(AV362:AV372,BB362:BB372,BI362:BI372)</f>
        <v>0</v>
      </c>
      <c r="DL372" s="190"/>
    </row>
    <row r="373" spans="22:116" x14ac:dyDescent="0.25">
      <c r="V373" s="63"/>
      <c r="W373" s="66">
        <v>17</v>
      </c>
      <c r="X373" s="66">
        <v>2021</v>
      </c>
      <c r="Y373" s="70">
        <f t="shared" ref="Y373:Y375" si="2457">MMULT($Y372:$AO372,D$202:D$218)</f>
        <v>0.63376008575865694</v>
      </c>
      <c r="Z373" s="70">
        <f t="shared" ref="Z373:Z375" si="2458">MMULT($Y372:$AO372,E$202:E$218)</f>
        <v>7.4027434914144222E-2</v>
      </c>
      <c r="AA373" s="70">
        <f t="shared" ref="AA373:AA375" si="2459">MMULT($Y372:$AO372,F$202:F$218)</f>
        <v>0</v>
      </c>
      <c r="AB373" s="70">
        <f t="shared" ref="AB373:AB375" si="2460">MMULT($Y372:$AO372,G$202:G$218)</f>
        <v>1.818504441305463E-2</v>
      </c>
      <c r="AC373" s="70">
        <f t="shared" ref="AC373:AC375" si="2461">MMULT($Y372:$AO372,H$202:H$218)</f>
        <v>0.2</v>
      </c>
      <c r="AD373" s="70">
        <f t="shared" ref="AD373:AD375" si="2462">MMULT($Y372:$AO372,I$202:I$218)</f>
        <v>7.4027434914144222E-2</v>
      </c>
      <c r="AE373" s="70">
        <f t="shared" ref="AE373:AE375" si="2463">MMULT($Y372:$AO372,J$202:J$218)</f>
        <v>0</v>
      </c>
      <c r="AF373" s="70">
        <f t="shared" ref="AF373:AF375" si="2464">MMULT($Y372:$AO372,K$202:K$218)</f>
        <v>0</v>
      </c>
      <c r="AG373" s="70">
        <f t="shared" ref="AG373:AG375" si="2465">MMULT($Y372:$AO372,L$202:L$218)</f>
        <v>0</v>
      </c>
      <c r="AH373" s="70">
        <f t="shared" ref="AH373:AH375" si="2466">MMULT($Y372:$AO372,M$202:M$218)</f>
        <v>0</v>
      </c>
      <c r="AI373" s="70">
        <f t="shared" ref="AI373:AI375" si="2467">MMULT($Y372:$AO372,N$202:N$218)</f>
        <v>0</v>
      </c>
      <c r="AJ373" s="70">
        <f t="shared" ref="AJ373:AJ375" si="2468">MMULT($Y372:$AO372,O$202:O$218)</f>
        <v>0</v>
      </c>
      <c r="AK373" s="70">
        <f t="shared" ref="AK373:AK375" si="2469">MMULT($Y372:$AO372,P$202:P$218)</f>
        <v>0</v>
      </c>
      <c r="AL373" s="70">
        <f t="shared" ref="AL373:AL375" si="2470">MMULT($Y372:$AO372,Q$202:Q$218)</f>
        <v>0</v>
      </c>
      <c r="AM373" s="70">
        <f t="shared" ref="AM373:AM375" si="2471">MMULT($Y372:$AO372,R$202:R$218)</f>
        <v>0</v>
      </c>
      <c r="AN373" s="70">
        <f t="shared" ref="AN373:AN375" si="2472">MMULT($Y372:$AO372,S$202:S$218)</f>
        <v>0</v>
      </c>
      <c r="AO373" s="70">
        <f t="shared" ref="AO373:AO375" si="2473">MMULT($Y372:$AO372,T$202:T$218)</f>
        <v>0</v>
      </c>
      <c r="AP373" s="190"/>
      <c r="AQ373" s="66">
        <v>17</v>
      </c>
      <c r="AR373" s="66">
        <v>2021</v>
      </c>
      <c r="AS373" s="215">
        <f t="shared" si="2362"/>
        <v>5442.7569668987771</v>
      </c>
      <c r="AT373" s="215">
        <f t="shared" si="2363"/>
        <v>635.75057214006722</v>
      </c>
      <c r="AU373" s="215">
        <f t="shared" si="2364"/>
        <v>0</v>
      </c>
      <c r="AV373" s="215">
        <f t="shared" si="2365"/>
        <v>156.17388882108969</v>
      </c>
      <c r="AW373" s="215">
        <f t="shared" si="2366"/>
        <v>1717.6080000000002</v>
      </c>
      <c r="AX373" s="215">
        <f t="shared" si="2367"/>
        <v>635.75057214006722</v>
      </c>
      <c r="AY373" s="215">
        <f t="shared" si="2368"/>
        <v>0</v>
      </c>
      <c r="AZ373" s="215">
        <f t="shared" si="2369"/>
        <v>0</v>
      </c>
      <c r="BA373" s="215">
        <f t="shared" si="2370"/>
        <v>0</v>
      </c>
      <c r="BB373" s="215">
        <f t="shared" si="2371"/>
        <v>0</v>
      </c>
      <c r="BC373" s="215">
        <f t="shared" si="2372"/>
        <v>0</v>
      </c>
      <c r="BD373" s="215">
        <f t="shared" si="2373"/>
        <v>0</v>
      </c>
      <c r="BE373" s="215">
        <f t="shared" si="2374"/>
        <v>0</v>
      </c>
      <c r="BF373" s="215">
        <f t="shared" si="2375"/>
        <v>0</v>
      </c>
      <c r="BG373" s="215">
        <f t="shared" si="2376"/>
        <v>0</v>
      </c>
      <c r="BH373" s="215">
        <f t="shared" si="2377"/>
        <v>0</v>
      </c>
      <c r="BI373" s="215">
        <f t="shared" si="2378"/>
        <v>0</v>
      </c>
      <c r="BJ373" s="195"/>
      <c r="BK373" s="66">
        <v>17</v>
      </c>
      <c r="BL373" s="66">
        <v>2021</v>
      </c>
      <c r="BM373" s="215">
        <f t="shared" si="2421"/>
        <v>0</v>
      </c>
      <c r="BN373" s="219">
        <f t="shared" si="2422"/>
        <v>0</v>
      </c>
      <c r="BO373" s="219">
        <f t="shared" si="2423"/>
        <v>0</v>
      </c>
      <c r="BP373" s="219">
        <f t="shared" si="2424"/>
        <v>0</v>
      </c>
      <c r="BQ373" s="219">
        <f t="shared" si="2425"/>
        <v>0</v>
      </c>
      <c r="BR373" s="220">
        <f t="shared" si="2426"/>
        <v>0</v>
      </c>
      <c r="BS373" s="219">
        <f t="shared" si="2427"/>
        <v>0</v>
      </c>
      <c r="BT373" s="219">
        <f t="shared" si="2428"/>
        <v>0</v>
      </c>
      <c r="BU373" s="219">
        <f t="shared" si="2429"/>
        <v>0</v>
      </c>
      <c r="BV373" s="219">
        <f t="shared" si="2430"/>
        <v>0</v>
      </c>
      <c r="BW373" s="219">
        <f t="shared" si="2431"/>
        <v>0</v>
      </c>
      <c r="BX373" s="220">
        <f t="shared" si="2432"/>
        <v>0</v>
      </c>
      <c r="BY373" s="195"/>
      <c r="BZ373" s="66">
        <v>17</v>
      </c>
      <c r="CA373" s="66">
        <v>2021</v>
      </c>
      <c r="CB373" s="218">
        <f t="shared" si="2433"/>
        <v>156.17388882108969</v>
      </c>
      <c r="CC373" s="218">
        <f t="shared" si="2434"/>
        <v>0</v>
      </c>
      <c r="CD373" s="73">
        <f t="shared" si="2435"/>
        <v>0</v>
      </c>
      <c r="CE373" s="73">
        <f t="shared" si="2436"/>
        <v>0</v>
      </c>
      <c r="CF373" s="73">
        <f t="shared" si="2437"/>
        <v>0</v>
      </c>
      <c r="CG373" s="73">
        <f t="shared" si="2438"/>
        <v>0</v>
      </c>
      <c r="CH373" s="73">
        <f t="shared" si="2439"/>
        <v>0</v>
      </c>
      <c r="CI373" s="73">
        <f t="shared" si="2440"/>
        <v>0</v>
      </c>
      <c r="CJ373" s="73">
        <f t="shared" si="2441"/>
        <v>0</v>
      </c>
      <c r="CK373" s="73">
        <f t="shared" si="2442"/>
        <v>0</v>
      </c>
      <c r="CL373" s="73">
        <f t="shared" si="2443"/>
        <v>0</v>
      </c>
      <c r="CM373" s="73">
        <f t="shared" si="2444"/>
        <v>0</v>
      </c>
      <c r="CN373" s="73">
        <f t="shared" si="2445"/>
        <v>0</v>
      </c>
      <c r="CO373" s="73">
        <f t="shared" si="2446"/>
        <v>0</v>
      </c>
      <c r="CP373" s="73">
        <f t="shared" si="2447"/>
        <v>0</v>
      </c>
      <c r="CQ373" s="73">
        <f t="shared" si="2448"/>
        <v>0</v>
      </c>
      <c r="CR373" s="73">
        <f t="shared" si="2449"/>
        <v>0</v>
      </c>
      <c r="CS373" s="73">
        <f t="shared" si="2450"/>
        <v>0</v>
      </c>
      <c r="CT373" s="73">
        <f t="shared" si="2451"/>
        <v>0</v>
      </c>
      <c r="CU373" s="73">
        <f t="shared" si="2452"/>
        <v>0</v>
      </c>
      <c r="CV373" s="73">
        <f t="shared" si="2453"/>
        <v>0</v>
      </c>
      <c r="CW373" s="73">
        <f t="shared" si="2454"/>
        <v>0</v>
      </c>
      <c r="CX373" s="73">
        <f t="shared" si="2455"/>
        <v>0</v>
      </c>
      <c r="CY373" s="73">
        <f t="shared" si="2456"/>
        <v>0</v>
      </c>
      <c r="CZ373" s="190"/>
      <c r="DA373" s="66">
        <v>2021</v>
      </c>
      <c r="DB373" s="218">
        <f t="shared" si="2379"/>
        <v>1271.5011442801344</v>
      </c>
      <c r="DC373" s="218">
        <f t="shared" si="2380"/>
        <v>8431.8661111789115</v>
      </c>
      <c r="DD373" s="73">
        <f t="shared" si="2381"/>
        <v>0</v>
      </c>
      <c r="DE373" s="73">
        <f t="shared" si="2382"/>
        <v>0</v>
      </c>
      <c r="DF373" s="73">
        <f t="shared" si="2383"/>
        <v>0</v>
      </c>
      <c r="DG373" s="73">
        <f t="shared" si="2384"/>
        <v>2353.3585721400673</v>
      </c>
      <c r="DH373" s="72">
        <f t="shared" si="2411"/>
        <v>0</v>
      </c>
      <c r="DI373" s="72" t="e">
        <f t="shared" si="2412"/>
        <v>#DIV/0!</v>
      </c>
      <c r="DJ373" s="73">
        <f>SUM(AV356:AV373,BB356:BB373,BI356:BI373)</f>
        <v>156.17388882108969</v>
      </c>
      <c r="DK373" s="73">
        <f>SUM(AV362:AV373,BB362:BB373,BI362:BI373)</f>
        <v>156.17388882108969</v>
      </c>
      <c r="DL373" s="190"/>
    </row>
    <row r="374" spans="22:116" x14ac:dyDescent="0.25">
      <c r="V374" s="63"/>
      <c r="W374" s="66">
        <v>18</v>
      </c>
      <c r="X374" s="66">
        <v>2022</v>
      </c>
      <c r="Y374" s="70">
        <f t="shared" si="2457"/>
        <v>0.40165184630082018</v>
      </c>
      <c r="Z374" s="70">
        <f t="shared" si="2458"/>
        <v>7.9350132444030066E-2</v>
      </c>
      <c r="AA374" s="70">
        <f t="shared" si="2459"/>
        <v>2.2711269412095766E-2</v>
      </c>
      <c r="AB374" s="70">
        <f t="shared" si="2460"/>
        <v>1.2788092354875989E-2</v>
      </c>
      <c r="AC374" s="70">
        <f t="shared" si="2461"/>
        <v>0.22169301105858225</v>
      </c>
      <c r="AD374" s="70">
        <f t="shared" si="2462"/>
        <v>0.1017364552227743</v>
      </c>
      <c r="AE374" s="70">
        <f t="shared" si="2463"/>
        <v>1.2322340839651991E-2</v>
      </c>
      <c r="AF374" s="70">
        <f t="shared" si="2464"/>
        <v>0</v>
      </c>
      <c r="AG374" s="70">
        <f t="shared" si="2465"/>
        <v>1.3509635260084139E-2</v>
      </c>
      <c r="AH374" s="70">
        <f t="shared" si="2466"/>
        <v>7.5148512019901498E-3</v>
      </c>
      <c r="AI374" s="70">
        <f t="shared" si="2467"/>
        <v>0.06</v>
      </c>
      <c r="AJ374" s="70">
        <f t="shared" si="2468"/>
        <v>4.1948879784681731E-2</v>
      </c>
      <c r="AK374" s="70">
        <f t="shared" si="2469"/>
        <v>6.5884417073588351E-3</v>
      </c>
      <c r="AL374" s="70">
        <f t="shared" si="2470"/>
        <v>0</v>
      </c>
      <c r="AM374" s="70">
        <f t="shared" si="2471"/>
        <v>0</v>
      </c>
      <c r="AN374" s="70">
        <f t="shared" si="2472"/>
        <v>0</v>
      </c>
      <c r="AO374" s="70">
        <f t="shared" si="2473"/>
        <v>0</v>
      </c>
      <c r="AP374" s="190"/>
      <c r="AQ374" s="66">
        <v>18</v>
      </c>
      <c r="AR374" s="66">
        <v>2022</v>
      </c>
      <c r="AS374" s="215">
        <f t="shared" si="2362"/>
        <v>3449.4021221052963</v>
      </c>
      <c r="AT374" s="215">
        <f t="shared" si="2363"/>
        <v>681.46211143462801</v>
      </c>
      <c r="AU374" s="215">
        <f t="shared" si="2364"/>
        <v>195.04529016185495</v>
      </c>
      <c r="AV374" s="215">
        <f t="shared" si="2365"/>
        <v>109.8246486673692</v>
      </c>
      <c r="AW374" s="215">
        <f t="shared" si="2366"/>
        <v>1903.9084466915469</v>
      </c>
      <c r="AX374" s="215">
        <f t="shared" si="2367"/>
        <v>873.71674691139469</v>
      </c>
      <c r="AY374" s="215">
        <f t="shared" si="2368"/>
        <v>105.82475602456491</v>
      </c>
      <c r="AZ374" s="215">
        <f t="shared" si="2369"/>
        <v>0</v>
      </c>
      <c r="BA374" s="215">
        <f t="shared" si="2370"/>
        <v>116.021287999013</v>
      </c>
      <c r="BB374" s="215">
        <f t="shared" si="2371"/>
        <v>64.53784271673949</v>
      </c>
      <c r="BC374" s="215">
        <f t="shared" si="2372"/>
        <v>515.28240000000005</v>
      </c>
      <c r="BD374" s="215">
        <f t="shared" si="2373"/>
        <v>360.25865754603814</v>
      </c>
      <c r="BE374" s="215">
        <f t="shared" si="2374"/>
        <v>56.581800920465973</v>
      </c>
      <c r="BF374" s="215">
        <f t="shared" si="2375"/>
        <v>0</v>
      </c>
      <c r="BG374" s="215">
        <f t="shared" si="2376"/>
        <v>0</v>
      </c>
      <c r="BH374" s="215">
        <f t="shared" si="2377"/>
        <v>0</v>
      </c>
      <c r="BI374" s="215">
        <f t="shared" si="2378"/>
        <v>0</v>
      </c>
      <c r="BJ374" s="195"/>
      <c r="BK374" s="66">
        <v>18</v>
      </c>
      <c r="BL374" s="66">
        <v>2022</v>
      </c>
      <c r="BM374" s="215">
        <f t="shared" si="2421"/>
        <v>116.021287999013</v>
      </c>
      <c r="BN374" s="219">
        <f t="shared" si="2422"/>
        <v>0</v>
      </c>
      <c r="BO374" s="219">
        <f t="shared" si="2423"/>
        <v>0</v>
      </c>
      <c r="BP374" s="219">
        <f t="shared" si="2424"/>
        <v>0</v>
      </c>
      <c r="BQ374" s="219">
        <f t="shared" si="2425"/>
        <v>0</v>
      </c>
      <c r="BR374" s="220">
        <f t="shared" si="2426"/>
        <v>0</v>
      </c>
      <c r="BS374" s="219">
        <f t="shared" si="2427"/>
        <v>0</v>
      </c>
      <c r="BT374" s="219">
        <f t="shared" si="2428"/>
        <v>0</v>
      </c>
      <c r="BU374" s="219">
        <f t="shared" si="2429"/>
        <v>0</v>
      </c>
      <c r="BV374" s="219">
        <f t="shared" si="2430"/>
        <v>0</v>
      </c>
      <c r="BW374" s="219">
        <f t="shared" si="2431"/>
        <v>0</v>
      </c>
      <c r="BX374" s="220">
        <f t="shared" si="2432"/>
        <v>0</v>
      </c>
      <c r="BY374" s="195"/>
      <c r="BZ374" s="66">
        <v>18</v>
      </c>
      <c r="CA374" s="66">
        <v>2022</v>
      </c>
      <c r="CB374" s="218">
        <f t="shared" si="2433"/>
        <v>98.976777172516762</v>
      </c>
      <c r="CC374" s="218">
        <f t="shared" si="2434"/>
        <v>10.847871494852438</v>
      </c>
      <c r="CD374" s="73">
        <f t="shared" si="2435"/>
        <v>0</v>
      </c>
      <c r="CE374" s="73">
        <f t="shared" si="2436"/>
        <v>47.901574880172824</v>
      </c>
      <c r="CF374" s="73">
        <f t="shared" si="2437"/>
        <v>16.636267836566656</v>
      </c>
      <c r="CG374" s="73">
        <f t="shared" si="2438"/>
        <v>0</v>
      </c>
      <c r="CH374" s="73">
        <f t="shared" si="2439"/>
        <v>0</v>
      </c>
      <c r="CI374" s="73">
        <f t="shared" si="2440"/>
        <v>0</v>
      </c>
      <c r="CJ374" s="73">
        <f t="shared" si="2441"/>
        <v>0</v>
      </c>
      <c r="CK374" s="73">
        <f t="shared" si="2442"/>
        <v>0</v>
      </c>
      <c r="CL374" s="73">
        <f t="shared" si="2443"/>
        <v>0</v>
      </c>
      <c r="CM374" s="73">
        <f t="shared" si="2444"/>
        <v>0</v>
      </c>
      <c r="CN374" s="73">
        <f t="shared" si="2445"/>
        <v>0</v>
      </c>
      <c r="CO374" s="73">
        <f t="shared" si="2446"/>
        <v>0</v>
      </c>
      <c r="CP374" s="73">
        <f t="shared" si="2447"/>
        <v>0</v>
      </c>
      <c r="CQ374" s="73">
        <f t="shared" si="2448"/>
        <v>0</v>
      </c>
      <c r="CR374" s="73">
        <f t="shared" si="2449"/>
        <v>0</v>
      </c>
      <c r="CS374" s="73">
        <f t="shared" si="2450"/>
        <v>0</v>
      </c>
      <c r="CT374" s="73">
        <f t="shared" si="2451"/>
        <v>0</v>
      </c>
      <c r="CU374" s="73">
        <f t="shared" si="2452"/>
        <v>0</v>
      </c>
      <c r="CV374" s="73">
        <f t="shared" si="2453"/>
        <v>0</v>
      </c>
      <c r="CW374" s="73">
        <f t="shared" si="2454"/>
        <v>0</v>
      </c>
      <c r="CX374" s="73">
        <f t="shared" si="2455"/>
        <v>0</v>
      </c>
      <c r="CY374" s="73">
        <f t="shared" si="2456"/>
        <v>0</v>
      </c>
      <c r="CZ374" s="190"/>
      <c r="DA374" s="66">
        <v>2022</v>
      </c>
      <c r="DB374" s="218">
        <f t="shared" si="2379"/>
        <v>1915.4375158920609</v>
      </c>
      <c r="DC374" s="218">
        <f t="shared" si="2380"/>
        <v>8257.5036197948029</v>
      </c>
      <c r="DD374" s="73">
        <f t="shared" si="2381"/>
        <v>162.40655694503087</v>
      </c>
      <c r="DE374" s="73">
        <f t="shared" si="2382"/>
        <v>56.581800920465973</v>
      </c>
      <c r="DF374" s="73">
        <f t="shared" si="2383"/>
        <v>875.54105754603825</v>
      </c>
      <c r="DG374" s="73">
        <f t="shared" si="2384"/>
        <v>3769.187539147993</v>
      </c>
      <c r="DH374" s="72">
        <f t="shared" si="2411"/>
        <v>4.1308068171742478E-2</v>
      </c>
      <c r="DI374" s="72">
        <f t="shared" si="2412"/>
        <v>6.0702084930684311E-2</v>
      </c>
      <c r="DJ374" s="73">
        <f>SUM(AV356:AV374,BB356:BB374,BI356:BI374)</f>
        <v>330.53638020519838</v>
      </c>
      <c r="DK374" s="73">
        <f>SUM(AV362:AV374,BB362:BB374,BI362:BI374)</f>
        <v>330.53638020519838</v>
      </c>
      <c r="DL374" s="190"/>
    </row>
    <row r="375" spans="22:116" x14ac:dyDescent="0.25">
      <c r="V375" s="63"/>
      <c r="W375" s="66">
        <v>19</v>
      </c>
      <c r="X375" s="66">
        <v>2023</v>
      </c>
      <c r="Y375" s="70">
        <f t="shared" si="2457"/>
        <v>0.25455090855673068</v>
      </c>
      <c r="Z375" s="70">
        <f t="shared" si="2458"/>
        <v>6.4499850078608451E-2</v>
      </c>
      <c r="AA375" s="70">
        <f t="shared" si="2459"/>
        <v>3.9118268432763954E-2</v>
      </c>
      <c r="AB375" s="70">
        <f t="shared" si="2460"/>
        <v>9.0710208405925634E-3</v>
      </c>
      <c r="AC375" s="70">
        <f t="shared" si="2461"/>
        <v>0.18556914332068541</v>
      </c>
      <c r="AD375" s="70">
        <f t="shared" si="2462"/>
        <v>9.5348753537974687E-2</v>
      </c>
      <c r="AE375" s="70">
        <f t="shared" si="2463"/>
        <v>3.3225173226078444E-2</v>
      </c>
      <c r="AF375" s="70">
        <f t="shared" si="2464"/>
        <v>2.4263437499190883E-3</v>
      </c>
      <c r="AG375" s="70">
        <f t="shared" si="2465"/>
        <v>2.8668531751787067E-2</v>
      </c>
      <c r="AH375" s="70">
        <f t="shared" si="2466"/>
        <v>9.2840050097176517E-3</v>
      </c>
      <c r="AI375" s="70">
        <f t="shared" si="2467"/>
        <v>7.0651352353037836E-2</v>
      </c>
      <c r="AJ375" s="70">
        <f t="shared" si="2468"/>
        <v>8.569708969366624E-2</v>
      </c>
      <c r="AK375" s="70">
        <f t="shared" si="2469"/>
        <v>3.0309750692456512E-2</v>
      </c>
      <c r="AL375" s="70">
        <f t="shared" si="2470"/>
        <v>5.4057491247627015E-3</v>
      </c>
      <c r="AM375" s="70">
        <f t="shared" si="2471"/>
        <v>0</v>
      </c>
      <c r="AN375" s="70">
        <f t="shared" si="2472"/>
        <v>5.9232001121558263E-3</v>
      </c>
      <c r="AO375" s="70">
        <f t="shared" si="2473"/>
        <v>4.1762871549142107E-2</v>
      </c>
      <c r="AP375" s="190"/>
      <c r="AQ375" s="66">
        <v>19</v>
      </c>
      <c r="AR375" s="66">
        <v>2023</v>
      </c>
      <c r="AS375" s="215">
        <f t="shared" si="2362"/>
        <v>2186.0933847215456</v>
      </c>
      <c r="AT375" s="215">
        <f t="shared" si="2363"/>
        <v>553.92729246909255</v>
      </c>
      <c r="AU375" s="215">
        <f t="shared" si="2364"/>
        <v>335.94925403131418</v>
      </c>
      <c r="AV375" s="215">
        <f t="shared" si="2365"/>
        <v>77.902289819842565</v>
      </c>
      <c r="AW375" s="215">
        <f t="shared" si="2366"/>
        <v>1593.6752256037794</v>
      </c>
      <c r="AX375" s="215">
        <f t="shared" si="2367"/>
        <v>818.85890933426822</v>
      </c>
      <c r="AY375" s="215">
        <f t="shared" si="2368"/>
        <v>285.33911667249077</v>
      </c>
      <c r="AZ375" s="215">
        <f t="shared" si="2369"/>
        <v>20.837537178055129</v>
      </c>
      <c r="BA375" s="215">
        <f t="shared" si="2370"/>
        <v>246.20649742561744</v>
      </c>
      <c r="BB375" s="215">
        <f t="shared" si="2371"/>
        <v>79.731406383655596</v>
      </c>
      <c r="BC375" s="215">
        <f t="shared" si="2372"/>
        <v>606.75664006198315</v>
      </c>
      <c r="BD375" s="215">
        <f t="shared" si="2373"/>
        <v>735.97003417279348</v>
      </c>
      <c r="BE375" s="215">
        <f t="shared" si="2374"/>
        <v>260.30135133684428</v>
      </c>
      <c r="BF375" s="215">
        <f t="shared" si="2375"/>
        <v>46.424789713427074</v>
      </c>
      <c r="BG375" s="215">
        <f t="shared" si="2376"/>
        <v>0</v>
      </c>
      <c r="BH375" s="215">
        <f t="shared" si="2377"/>
        <v>50.868679491198726</v>
      </c>
      <c r="BI375" s="215">
        <f t="shared" si="2378"/>
        <v>358.66121137889439</v>
      </c>
      <c r="BJ375" s="195"/>
      <c r="BK375" s="66">
        <v>19</v>
      </c>
      <c r="BL375" s="66">
        <v>2023</v>
      </c>
      <c r="BM375" s="215">
        <f t="shared" si="2421"/>
        <v>205.67509470161843</v>
      </c>
      <c r="BN375" s="219">
        <f t="shared" si="2422"/>
        <v>39.009058032370994</v>
      </c>
      <c r="BO375" s="219">
        <f t="shared" si="2423"/>
        <v>1.5223446916279959</v>
      </c>
      <c r="BP375" s="219">
        <f t="shared" si="2424"/>
        <v>0</v>
      </c>
      <c r="BQ375" s="219">
        <f t="shared" si="2425"/>
        <v>21.185182166464188</v>
      </c>
      <c r="BR375" s="220">
        <f t="shared" si="2426"/>
        <v>0</v>
      </c>
      <c r="BS375" s="219">
        <f t="shared" si="2427"/>
        <v>27.889554306043259</v>
      </c>
      <c r="BT375" s="219">
        <f t="shared" si="2428"/>
        <v>1.7939430186912875</v>
      </c>
      <c r="BU375" s="219">
        <f t="shared" si="2429"/>
        <v>0</v>
      </c>
      <c r="BV375" s="219">
        <f t="shared" si="2430"/>
        <v>0</v>
      </c>
      <c r="BW375" s="219">
        <f t="shared" si="2431"/>
        <v>0</v>
      </c>
      <c r="BX375" s="220">
        <f t="shared" si="2432"/>
        <v>0</v>
      </c>
      <c r="BY375" s="195"/>
      <c r="BZ375" s="66">
        <v>19</v>
      </c>
      <c r="CA375" s="66">
        <v>2023</v>
      </c>
      <c r="CB375" s="218">
        <f t="shared" si="2433"/>
        <v>62.727530788969702</v>
      </c>
      <c r="CC375" s="218">
        <f t="shared" si="2434"/>
        <v>11.627851766722399</v>
      </c>
      <c r="CD375" s="73">
        <f t="shared" si="2435"/>
        <v>3.5469072641504593</v>
      </c>
      <c r="CE375" s="73">
        <f t="shared" si="2436"/>
        <v>53.097221848168303</v>
      </c>
      <c r="CF375" s="73">
        <f t="shared" si="2437"/>
        <v>22.863346809083612</v>
      </c>
      <c r="CG375" s="73">
        <f t="shared" si="2438"/>
        <v>0.53517370132995767</v>
      </c>
      <c r="CH375" s="73">
        <f t="shared" si="2439"/>
        <v>0</v>
      </c>
      <c r="CI375" s="73">
        <f t="shared" si="2440"/>
        <v>3.2356640250737172</v>
      </c>
      <c r="CJ375" s="73">
        <f t="shared" si="2441"/>
        <v>0</v>
      </c>
      <c r="CK375" s="73">
        <f t="shared" si="2442"/>
        <v>0</v>
      </c>
      <c r="CL375" s="73">
        <f t="shared" si="2443"/>
        <v>0</v>
      </c>
      <c r="CM375" s="73">
        <f t="shared" si="2444"/>
        <v>211.53101958806502</v>
      </c>
      <c r="CN375" s="73">
        <f t="shared" si="2445"/>
        <v>138.76712360248183</v>
      </c>
      <c r="CO375" s="73">
        <f t="shared" si="2446"/>
        <v>8.3630681883476132</v>
      </c>
      <c r="CP375" s="73">
        <f t="shared" si="2447"/>
        <v>0</v>
      </c>
      <c r="CQ375" s="73">
        <f t="shared" si="2448"/>
        <v>0</v>
      </c>
      <c r="CR375" s="73">
        <f t="shared" si="2449"/>
        <v>0</v>
      </c>
      <c r="CS375" s="73">
        <f t="shared" si="2450"/>
        <v>0</v>
      </c>
      <c r="CT375" s="73">
        <f t="shared" si="2451"/>
        <v>0</v>
      </c>
      <c r="CU375" s="73">
        <f t="shared" si="2452"/>
        <v>0</v>
      </c>
      <c r="CV375" s="73">
        <f t="shared" si="2453"/>
        <v>0</v>
      </c>
      <c r="CW375" s="73">
        <f t="shared" si="2454"/>
        <v>0</v>
      </c>
      <c r="CX375" s="73">
        <f t="shared" si="2455"/>
        <v>0</v>
      </c>
      <c r="CY375" s="73">
        <f t="shared" si="2456"/>
        <v>0</v>
      </c>
      <c r="CZ375" s="190"/>
      <c r="DA375" s="66">
        <v>2023</v>
      </c>
      <c r="DB375" s="218">
        <f t="shared" si="2379"/>
        <v>2108.7562359761541</v>
      </c>
      <c r="DC375" s="218">
        <f t="shared" si="2380"/>
        <v>7741.2087122124094</v>
      </c>
      <c r="DD375" s="73">
        <f t="shared" si="2381"/>
        <v>612.9027949008173</v>
      </c>
      <c r="DE375" s="73">
        <f t="shared" si="2382"/>
        <v>306.72614105027134</v>
      </c>
      <c r="DF375" s="73">
        <f t="shared" si="2383"/>
        <v>1393.5953537259752</v>
      </c>
      <c r="DG375" s="73">
        <f t="shared" si="2384"/>
        <v>4052.3359860896398</v>
      </c>
      <c r="DH375" s="72">
        <f t="shared" si="2411"/>
        <v>0.13137651118699961</v>
      </c>
      <c r="DI375" s="72">
        <f t="shared" si="2412"/>
        <v>0.18039302684380573</v>
      </c>
      <c r="DJ375" s="73">
        <f>SUM(AV356:AV375,BB356:BB375,BI356:BI375)</f>
        <v>846.83128778759101</v>
      </c>
      <c r="DK375" s="73">
        <f>SUM(AV362:AV375,BB362:BB375,BI362:BI375)</f>
        <v>846.83128778759101</v>
      </c>
      <c r="DL375" s="190"/>
    </row>
    <row r="376" spans="22:116" x14ac:dyDescent="0.25">
      <c r="V376" s="13"/>
      <c r="W376" s="197" t="s">
        <v>592</v>
      </c>
      <c r="X376" s="190"/>
      <c r="Y376" s="190"/>
      <c r="Z376" s="190"/>
      <c r="AA376" s="190"/>
      <c r="AB376" s="190"/>
      <c r="AC376" s="190"/>
      <c r="AD376" s="190"/>
      <c r="AE376" s="190"/>
      <c r="AF376" s="190"/>
      <c r="AG376" s="190"/>
      <c r="AH376" s="190"/>
      <c r="AI376" s="190"/>
      <c r="AJ376" s="190"/>
      <c r="AK376" s="190"/>
      <c r="AL376" s="190"/>
      <c r="AM376" s="190"/>
      <c r="AN376" s="190"/>
      <c r="AO376" s="190"/>
      <c r="AP376" s="190"/>
      <c r="AQ376" s="193" t="s">
        <v>90</v>
      </c>
      <c r="AR376" s="25"/>
      <c r="AS376" s="213"/>
      <c r="AT376" s="213"/>
      <c r="AU376" s="213"/>
      <c r="AV376" s="213"/>
      <c r="AW376" s="213"/>
      <c r="AX376" s="213"/>
      <c r="AY376" s="213"/>
      <c r="AZ376" s="213"/>
      <c r="BA376" s="213"/>
      <c r="BB376" s="213"/>
      <c r="BC376" s="213"/>
      <c r="BD376" s="213"/>
      <c r="BE376" s="213"/>
      <c r="BF376" s="213"/>
      <c r="BG376" s="213"/>
      <c r="BH376" s="213"/>
      <c r="BI376" s="213"/>
      <c r="BJ376" s="25"/>
      <c r="BK376" s="25"/>
      <c r="BL376" s="25"/>
      <c r="BM376" s="348" t="s">
        <v>570</v>
      </c>
      <c r="BN376" s="349"/>
      <c r="BO376" s="349"/>
      <c r="BP376" s="349"/>
      <c r="BQ376" s="350" t="s">
        <v>570</v>
      </c>
      <c r="BR376" s="350"/>
      <c r="BS376" s="350"/>
      <c r="BT376" s="350"/>
      <c r="BU376" s="350"/>
      <c r="BV376" s="350"/>
      <c r="BW376" s="350"/>
      <c r="BX376" s="351"/>
      <c r="BY376" s="199"/>
      <c r="BZ376" s="25"/>
      <c r="CA376" s="25"/>
      <c r="CB376" s="350" t="s">
        <v>302</v>
      </c>
      <c r="CC376" s="350"/>
      <c r="CD376" s="350"/>
      <c r="CE376" s="350" t="s">
        <v>302</v>
      </c>
      <c r="CF376" s="350"/>
      <c r="CG376" s="350"/>
      <c r="CH376" s="350"/>
      <c r="CI376" s="350"/>
      <c r="CJ376" s="350"/>
      <c r="CK376" s="350"/>
      <c r="CL376" s="350"/>
      <c r="CM376" s="350" t="s">
        <v>302</v>
      </c>
      <c r="CN376" s="350"/>
      <c r="CO376" s="350"/>
      <c r="CP376" s="350"/>
      <c r="CQ376" s="350"/>
      <c r="CR376" s="350"/>
      <c r="CS376" s="350"/>
      <c r="CT376" s="350"/>
      <c r="CU376" s="350"/>
      <c r="CV376" s="350"/>
      <c r="CW376" s="350"/>
      <c r="CX376" s="350"/>
      <c r="CY376" s="350"/>
      <c r="CZ376" s="190"/>
      <c r="DA376" s="190" t="s">
        <v>100</v>
      </c>
      <c r="DB376" s="217"/>
      <c r="DC376" s="217"/>
      <c r="DD376" s="217"/>
      <c r="DE376" s="217"/>
      <c r="DF376" s="217"/>
      <c r="DG376" s="217"/>
      <c r="DH376" s="222"/>
      <c r="DI376" s="222"/>
      <c r="DJ376" s="217"/>
      <c r="DK376" s="217"/>
      <c r="DL376" s="190"/>
    </row>
    <row r="377" spans="22:116" x14ac:dyDescent="0.25">
      <c r="V377" s="13"/>
      <c r="W377" s="66" t="s">
        <v>88</v>
      </c>
      <c r="X377" s="66" t="s">
        <v>89</v>
      </c>
      <c r="Y377" s="61" t="s">
        <v>320</v>
      </c>
      <c r="Z377" s="61" t="s">
        <v>319</v>
      </c>
      <c r="AA377" s="61" t="s">
        <v>318</v>
      </c>
      <c r="AB377" s="61" t="s">
        <v>317</v>
      </c>
      <c r="AC377" s="61" t="s">
        <v>321</v>
      </c>
      <c r="AD377" s="61" t="s">
        <v>322</v>
      </c>
      <c r="AE377" s="61" t="s">
        <v>323</v>
      </c>
      <c r="AF377" s="61" t="s">
        <v>324</v>
      </c>
      <c r="AG377" s="61" t="s">
        <v>325</v>
      </c>
      <c r="AH377" s="61" t="s">
        <v>326</v>
      </c>
      <c r="AI377" s="61" t="s">
        <v>327</v>
      </c>
      <c r="AJ377" s="61" t="s">
        <v>328</v>
      </c>
      <c r="AK377" s="61" t="s">
        <v>329</v>
      </c>
      <c r="AL377" s="61" t="s">
        <v>330</v>
      </c>
      <c r="AM377" s="61" t="s">
        <v>331</v>
      </c>
      <c r="AN377" s="61" t="s">
        <v>332</v>
      </c>
      <c r="AO377" s="61" t="s">
        <v>333</v>
      </c>
      <c r="AP377" s="190"/>
      <c r="AQ377" s="66" t="s">
        <v>88</v>
      </c>
      <c r="AR377" s="66" t="s">
        <v>89</v>
      </c>
      <c r="AS377" s="214" t="s">
        <v>320</v>
      </c>
      <c r="AT377" s="214" t="s">
        <v>319</v>
      </c>
      <c r="AU377" s="214" t="s">
        <v>318</v>
      </c>
      <c r="AV377" s="214" t="s">
        <v>317</v>
      </c>
      <c r="AW377" s="214" t="s">
        <v>321</v>
      </c>
      <c r="AX377" s="214" t="s">
        <v>322</v>
      </c>
      <c r="AY377" s="214" t="s">
        <v>323</v>
      </c>
      <c r="AZ377" s="214" t="s">
        <v>324</v>
      </c>
      <c r="BA377" s="214" t="s">
        <v>325</v>
      </c>
      <c r="BB377" s="214" t="s">
        <v>326</v>
      </c>
      <c r="BC377" s="214" t="s">
        <v>327</v>
      </c>
      <c r="BD377" s="214" t="s">
        <v>328</v>
      </c>
      <c r="BE377" s="214" t="s">
        <v>329</v>
      </c>
      <c r="BF377" s="214" t="s">
        <v>330</v>
      </c>
      <c r="BG377" s="214" t="s">
        <v>331</v>
      </c>
      <c r="BH377" s="214" t="s">
        <v>332</v>
      </c>
      <c r="BI377" s="214" t="s">
        <v>333</v>
      </c>
      <c r="BJ377" s="182"/>
      <c r="BK377" s="66" t="s">
        <v>88</v>
      </c>
      <c r="BL377" s="66" t="s">
        <v>89</v>
      </c>
      <c r="BM377" s="122" t="s">
        <v>627</v>
      </c>
      <c r="BN377" s="122" t="s">
        <v>715</v>
      </c>
      <c r="BO377" s="122" t="s">
        <v>628</v>
      </c>
      <c r="BP377" s="122" t="s">
        <v>629</v>
      </c>
      <c r="BQ377" s="122" t="s">
        <v>627</v>
      </c>
      <c r="BR377" s="122" t="s">
        <v>716</v>
      </c>
      <c r="BS377" s="122" t="s">
        <v>717</v>
      </c>
      <c r="BT377" s="122" t="s">
        <v>721</v>
      </c>
      <c r="BU377" s="122" t="s">
        <v>720</v>
      </c>
      <c r="BV377" s="122" t="s">
        <v>719</v>
      </c>
      <c r="BW377" s="122" t="s">
        <v>629</v>
      </c>
      <c r="BX377" s="122" t="s">
        <v>722</v>
      </c>
      <c r="BY377" s="182"/>
      <c r="BZ377" s="192" t="s">
        <v>88</v>
      </c>
      <c r="CA377" s="66" t="s">
        <v>89</v>
      </c>
      <c r="CB377" s="218" t="s">
        <v>124</v>
      </c>
      <c r="CC377" s="218" t="s">
        <v>630</v>
      </c>
      <c r="CD377" s="218" t="s">
        <v>570</v>
      </c>
      <c r="CE377" s="218" t="s">
        <v>124</v>
      </c>
      <c r="CF377" s="218" t="s">
        <v>630</v>
      </c>
      <c r="CG377" s="218" t="s">
        <v>631</v>
      </c>
      <c r="CH377" s="218" t="s">
        <v>632</v>
      </c>
      <c r="CI377" s="227" t="s">
        <v>624</v>
      </c>
      <c r="CJ377" s="227" t="s">
        <v>725</v>
      </c>
      <c r="CK377" s="227" t="s">
        <v>625</v>
      </c>
      <c r="CL377" s="227" t="s">
        <v>626</v>
      </c>
      <c r="CM377" s="218" t="s">
        <v>124</v>
      </c>
      <c r="CN377" s="218" t="s">
        <v>633</v>
      </c>
      <c r="CO377" s="218" t="s">
        <v>634</v>
      </c>
      <c r="CP377" s="218" t="s">
        <v>635</v>
      </c>
      <c r="CQ377" s="218" t="s">
        <v>632</v>
      </c>
      <c r="CR377" s="122" t="s">
        <v>624</v>
      </c>
      <c r="CS377" s="122" t="s">
        <v>726</v>
      </c>
      <c r="CT377" s="122" t="s">
        <v>727</v>
      </c>
      <c r="CU377" s="122" t="s">
        <v>637</v>
      </c>
      <c r="CV377" s="122" t="s">
        <v>638</v>
      </c>
      <c r="CW377" s="122" t="s">
        <v>728</v>
      </c>
      <c r="CX377" s="122" t="s">
        <v>626</v>
      </c>
      <c r="CY377" s="122" t="s">
        <v>729</v>
      </c>
      <c r="CZ377" s="190"/>
      <c r="DA377" s="67" t="s">
        <v>89</v>
      </c>
      <c r="DB377" s="219" t="s">
        <v>91</v>
      </c>
      <c r="DC377" s="219" t="s">
        <v>99</v>
      </c>
      <c r="DD377" s="215" t="s">
        <v>92</v>
      </c>
      <c r="DE377" s="215" t="s">
        <v>97</v>
      </c>
      <c r="DF377" s="215" t="s">
        <v>93</v>
      </c>
      <c r="DG377" s="215" t="s">
        <v>94</v>
      </c>
      <c r="DH377" s="223" t="s">
        <v>96</v>
      </c>
      <c r="DI377" s="223" t="s">
        <v>98</v>
      </c>
      <c r="DJ377" s="219" t="s">
        <v>95</v>
      </c>
      <c r="DK377" s="219" t="s">
        <v>102</v>
      </c>
      <c r="DL377" s="190"/>
    </row>
    <row r="378" spans="22:116" x14ac:dyDescent="0.25">
      <c r="V378" s="13"/>
      <c r="W378" s="66">
        <v>0</v>
      </c>
      <c r="X378" s="66">
        <v>2004</v>
      </c>
      <c r="Y378" s="69">
        <v>0</v>
      </c>
      <c r="Z378" s="69">
        <v>0</v>
      </c>
      <c r="AA378" s="69">
        <v>0</v>
      </c>
      <c r="AB378" s="69">
        <v>0</v>
      </c>
      <c r="AC378" s="69">
        <v>0</v>
      </c>
      <c r="AD378" s="69">
        <v>0</v>
      </c>
      <c r="AE378" s="69">
        <v>0</v>
      </c>
      <c r="AF378" s="69">
        <v>0</v>
      </c>
      <c r="AG378" s="69">
        <v>0</v>
      </c>
      <c r="AH378" s="69">
        <v>0</v>
      </c>
      <c r="AI378" s="69">
        <v>0</v>
      </c>
      <c r="AJ378" s="69">
        <v>0</v>
      </c>
      <c r="AK378" s="69">
        <v>0</v>
      </c>
      <c r="AL378" s="69">
        <v>0</v>
      </c>
      <c r="AM378" s="69">
        <v>0</v>
      </c>
      <c r="AN378" s="69">
        <v>0</v>
      </c>
      <c r="AO378" s="69">
        <v>0</v>
      </c>
      <c r="AP378" s="190"/>
      <c r="AQ378" s="66">
        <v>0</v>
      </c>
      <c r="AR378" s="66">
        <v>2004</v>
      </c>
      <c r="AS378" s="215">
        <f t="shared" ref="AS378:AS397" si="2474">Inc_2021*Y378</f>
        <v>0</v>
      </c>
      <c r="AT378" s="215">
        <f t="shared" ref="AT378:AT397" si="2475">Inc_2021*Z378</f>
        <v>0</v>
      </c>
      <c r="AU378" s="215">
        <f t="shared" ref="AU378:AU397" si="2476">Inc_2021*AA378</f>
        <v>0</v>
      </c>
      <c r="AV378" s="215">
        <f t="shared" ref="AV378:AV397" si="2477">Inc_2021*AB378</f>
        <v>0</v>
      </c>
      <c r="AW378" s="215">
        <f t="shared" ref="AW378:AW397" si="2478">Inc_2021*AC378</f>
        <v>0</v>
      </c>
      <c r="AX378" s="215">
        <f t="shared" ref="AX378:AX397" si="2479">Inc_2021*AD378</f>
        <v>0</v>
      </c>
      <c r="AY378" s="215">
        <f t="shared" ref="AY378:AY397" si="2480">Inc_2021*AE378</f>
        <v>0</v>
      </c>
      <c r="AZ378" s="215">
        <f t="shared" ref="AZ378:AZ397" si="2481">Inc_2021*AF378</f>
        <v>0</v>
      </c>
      <c r="BA378" s="215">
        <f t="shared" ref="BA378:BA397" si="2482">Inc_2021*AG378</f>
        <v>0</v>
      </c>
      <c r="BB378" s="215">
        <f t="shared" ref="BB378:BB397" si="2483">Inc_2021*AH378</f>
        <v>0</v>
      </c>
      <c r="BC378" s="215">
        <f t="shared" ref="BC378:BC397" si="2484">Inc_2021*AI378</f>
        <v>0</v>
      </c>
      <c r="BD378" s="215">
        <f t="shared" ref="BD378:BD397" si="2485">Inc_2021*AJ378</f>
        <v>0</v>
      </c>
      <c r="BE378" s="215">
        <f t="shared" ref="BE378:BE397" si="2486">Inc_2021*AK378</f>
        <v>0</v>
      </c>
      <c r="BF378" s="215">
        <f t="shared" ref="BF378:BF397" si="2487">Inc_2021*AL378</f>
        <v>0</v>
      </c>
      <c r="BG378" s="215">
        <f t="shared" ref="BG378:BG397" si="2488">Inc_2021*AM378</f>
        <v>0</v>
      </c>
      <c r="BH378" s="215">
        <f t="shared" ref="BH378:BH397" si="2489">Inc_2021*AN378</f>
        <v>0</v>
      </c>
      <c r="BI378" s="215">
        <f t="shared" ref="BI378:BI397" si="2490">Inc_2021*AO378</f>
        <v>0</v>
      </c>
      <c r="BJ378" s="195"/>
      <c r="BK378" s="66">
        <v>0</v>
      </c>
      <c r="BL378" s="66">
        <v>2004</v>
      </c>
      <c r="BM378" s="215">
        <f>BA378</f>
        <v>0</v>
      </c>
      <c r="BN378" s="219">
        <v>0</v>
      </c>
      <c r="BO378" s="219">
        <v>0</v>
      </c>
      <c r="BP378" s="219">
        <v>0</v>
      </c>
      <c r="BQ378" s="219">
        <f>BH378</f>
        <v>0</v>
      </c>
      <c r="BR378" s="219">
        <v>0</v>
      </c>
      <c r="BS378" s="219">
        <v>0</v>
      </c>
      <c r="BT378" s="219">
        <v>0</v>
      </c>
      <c r="BU378" s="219">
        <v>0</v>
      </c>
      <c r="BV378" s="219">
        <v>0</v>
      </c>
      <c r="BW378" s="219">
        <v>0</v>
      </c>
      <c r="BX378" s="219">
        <v>0</v>
      </c>
      <c r="BY378" s="195"/>
      <c r="BZ378" s="66">
        <v>0</v>
      </c>
      <c r="CA378" s="66">
        <v>2004</v>
      </c>
      <c r="CB378" s="218">
        <v>0</v>
      </c>
      <c r="CC378" s="218">
        <v>0</v>
      </c>
      <c r="CD378" s="218">
        <v>0</v>
      </c>
      <c r="CE378" s="218">
        <v>0</v>
      </c>
      <c r="CF378" s="218">
        <v>0</v>
      </c>
      <c r="CG378" s="218">
        <v>0</v>
      </c>
      <c r="CH378" s="218">
        <v>0</v>
      </c>
      <c r="CI378" s="218">
        <v>0</v>
      </c>
      <c r="CJ378" s="218">
        <v>0</v>
      </c>
      <c r="CK378" s="218">
        <v>0</v>
      </c>
      <c r="CL378" s="218">
        <v>0</v>
      </c>
      <c r="CM378" s="218">
        <v>0</v>
      </c>
      <c r="CN378" s="218">
        <v>0</v>
      </c>
      <c r="CO378" s="218">
        <v>0</v>
      </c>
      <c r="CP378" s="218">
        <v>0</v>
      </c>
      <c r="CQ378" s="218">
        <v>0</v>
      </c>
      <c r="CR378" s="218">
        <v>0</v>
      </c>
      <c r="CS378" s="218">
        <v>0</v>
      </c>
      <c r="CT378" s="218">
        <v>0</v>
      </c>
      <c r="CU378" s="218">
        <v>0</v>
      </c>
      <c r="CV378" s="218">
        <v>0</v>
      </c>
      <c r="CW378" s="218">
        <v>0</v>
      </c>
      <c r="CX378" s="218">
        <v>0</v>
      </c>
      <c r="CY378" s="218">
        <v>0</v>
      </c>
      <c r="CZ378" s="190"/>
      <c r="DA378" s="67">
        <v>2004</v>
      </c>
      <c r="DB378" s="218">
        <f t="shared" ref="DB378:DB397" si="2491">SUM(AT378,AX378,BD378)</f>
        <v>0</v>
      </c>
      <c r="DC378" s="218">
        <f t="shared" ref="DC378:DC397" si="2492">SUM(AS378:AU378,AW378:BA378,BC378:BH378)</f>
        <v>0</v>
      </c>
      <c r="DD378" s="73">
        <f t="shared" ref="DD378:DD397" si="2493">SUM(AY378:AZ378,BE378:BG378)</f>
        <v>0</v>
      </c>
      <c r="DE378" s="73">
        <f t="shared" ref="DE378:DE397" si="2494">SUM(BE378:BG378)</f>
        <v>0</v>
      </c>
      <c r="DF378" s="73">
        <f t="shared" ref="DF378:DF397" si="2495">SUM(BC378,BD378,BH378)</f>
        <v>0</v>
      </c>
      <c r="DG378" s="73">
        <f t="shared" ref="DG378:DG397" si="2496">SUM(BC378,BD378,BH378,AW378,AX378,BA378)</f>
        <v>0</v>
      </c>
      <c r="DH378" s="72" t="e">
        <f>DD378/(DD378+DG378)</f>
        <v>#DIV/0!</v>
      </c>
      <c r="DI378" s="72" t="e">
        <f>DE378/(DE378+DF378)</f>
        <v>#DIV/0!</v>
      </c>
      <c r="DJ378" s="73">
        <f>SUM(AV378,BB378,BI378)</f>
        <v>0</v>
      </c>
      <c r="DK378" s="73">
        <v>0</v>
      </c>
      <c r="DL378" s="190"/>
    </row>
    <row r="379" spans="22:116" x14ac:dyDescent="0.25">
      <c r="V379" s="13"/>
      <c r="W379" s="66">
        <v>1</v>
      </c>
      <c r="X379" s="66">
        <v>2005</v>
      </c>
      <c r="Y379" s="69">
        <v>0</v>
      </c>
      <c r="Z379" s="69">
        <v>0</v>
      </c>
      <c r="AA379" s="69">
        <v>0</v>
      </c>
      <c r="AB379" s="69">
        <v>0</v>
      </c>
      <c r="AC379" s="69">
        <v>0</v>
      </c>
      <c r="AD379" s="69">
        <v>0</v>
      </c>
      <c r="AE379" s="69">
        <v>0</v>
      </c>
      <c r="AF379" s="69">
        <v>0</v>
      </c>
      <c r="AG379" s="69">
        <v>0</v>
      </c>
      <c r="AH379" s="69">
        <v>0</v>
      </c>
      <c r="AI379" s="69">
        <v>0</v>
      </c>
      <c r="AJ379" s="69">
        <v>0</v>
      </c>
      <c r="AK379" s="69">
        <v>0</v>
      </c>
      <c r="AL379" s="69">
        <v>0</v>
      </c>
      <c r="AM379" s="69">
        <v>0</v>
      </c>
      <c r="AN379" s="69">
        <v>0</v>
      </c>
      <c r="AO379" s="69">
        <v>0</v>
      </c>
      <c r="AP379" s="190"/>
      <c r="AQ379" s="66">
        <v>1</v>
      </c>
      <c r="AR379" s="66">
        <v>2005</v>
      </c>
      <c r="AS379" s="215">
        <f t="shared" si="2474"/>
        <v>0</v>
      </c>
      <c r="AT379" s="215">
        <f t="shared" si="2475"/>
        <v>0</v>
      </c>
      <c r="AU379" s="215">
        <f t="shared" si="2476"/>
        <v>0</v>
      </c>
      <c r="AV379" s="215">
        <f t="shared" si="2477"/>
        <v>0</v>
      </c>
      <c r="AW379" s="215">
        <f t="shared" si="2478"/>
        <v>0</v>
      </c>
      <c r="AX379" s="215">
        <f t="shared" si="2479"/>
        <v>0</v>
      </c>
      <c r="AY379" s="215">
        <f t="shared" si="2480"/>
        <v>0</v>
      </c>
      <c r="AZ379" s="215">
        <f t="shared" si="2481"/>
        <v>0</v>
      </c>
      <c r="BA379" s="215">
        <f t="shared" si="2482"/>
        <v>0</v>
      </c>
      <c r="BB379" s="215">
        <f t="shared" si="2483"/>
        <v>0</v>
      </c>
      <c r="BC379" s="215">
        <f t="shared" si="2484"/>
        <v>0</v>
      </c>
      <c r="BD379" s="215">
        <f t="shared" si="2485"/>
        <v>0</v>
      </c>
      <c r="BE379" s="215">
        <f t="shared" si="2486"/>
        <v>0</v>
      </c>
      <c r="BF379" s="215">
        <f t="shared" si="2487"/>
        <v>0</v>
      </c>
      <c r="BG379" s="215">
        <f t="shared" si="2488"/>
        <v>0</v>
      </c>
      <c r="BH379" s="215">
        <f t="shared" si="2489"/>
        <v>0</v>
      </c>
      <c r="BI379" s="215">
        <f t="shared" si="2490"/>
        <v>0</v>
      </c>
      <c r="BJ379" s="195"/>
      <c r="BK379" s="66">
        <v>1</v>
      </c>
      <c r="BL379" s="66">
        <v>2005</v>
      </c>
      <c r="BM379" s="215">
        <f t="shared" ref="BM379:BM386" si="2497">(AX378*pInt_InCare_Int_LTFU_2004_2012)+(BM378*pInt_LTFU_2004_2012)</f>
        <v>0</v>
      </c>
      <c r="BN379" s="219">
        <f t="shared" ref="BN379:BN386" si="2498">(AU378*pAsympt_LTFU_Int_LTFU_2004_2012)+(BN378*pInt_LTFU_2004_2012)</f>
        <v>0</v>
      </c>
      <c r="BO379" s="219">
        <f t="shared" ref="BO379:BO386" si="2499">(AY378*pInt_ART1_Int_LTFU_2004_2012)+(BO378*pInt_LTFU_2004_2012)</f>
        <v>0</v>
      </c>
      <c r="BP379" s="219">
        <v>0</v>
      </c>
      <c r="BQ379" s="219">
        <f t="shared" ref="BQ379:BQ386" si="2500">(BD378*pAIDS_InCare_AIDS_LTFU_2004_2012)+(BQ378*pAIDS_LTFU_2004_2012)</f>
        <v>0</v>
      </c>
      <c r="BR379" s="220">
        <f>(BN378*pInt_LTFU_AIDS_LTFU_2004_2012)</f>
        <v>0</v>
      </c>
      <c r="BS379" s="219">
        <f>(BM378*pInt_LTFU_AIDS_LTFU_2004_2012)</f>
        <v>0</v>
      </c>
      <c r="BT379" s="219">
        <f>(BE378*pAIDS_ART1ear_AIDS_LTFU_2004_2012)</f>
        <v>0</v>
      </c>
      <c r="BU379" s="219">
        <f>(BF378*pAIDS_ART1late_AIDS_LTFU_2004_2012)</f>
        <v>0</v>
      </c>
      <c r="BV379" s="219">
        <f>(BO378*pInt_LTFU_AIDS_LTFU_2004_2012)</f>
        <v>0</v>
      </c>
      <c r="BW379" s="219">
        <f>(BG378*pAIDS_ART2_AIDS_LTFU_2004_2012)</f>
        <v>0</v>
      </c>
      <c r="BX379" s="220">
        <f>(BP378*pInt_LTFU_AIDS_LTFU_2004_2012)</f>
        <v>0</v>
      </c>
      <c r="BY379" s="195"/>
      <c r="BZ379" s="66">
        <v>1</v>
      </c>
      <c r="CA379" s="66">
        <v>2005</v>
      </c>
      <c r="CB379" s="218">
        <f>pAsympt_NoCare_Asympt_Dead_2004_2006*AS378</f>
        <v>0</v>
      </c>
      <c r="CC379" s="218">
        <f t="shared" ref="CC379:CC386" si="2501">pAsympt_InCare_Asympt_Dead_2004_2012*AT378</f>
        <v>0</v>
      </c>
      <c r="CD379" s="73">
        <f t="shared" ref="CD379:CD386" si="2502">pAsympt_LTFU_Asympt_Dead_2004_2012*AU378</f>
        <v>0</v>
      </c>
      <c r="CE379" s="73">
        <f>pInt_NoCare_Int_Dead_2004_2006*AW378</f>
        <v>0</v>
      </c>
      <c r="CF379" s="73">
        <f t="shared" ref="CF379:CF386" si="2503">pInt_InCare_Int_Dead_2004_2012*AX378</f>
        <v>0</v>
      </c>
      <c r="CG379" s="73">
        <f t="shared" ref="CG379:CG386" si="2504">pInt_ART1_Int_Dead_2004_2012*AY378</f>
        <v>0</v>
      </c>
      <c r="CH379" s="73">
        <f t="shared" ref="CH379:CH386" si="2505">pInt_ART2_Int_Dead_2004_2012*AZ378</f>
        <v>0</v>
      </c>
      <c r="CI379" s="73">
        <f t="shared" ref="CI379:CI386" si="2506">(BM378*pInt_LTFU_Int_Dead_2004_2012)</f>
        <v>0</v>
      </c>
      <c r="CJ379" s="73">
        <f t="shared" ref="CJ379:CJ386" si="2507">(BN378*pInt_LTFU_Int_Dead_2004_2012)</f>
        <v>0</v>
      </c>
      <c r="CK379" s="73">
        <f t="shared" ref="CK379:CK386" si="2508">(BO378*pInt_LTFU_Int_Dead_2004_2012)</f>
        <v>0</v>
      </c>
      <c r="CL379" s="73">
        <f t="shared" ref="CL379:CL386" si="2509">(BP378*pInt_LTFU_Int_Dead_2004_2012)</f>
        <v>0</v>
      </c>
      <c r="CM379" s="73">
        <f t="shared" ref="CM379:CM380" si="2510">pAIDS_NoCare_AIDS_Dead_2004_2006*BC378</f>
        <v>0</v>
      </c>
      <c r="CN379" s="73">
        <f t="shared" ref="CN379:CN386" si="2511">pAIDS_InCare_AIDS_Dead_2004_2012*BD378</f>
        <v>0</v>
      </c>
      <c r="CO379" s="73">
        <f t="shared" ref="CO379:CO386" si="2512">pAIDS_ART1ear_AIDS_Dead_2004_2012*BE378</f>
        <v>0</v>
      </c>
      <c r="CP379" s="73">
        <f t="shared" ref="CP379:CP386" si="2513">pAIDS_ART1late_AIDS_Dead_2004_2012*BF378</f>
        <v>0</v>
      </c>
      <c r="CQ379" s="73">
        <f t="shared" ref="CQ379:CQ386" si="2514">pAIDS_ART2_AIDS_Dead_2004_2012*BG378</f>
        <v>0</v>
      </c>
      <c r="CR379" s="73">
        <f t="shared" ref="CR379:CR386" si="2515">(BQ378*pAIDS_LTFU_AIDS_Dead_2004_2012)</f>
        <v>0</v>
      </c>
      <c r="CS379" s="73">
        <f t="shared" ref="CS379:CS386" si="2516">(BR378*pAIDS_LTFU_AIDS_Dead_2004_2012)</f>
        <v>0</v>
      </c>
      <c r="CT379" s="73">
        <f t="shared" ref="CT379:CT386" si="2517">(BS378*pAIDS_LTFU_AIDS_Dead_2004_2012)</f>
        <v>0</v>
      </c>
      <c r="CU379" s="73">
        <f t="shared" ref="CU379:CU386" si="2518">(BT378*pAIDS_LTFU_AIDS_Dead_2004_2012)</f>
        <v>0</v>
      </c>
      <c r="CV379" s="73">
        <f t="shared" ref="CV379:CV386" si="2519">(BU378*pAIDS_LTFU_AIDS_Dead_2004_2012)</f>
        <v>0</v>
      </c>
      <c r="CW379" s="73">
        <f t="shared" ref="CW379:CW386" si="2520">(BV378*pAIDS_LTFU_AIDS_Dead_2004_2012)</f>
        <v>0</v>
      </c>
      <c r="CX379" s="73">
        <f t="shared" ref="CX379:CX386" si="2521">(BW378*pAIDS_LTFU_AIDS_Dead_2004_2012)</f>
        <v>0</v>
      </c>
      <c r="CY379" s="73">
        <f t="shared" ref="CY379:CY386" si="2522">(BX378*pAIDS_LTFU_AIDS_Dead_2004_2012)</f>
        <v>0</v>
      </c>
      <c r="CZ379" s="190"/>
      <c r="DA379" s="67">
        <v>2005</v>
      </c>
      <c r="DB379" s="218">
        <f t="shared" si="2491"/>
        <v>0</v>
      </c>
      <c r="DC379" s="218">
        <f t="shared" si="2492"/>
        <v>0</v>
      </c>
      <c r="DD379" s="73">
        <f t="shared" si="2493"/>
        <v>0</v>
      </c>
      <c r="DE379" s="73">
        <f t="shared" si="2494"/>
        <v>0</v>
      </c>
      <c r="DF379" s="73">
        <f t="shared" si="2495"/>
        <v>0</v>
      </c>
      <c r="DG379" s="73">
        <f t="shared" si="2496"/>
        <v>0</v>
      </c>
      <c r="DH379" s="72" t="e">
        <f t="shared" ref="DH379:DH397" si="2523">DD379/(DD379+DG379)</f>
        <v>#DIV/0!</v>
      </c>
      <c r="DI379" s="72" t="e">
        <f t="shared" ref="DI379:DI397" si="2524">DE379/(DE379+DF379)</f>
        <v>#DIV/0!</v>
      </c>
      <c r="DJ379" s="73">
        <f>SUM(AV378:AV379,BB378:BB379,BI378:BI379)</f>
        <v>0</v>
      </c>
      <c r="DK379" s="73">
        <v>0</v>
      </c>
      <c r="DL379" s="190"/>
    </row>
    <row r="380" spans="22:116" x14ac:dyDescent="0.25">
      <c r="V380" s="13"/>
      <c r="W380" s="66">
        <v>2</v>
      </c>
      <c r="X380" s="66">
        <v>2006</v>
      </c>
      <c r="Y380" s="69">
        <v>0</v>
      </c>
      <c r="Z380" s="69">
        <v>0</v>
      </c>
      <c r="AA380" s="69">
        <v>0</v>
      </c>
      <c r="AB380" s="69">
        <v>0</v>
      </c>
      <c r="AC380" s="69">
        <v>0</v>
      </c>
      <c r="AD380" s="69">
        <v>0</v>
      </c>
      <c r="AE380" s="69">
        <v>0</v>
      </c>
      <c r="AF380" s="69">
        <v>0</v>
      </c>
      <c r="AG380" s="69">
        <v>0</v>
      </c>
      <c r="AH380" s="69">
        <v>0</v>
      </c>
      <c r="AI380" s="69">
        <v>0</v>
      </c>
      <c r="AJ380" s="69">
        <v>0</v>
      </c>
      <c r="AK380" s="69">
        <v>0</v>
      </c>
      <c r="AL380" s="69">
        <v>0</v>
      </c>
      <c r="AM380" s="69">
        <v>0</v>
      </c>
      <c r="AN380" s="69">
        <v>0</v>
      </c>
      <c r="AO380" s="69">
        <v>0</v>
      </c>
      <c r="AP380" s="190"/>
      <c r="AQ380" s="66">
        <v>2</v>
      </c>
      <c r="AR380" s="66">
        <v>2006</v>
      </c>
      <c r="AS380" s="215">
        <f t="shared" si="2474"/>
        <v>0</v>
      </c>
      <c r="AT380" s="215">
        <f t="shared" si="2475"/>
        <v>0</v>
      </c>
      <c r="AU380" s="215">
        <f t="shared" si="2476"/>
        <v>0</v>
      </c>
      <c r="AV380" s="215">
        <f t="shared" si="2477"/>
        <v>0</v>
      </c>
      <c r="AW380" s="215">
        <f t="shared" si="2478"/>
        <v>0</v>
      </c>
      <c r="AX380" s="215">
        <f t="shared" si="2479"/>
        <v>0</v>
      </c>
      <c r="AY380" s="215">
        <f t="shared" si="2480"/>
        <v>0</v>
      </c>
      <c r="AZ380" s="215">
        <f t="shared" si="2481"/>
        <v>0</v>
      </c>
      <c r="BA380" s="215">
        <f t="shared" si="2482"/>
        <v>0</v>
      </c>
      <c r="BB380" s="215">
        <f t="shared" si="2483"/>
        <v>0</v>
      </c>
      <c r="BC380" s="215">
        <f t="shared" si="2484"/>
        <v>0</v>
      </c>
      <c r="BD380" s="215">
        <f t="shared" si="2485"/>
        <v>0</v>
      </c>
      <c r="BE380" s="215">
        <f t="shared" si="2486"/>
        <v>0</v>
      </c>
      <c r="BF380" s="215">
        <f t="shared" si="2487"/>
        <v>0</v>
      </c>
      <c r="BG380" s="215">
        <f t="shared" si="2488"/>
        <v>0</v>
      </c>
      <c r="BH380" s="215">
        <f t="shared" si="2489"/>
        <v>0</v>
      </c>
      <c r="BI380" s="215">
        <f t="shared" si="2490"/>
        <v>0</v>
      </c>
      <c r="BJ380" s="195"/>
      <c r="BK380" s="66">
        <v>2</v>
      </c>
      <c r="BL380" s="66">
        <v>2006</v>
      </c>
      <c r="BM380" s="215">
        <f t="shared" si="2497"/>
        <v>0</v>
      </c>
      <c r="BN380" s="219">
        <f t="shared" si="2498"/>
        <v>0</v>
      </c>
      <c r="BO380" s="219">
        <f t="shared" si="2499"/>
        <v>0</v>
      </c>
      <c r="BP380" s="219">
        <f t="shared" ref="BP380:BP386" si="2525">(AZ379*pInt_ART2_Int_LTFU_2004_2012)+(BP379*pInt_LTFU_2004_2012)</f>
        <v>0</v>
      </c>
      <c r="BQ380" s="219">
        <f t="shared" si="2500"/>
        <v>0</v>
      </c>
      <c r="BR380" s="220">
        <f t="shared" ref="BR380:BR386" si="2526">(BN379*pInt_LTFU_AIDS_LTFU_2004_2012)+(BR379*pAIDS_LTFU_2004_2012)</f>
        <v>0</v>
      </c>
      <c r="BS380" s="219">
        <f t="shared" ref="BS380:BS386" si="2527">(BM379*pInt_LTFU_AIDS_LTFU_2004_2012)+(BS379*pAIDS_LTFU_2004_2012)</f>
        <v>0</v>
      </c>
      <c r="BT380" s="219">
        <f t="shared" ref="BT380:BT386" si="2528">(BE379*pAIDS_ART1ear_AIDS_LTFU_2004_2012)+(BT379*pAIDS_LTFU_2004_2012)</f>
        <v>0</v>
      </c>
      <c r="BU380" s="219">
        <f t="shared" ref="BU380:BU386" si="2529">(BF379*pAIDS_ART1late_AIDS_LTFU_2004_2012)+(BU379*pAIDS_LTFU_2004_2012)</f>
        <v>0</v>
      </c>
      <c r="BV380" s="219">
        <f t="shared" ref="BV380:BV386" si="2530">(BO379*pInt_LTFU_AIDS_LTFU_2004_2012)+(BV379*pAIDS_LTFU_2004_2012)</f>
        <v>0</v>
      </c>
      <c r="BW380" s="219">
        <f t="shared" ref="BW380:BW386" si="2531">(BG379*pAIDS_ART2_AIDS_LTFU_2004_2012)+(BW379*pAIDS_LTFU_2004_2012)</f>
        <v>0</v>
      </c>
      <c r="BX380" s="220">
        <f t="shared" ref="BX380:BX386" si="2532">(BP379*pInt_LTFU_AIDS_LTFU_2004_2012)+(BX379*pAIDS_LTFU_2004_2012)</f>
        <v>0</v>
      </c>
      <c r="BY380" s="195"/>
      <c r="BZ380" s="66">
        <v>2</v>
      </c>
      <c r="CA380" s="66">
        <v>2006</v>
      </c>
      <c r="CB380" s="218">
        <f>pAsympt_NoCare_Asympt_Dead_2004_2006*AS379</f>
        <v>0</v>
      </c>
      <c r="CC380" s="218">
        <f t="shared" si="2501"/>
        <v>0</v>
      </c>
      <c r="CD380" s="73">
        <f t="shared" si="2502"/>
        <v>0</v>
      </c>
      <c r="CE380" s="73">
        <f>pInt_NoCare_Int_Dead_2004_2006*AW379</f>
        <v>0</v>
      </c>
      <c r="CF380" s="73">
        <f t="shared" si="2503"/>
        <v>0</v>
      </c>
      <c r="CG380" s="73">
        <f t="shared" si="2504"/>
        <v>0</v>
      </c>
      <c r="CH380" s="73">
        <f t="shared" si="2505"/>
        <v>0</v>
      </c>
      <c r="CI380" s="73">
        <f t="shared" si="2506"/>
        <v>0</v>
      </c>
      <c r="CJ380" s="73">
        <f t="shared" si="2507"/>
        <v>0</v>
      </c>
      <c r="CK380" s="73">
        <f t="shared" si="2508"/>
        <v>0</v>
      </c>
      <c r="CL380" s="73">
        <f t="shared" si="2509"/>
        <v>0</v>
      </c>
      <c r="CM380" s="73">
        <f t="shared" si="2510"/>
        <v>0</v>
      </c>
      <c r="CN380" s="73">
        <f t="shared" si="2511"/>
        <v>0</v>
      </c>
      <c r="CO380" s="73">
        <f t="shared" si="2512"/>
        <v>0</v>
      </c>
      <c r="CP380" s="73">
        <f t="shared" si="2513"/>
        <v>0</v>
      </c>
      <c r="CQ380" s="73">
        <f t="shared" si="2514"/>
        <v>0</v>
      </c>
      <c r="CR380" s="73">
        <f t="shared" si="2515"/>
        <v>0</v>
      </c>
      <c r="CS380" s="73">
        <f t="shared" si="2516"/>
        <v>0</v>
      </c>
      <c r="CT380" s="73">
        <f t="shared" si="2517"/>
        <v>0</v>
      </c>
      <c r="CU380" s="73">
        <f t="shared" si="2518"/>
        <v>0</v>
      </c>
      <c r="CV380" s="73">
        <f t="shared" si="2519"/>
        <v>0</v>
      </c>
      <c r="CW380" s="73">
        <f t="shared" si="2520"/>
        <v>0</v>
      </c>
      <c r="CX380" s="73">
        <f t="shared" si="2521"/>
        <v>0</v>
      </c>
      <c r="CY380" s="73">
        <f t="shared" si="2522"/>
        <v>0</v>
      </c>
      <c r="CZ380" s="190"/>
      <c r="DA380" s="66">
        <v>2006</v>
      </c>
      <c r="DB380" s="218">
        <f t="shared" si="2491"/>
        <v>0</v>
      </c>
      <c r="DC380" s="218">
        <f t="shared" si="2492"/>
        <v>0</v>
      </c>
      <c r="DD380" s="73">
        <f t="shared" si="2493"/>
        <v>0</v>
      </c>
      <c r="DE380" s="73">
        <f t="shared" si="2494"/>
        <v>0</v>
      </c>
      <c r="DF380" s="73">
        <f t="shared" si="2495"/>
        <v>0</v>
      </c>
      <c r="DG380" s="73">
        <f t="shared" si="2496"/>
        <v>0</v>
      </c>
      <c r="DH380" s="72" t="e">
        <f t="shared" si="2523"/>
        <v>#DIV/0!</v>
      </c>
      <c r="DI380" s="72" t="e">
        <f t="shared" si="2524"/>
        <v>#DIV/0!</v>
      </c>
      <c r="DJ380" s="73">
        <f>SUM(AV378:AV380,BB378:BB380,BI378:BI380)</f>
        <v>0</v>
      </c>
      <c r="DK380" s="73">
        <v>0</v>
      </c>
      <c r="DL380" s="190"/>
    </row>
    <row r="381" spans="22:116" x14ac:dyDescent="0.25">
      <c r="V381" s="13"/>
      <c r="W381" s="66">
        <v>3</v>
      </c>
      <c r="X381" s="66">
        <v>2007</v>
      </c>
      <c r="Y381" s="69">
        <v>0</v>
      </c>
      <c r="Z381" s="69">
        <v>0</v>
      </c>
      <c r="AA381" s="69">
        <v>0</v>
      </c>
      <c r="AB381" s="69">
        <v>0</v>
      </c>
      <c r="AC381" s="69">
        <v>0</v>
      </c>
      <c r="AD381" s="69">
        <v>0</v>
      </c>
      <c r="AE381" s="69">
        <v>0</v>
      </c>
      <c r="AF381" s="69">
        <v>0</v>
      </c>
      <c r="AG381" s="69">
        <v>0</v>
      </c>
      <c r="AH381" s="69">
        <v>0</v>
      </c>
      <c r="AI381" s="69">
        <v>0</v>
      </c>
      <c r="AJ381" s="69">
        <v>0</v>
      </c>
      <c r="AK381" s="69">
        <v>0</v>
      </c>
      <c r="AL381" s="69">
        <v>0</v>
      </c>
      <c r="AM381" s="69">
        <v>0</v>
      </c>
      <c r="AN381" s="69">
        <v>0</v>
      </c>
      <c r="AO381" s="69">
        <v>0</v>
      </c>
      <c r="AP381" s="190"/>
      <c r="AQ381" s="66">
        <v>3</v>
      </c>
      <c r="AR381" s="66">
        <v>2007</v>
      </c>
      <c r="AS381" s="215">
        <f t="shared" si="2474"/>
        <v>0</v>
      </c>
      <c r="AT381" s="215">
        <f t="shared" si="2475"/>
        <v>0</v>
      </c>
      <c r="AU381" s="215">
        <f t="shared" si="2476"/>
        <v>0</v>
      </c>
      <c r="AV381" s="215">
        <f t="shared" si="2477"/>
        <v>0</v>
      </c>
      <c r="AW381" s="215">
        <f t="shared" si="2478"/>
        <v>0</v>
      </c>
      <c r="AX381" s="215">
        <f t="shared" si="2479"/>
        <v>0</v>
      </c>
      <c r="AY381" s="215">
        <f t="shared" si="2480"/>
        <v>0</v>
      </c>
      <c r="AZ381" s="215">
        <f t="shared" si="2481"/>
        <v>0</v>
      </c>
      <c r="BA381" s="215">
        <f t="shared" si="2482"/>
        <v>0</v>
      </c>
      <c r="BB381" s="215">
        <f t="shared" si="2483"/>
        <v>0</v>
      </c>
      <c r="BC381" s="215">
        <f t="shared" si="2484"/>
        <v>0</v>
      </c>
      <c r="BD381" s="215">
        <f t="shared" si="2485"/>
        <v>0</v>
      </c>
      <c r="BE381" s="215">
        <f t="shared" si="2486"/>
        <v>0</v>
      </c>
      <c r="BF381" s="215">
        <f t="shared" si="2487"/>
        <v>0</v>
      </c>
      <c r="BG381" s="215">
        <f t="shared" si="2488"/>
        <v>0</v>
      </c>
      <c r="BH381" s="215">
        <f t="shared" si="2489"/>
        <v>0</v>
      </c>
      <c r="BI381" s="215">
        <f t="shared" si="2490"/>
        <v>0</v>
      </c>
      <c r="BJ381" s="195"/>
      <c r="BK381" s="66">
        <v>3</v>
      </c>
      <c r="BL381" s="66">
        <v>2007</v>
      </c>
      <c r="BM381" s="215">
        <f t="shared" si="2497"/>
        <v>0</v>
      </c>
      <c r="BN381" s="219">
        <f t="shared" si="2498"/>
        <v>0</v>
      </c>
      <c r="BO381" s="219">
        <f t="shared" si="2499"/>
        <v>0</v>
      </c>
      <c r="BP381" s="219">
        <f t="shared" si="2525"/>
        <v>0</v>
      </c>
      <c r="BQ381" s="219">
        <f t="shared" si="2500"/>
        <v>0</v>
      </c>
      <c r="BR381" s="220">
        <f t="shared" si="2526"/>
        <v>0</v>
      </c>
      <c r="BS381" s="219">
        <f t="shared" si="2527"/>
        <v>0</v>
      </c>
      <c r="BT381" s="219">
        <f t="shared" si="2528"/>
        <v>0</v>
      </c>
      <c r="BU381" s="219">
        <f t="shared" si="2529"/>
        <v>0</v>
      </c>
      <c r="BV381" s="219">
        <f t="shared" si="2530"/>
        <v>0</v>
      </c>
      <c r="BW381" s="219">
        <f t="shared" si="2531"/>
        <v>0</v>
      </c>
      <c r="BX381" s="220">
        <f t="shared" si="2532"/>
        <v>0</v>
      </c>
      <c r="BY381" s="195"/>
      <c r="BZ381" s="66">
        <v>3</v>
      </c>
      <c r="CA381" s="66">
        <v>2007</v>
      </c>
      <c r="CB381" s="218">
        <f>pAsympt_NoCare_Asympt_Dead_2007_2009*AS380</f>
        <v>0</v>
      </c>
      <c r="CC381" s="218">
        <f t="shared" si="2501"/>
        <v>0</v>
      </c>
      <c r="CD381" s="73">
        <f t="shared" si="2502"/>
        <v>0</v>
      </c>
      <c r="CE381" s="73">
        <f>pInt_NoCare_Int_Dead_2007_2009*AW380</f>
        <v>0</v>
      </c>
      <c r="CF381" s="73">
        <f t="shared" si="2503"/>
        <v>0</v>
      </c>
      <c r="CG381" s="73">
        <f t="shared" si="2504"/>
        <v>0</v>
      </c>
      <c r="CH381" s="73">
        <f t="shared" si="2505"/>
        <v>0</v>
      </c>
      <c r="CI381" s="73">
        <f t="shared" si="2506"/>
        <v>0</v>
      </c>
      <c r="CJ381" s="73">
        <f t="shared" si="2507"/>
        <v>0</v>
      </c>
      <c r="CK381" s="73">
        <f t="shared" si="2508"/>
        <v>0</v>
      </c>
      <c r="CL381" s="73">
        <f t="shared" si="2509"/>
        <v>0</v>
      </c>
      <c r="CM381" s="73">
        <f>pAIDS_NoCare_AIDS_Dead_2007_2009*BC380</f>
        <v>0</v>
      </c>
      <c r="CN381" s="73">
        <f t="shared" si="2511"/>
        <v>0</v>
      </c>
      <c r="CO381" s="73">
        <f t="shared" si="2512"/>
        <v>0</v>
      </c>
      <c r="CP381" s="73">
        <f t="shared" si="2513"/>
        <v>0</v>
      </c>
      <c r="CQ381" s="73">
        <f t="shared" si="2514"/>
        <v>0</v>
      </c>
      <c r="CR381" s="73">
        <f t="shared" si="2515"/>
        <v>0</v>
      </c>
      <c r="CS381" s="73">
        <f t="shared" si="2516"/>
        <v>0</v>
      </c>
      <c r="CT381" s="73">
        <f t="shared" si="2517"/>
        <v>0</v>
      </c>
      <c r="CU381" s="73">
        <f t="shared" si="2518"/>
        <v>0</v>
      </c>
      <c r="CV381" s="73">
        <f t="shared" si="2519"/>
        <v>0</v>
      </c>
      <c r="CW381" s="73">
        <f t="shared" si="2520"/>
        <v>0</v>
      </c>
      <c r="CX381" s="73">
        <f t="shared" si="2521"/>
        <v>0</v>
      </c>
      <c r="CY381" s="73">
        <f t="shared" si="2522"/>
        <v>0</v>
      </c>
      <c r="CZ381" s="190"/>
      <c r="DA381" s="66">
        <v>2007</v>
      </c>
      <c r="DB381" s="218">
        <f t="shared" si="2491"/>
        <v>0</v>
      </c>
      <c r="DC381" s="218">
        <f t="shared" si="2492"/>
        <v>0</v>
      </c>
      <c r="DD381" s="73">
        <f t="shared" si="2493"/>
        <v>0</v>
      </c>
      <c r="DE381" s="73">
        <f t="shared" si="2494"/>
        <v>0</v>
      </c>
      <c r="DF381" s="73">
        <f t="shared" si="2495"/>
        <v>0</v>
      </c>
      <c r="DG381" s="73">
        <f t="shared" si="2496"/>
        <v>0</v>
      </c>
      <c r="DH381" s="72" t="e">
        <f t="shared" si="2523"/>
        <v>#DIV/0!</v>
      </c>
      <c r="DI381" s="72" t="e">
        <f t="shared" si="2524"/>
        <v>#DIV/0!</v>
      </c>
      <c r="DJ381" s="73">
        <f>SUM(AV378:AV381,BB378:BB381,BI378:BI381)</f>
        <v>0</v>
      </c>
      <c r="DK381" s="218">
        <v>0</v>
      </c>
      <c r="DL381" s="190"/>
    </row>
    <row r="382" spans="22:116" x14ac:dyDescent="0.25">
      <c r="V382" s="13"/>
      <c r="W382" s="66">
        <v>4</v>
      </c>
      <c r="X382" s="66">
        <v>2008</v>
      </c>
      <c r="Y382" s="69">
        <v>0</v>
      </c>
      <c r="Z382" s="69">
        <v>0</v>
      </c>
      <c r="AA382" s="69">
        <v>0</v>
      </c>
      <c r="AB382" s="69">
        <v>0</v>
      </c>
      <c r="AC382" s="69">
        <v>0</v>
      </c>
      <c r="AD382" s="69">
        <v>0</v>
      </c>
      <c r="AE382" s="69">
        <v>0</v>
      </c>
      <c r="AF382" s="69">
        <v>0</v>
      </c>
      <c r="AG382" s="69">
        <v>0</v>
      </c>
      <c r="AH382" s="69">
        <v>0</v>
      </c>
      <c r="AI382" s="69">
        <v>0</v>
      </c>
      <c r="AJ382" s="69">
        <v>0</v>
      </c>
      <c r="AK382" s="69">
        <v>0</v>
      </c>
      <c r="AL382" s="69">
        <v>0</v>
      </c>
      <c r="AM382" s="69">
        <v>0</v>
      </c>
      <c r="AN382" s="69">
        <v>0</v>
      </c>
      <c r="AO382" s="69">
        <v>0</v>
      </c>
      <c r="AP382" s="190"/>
      <c r="AQ382" s="66">
        <v>4</v>
      </c>
      <c r="AR382" s="66">
        <v>2008</v>
      </c>
      <c r="AS382" s="215">
        <f t="shared" si="2474"/>
        <v>0</v>
      </c>
      <c r="AT382" s="215">
        <f t="shared" si="2475"/>
        <v>0</v>
      </c>
      <c r="AU382" s="215">
        <f t="shared" si="2476"/>
        <v>0</v>
      </c>
      <c r="AV382" s="215">
        <f t="shared" si="2477"/>
        <v>0</v>
      </c>
      <c r="AW382" s="215">
        <f t="shared" si="2478"/>
        <v>0</v>
      </c>
      <c r="AX382" s="215">
        <f t="shared" si="2479"/>
        <v>0</v>
      </c>
      <c r="AY382" s="215">
        <f t="shared" si="2480"/>
        <v>0</v>
      </c>
      <c r="AZ382" s="215">
        <f t="shared" si="2481"/>
        <v>0</v>
      </c>
      <c r="BA382" s="215">
        <f t="shared" si="2482"/>
        <v>0</v>
      </c>
      <c r="BB382" s="215">
        <f t="shared" si="2483"/>
        <v>0</v>
      </c>
      <c r="BC382" s="215">
        <f t="shared" si="2484"/>
        <v>0</v>
      </c>
      <c r="BD382" s="215">
        <f t="shared" si="2485"/>
        <v>0</v>
      </c>
      <c r="BE382" s="215">
        <f t="shared" si="2486"/>
        <v>0</v>
      </c>
      <c r="BF382" s="215">
        <f t="shared" si="2487"/>
        <v>0</v>
      </c>
      <c r="BG382" s="215">
        <f t="shared" si="2488"/>
        <v>0</v>
      </c>
      <c r="BH382" s="215">
        <f t="shared" si="2489"/>
        <v>0</v>
      </c>
      <c r="BI382" s="215">
        <f t="shared" si="2490"/>
        <v>0</v>
      </c>
      <c r="BJ382" s="195"/>
      <c r="BK382" s="66">
        <v>4</v>
      </c>
      <c r="BL382" s="66">
        <v>2008</v>
      </c>
      <c r="BM382" s="215">
        <f t="shared" si="2497"/>
        <v>0</v>
      </c>
      <c r="BN382" s="219">
        <f t="shared" si="2498"/>
        <v>0</v>
      </c>
      <c r="BO382" s="219">
        <f t="shared" si="2499"/>
        <v>0</v>
      </c>
      <c r="BP382" s="219">
        <f t="shared" si="2525"/>
        <v>0</v>
      </c>
      <c r="BQ382" s="219">
        <f t="shared" si="2500"/>
        <v>0</v>
      </c>
      <c r="BR382" s="220">
        <f t="shared" si="2526"/>
        <v>0</v>
      </c>
      <c r="BS382" s="219">
        <f t="shared" si="2527"/>
        <v>0</v>
      </c>
      <c r="BT382" s="219">
        <f t="shared" si="2528"/>
        <v>0</v>
      </c>
      <c r="BU382" s="219">
        <f t="shared" si="2529"/>
        <v>0</v>
      </c>
      <c r="BV382" s="219">
        <f t="shared" si="2530"/>
        <v>0</v>
      </c>
      <c r="BW382" s="219">
        <f t="shared" si="2531"/>
        <v>0</v>
      </c>
      <c r="BX382" s="220">
        <f t="shared" si="2532"/>
        <v>0</v>
      </c>
      <c r="BY382" s="195"/>
      <c r="BZ382" s="66">
        <v>4</v>
      </c>
      <c r="CA382" s="66">
        <v>2008</v>
      </c>
      <c r="CB382" s="218">
        <f>pAsympt_NoCare_Asympt_Dead_2007_2009*AS381</f>
        <v>0</v>
      </c>
      <c r="CC382" s="218">
        <f t="shared" si="2501"/>
        <v>0</v>
      </c>
      <c r="CD382" s="73">
        <f t="shared" si="2502"/>
        <v>0</v>
      </c>
      <c r="CE382" s="73">
        <f>pInt_NoCare_Int_Dead_2007_2009*AW381</f>
        <v>0</v>
      </c>
      <c r="CF382" s="73">
        <f t="shared" si="2503"/>
        <v>0</v>
      </c>
      <c r="CG382" s="73">
        <f t="shared" si="2504"/>
        <v>0</v>
      </c>
      <c r="CH382" s="73">
        <f t="shared" si="2505"/>
        <v>0</v>
      </c>
      <c r="CI382" s="73">
        <f t="shared" si="2506"/>
        <v>0</v>
      </c>
      <c r="CJ382" s="73">
        <f t="shared" si="2507"/>
        <v>0</v>
      </c>
      <c r="CK382" s="73">
        <f t="shared" si="2508"/>
        <v>0</v>
      </c>
      <c r="CL382" s="73">
        <f t="shared" si="2509"/>
        <v>0</v>
      </c>
      <c r="CM382" s="73">
        <f>pAIDS_NoCare_AIDS_Dead_2007_2009*BC381</f>
        <v>0</v>
      </c>
      <c r="CN382" s="73">
        <f t="shared" si="2511"/>
        <v>0</v>
      </c>
      <c r="CO382" s="73">
        <f t="shared" si="2512"/>
        <v>0</v>
      </c>
      <c r="CP382" s="73">
        <f t="shared" si="2513"/>
        <v>0</v>
      </c>
      <c r="CQ382" s="73">
        <f t="shared" si="2514"/>
        <v>0</v>
      </c>
      <c r="CR382" s="73">
        <f t="shared" si="2515"/>
        <v>0</v>
      </c>
      <c r="CS382" s="73">
        <f t="shared" si="2516"/>
        <v>0</v>
      </c>
      <c r="CT382" s="73">
        <f t="shared" si="2517"/>
        <v>0</v>
      </c>
      <c r="CU382" s="73">
        <f t="shared" si="2518"/>
        <v>0</v>
      </c>
      <c r="CV382" s="73">
        <f t="shared" si="2519"/>
        <v>0</v>
      </c>
      <c r="CW382" s="73">
        <f t="shared" si="2520"/>
        <v>0</v>
      </c>
      <c r="CX382" s="73">
        <f t="shared" si="2521"/>
        <v>0</v>
      </c>
      <c r="CY382" s="73">
        <f t="shared" si="2522"/>
        <v>0</v>
      </c>
      <c r="CZ382" s="190"/>
      <c r="DA382" s="66">
        <v>2008</v>
      </c>
      <c r="DB382" s="218">
        <f t="shared" si="2491"/>
        <v>0</v>
      </c>
      <c r="DC382" s="218">
        <f t="shared" si="2492"/>
        <v>0</v>
      </c>
      <c r="DD382" s="73">
        <f t="shared" si="2493"/>
        <v>0</v>
      </c>
      <c r="DE382" s="73">
        <f t="shared" si="2494"/>
        <v>0</v>
      </c>
      <c r="DF382" s="73">
        <f t="shared" si="2495"/>
        <v>0</v>
      </c>
      <c r="DG382" s="73">
        <f t="shared" si="2496"/>
        <v>0</v>
      </c>
      <c r="DH382" s="72" t="e">
        <f t="shared" si="2523"/>
        <v>#DIV/0!</v>
      </c>
      <c r="DI382" s="72" t="e">
        <f t="shared" si="2524"/>
        <v>#DIV/0!</v>
      </c>
      <c r="DJ382" s="73">
        <f>SUM(AV378:AV382,BB378:BB382,BI378:BI382)</f>
        <v>0</v>
      </c>
      <c r="DK382" s="218">
        <v>0</v>
      </c>
      <c r="DL382" s="190"/>
    </row>
    <row r="383" spans="22:116" x14ac:dyDescent="0.25">
      <c r="V383" s="13"/>
      <c r="W383" s="66">
        <v>5</v>
      </c>
      <c r="X383" s="66">
        <v>2009</v>
      </c>
      <c r="Y383" s="69">
        <v>0</v>
      </c>
      <c r="Z383" s="69">
        <v>0</v>
      </c>
      <c r="AA383" s="69">
        <v>0</v>
      </c>
      <c r="AB383" s="69">
        <v>0</v>
      </c>
      <c r="AC383" s="69">
        <v>0</v>
      </c>
      <c r="AD383" s="69">
        <v>0</v>
      </c>
      <c r="AE383" s="69">
        <v>0</v>
      </c>
      <c r="AF383" s="69">
        <v>0</v>
      </c>
      <c r="AG383" s="69">
        <v>0</v>
      </c>
      <c r="AH383" s="69">
        <v>0</v>
      </c>
      <c r="AI383" s="69">
        <v>0</v>
      </c>
      <c r="AJ383" s="69">
        <v>0</v>
      </c>
      <c r="AK383" s="69">
        <v>0</v>
      </c>
      <c r="AL383" s="69">
        <v>0</v>
      </c>
      <c r="AM383" s="69">
        <v>0</v>
      </c>
      <c r="AN383" s="69">
        <v>0</v>
      </c>
      <c r="AO383" s="69">
        <v>0</v>
      </c>
      <c r="AP383" s="190"/>
      <c r="AQ383" s="66">
        <v>5</v>
      </c>
      <c r="AR383" s="66">
        <v>2009</v>
      </c>
      <c r="AS383" s="215">
        <f t="shared" si="2474"/>
        <v>0</v>
      </c>
      <c r="AT383" s="215">
        <f t="shared" si="2475"/>
        <v>0</v>
      </c>
      <c r="AU383" s="215">
        <f t="shared" si="2476"/>
        <v>0</v>
      </c>
      <c r="AV383" s="215">
        <f t="shared" si="2477"/>
        <v>0</v>
      </c>
      <c r="AW383" s="215">
        <f t="shared" si="2478"/>
        <v>0</v>
      </c>
      <c r="AX383" s="215">
        <f t="shared" si="2479"/>
        <v>0</v>
      </c>
      <c r="AY383" s="215">
        <f t="shared" si="2480"/>
        <v>0</v>
      </c>
      <c r="AZ383" s="215">
        <f t="shared" si="2481"/>
        <v>0</v>
      </c>
      <c r="BA383" s="215">
        <f t="shared" si="2482"/>
        <v>0</v>
      </c>
      <c r="BB383" s="215">
        <f t="shared" si="2483"/>
        <v>0</v>
      </c>
      <c r="BC383" s="215">
        <f t="shared" si="2484"/>
        <v>0</v>
      </c>
      <c r="BD383" s="215">
        <f t="shared" si="2485"/>
        <v>0</v>
      </c>
      <c r="BE383" s="215">
        <f t="shared" si="2486"/>
        <v>0</v>
      </c>
      <c r="BF383" s="215">
        <f t="shared" si="2487"/>
        <v>0</v>
      </c>
      <c r="BG383" s="215">
        <f t="shared" si="2488"/>
        <v>0</v>
      </c>
      <c r="BH383" s="215">
        <f t="shared" si="2489"/>
        <v>0</v>
      </c>
      <c r="BI383" s="215">
        <f t="shared" si="2490"/>
        <v>0</v>
      </c>
      <c r="BJ383" s="195"/>
      <c r="BK383" s="66">
        <v>5</v>
      </c>
      <c r="BL383" s="66">
        <v>2009</v>
      </c>
      <c r="BM383" s="215">
        <f t="shared" si="2497"/>
        <v>0</v>
      </c>
      <c r="BN383" s="219">
        <f t="shared" si="2498"/>
        <v>0</v>
      </c>
      <c r="BO383" s="219">
        <f t="shared" si="2499"/>
        <v>0</v>
      </c>
      <c r="BP383" s="219">
        <f t="shared" si="2525"/>
        <v>0</v>
      </c>
      <c r="BQ383" s="219">
        <f t="shared" si="2500"/>
        <v>0</v>
      </c>
      <c r="BR383" s="220">
        <f t="shared" si="2526"/>
        <v>0</v>
      </c>
      <c r="BS383" s="219">
        <f t="shared" si="2527"/>
        <v>0</v>
      </c>
      <c r="BT383" s="219">
        <f t="shared" si="2528"/>
        <v>0</v>
      </c>
      <c r="BU383" s="219">
        <f t="shared" si="2529"/>
        <v>0</v>
      </c>
      <c r="BV383" s="219">
        <f t="shared" si="2530"/>
        <v>0</v>
      </c>
      <c r="BW383" s="219">
        <f t="shared" si="2531"/>
        <v>0</v>
      </c>
      <c r="BX383" s="220">
        <f t="shared" si="2532"/>
        <v>0</v>
      </c>
      <c r="BY383" s="195"/>
      <c r="BZ383" s="66">
        <v>5</v>
      </c>
      <c r="CA383" s="66">
        <v>2009</v>
      </c>
      <c r="CB383" s="218">
        <f>pAsympt_NoCare_Asympt_Dead_2007_2009*AS382</f>
        <v>0</v>
      </c>
      <c r="CC383" s="218">
        <f t="shared" si="2501"/>
        <v>0</v>
      </c>
      <c r="CD383" s="73">
        <f t="shared" si="2502"/>
        <v>0</v>
      </c>
      <c r="CE383" s="73">
        <f>pInt_NoCare_Int_Dead_2007_2009*AW382</f>
        <v>0</v>
      </c>
      <c r="CF383" s="73">
        <f t="shared" si="2503"/>
        <v>0</v>
      </c>
      <c r="CG383" s="73">
        <f t="shared" si="2504"/>
        <v>0</v>
      </c>
      <c r="CH383" s="73">
        <f t="shared" si="2505"/>
        <v>0</v>
      </c>
      <c r="CI383" s="73">
        <f t="shared" si="2506"/>
        <v>0</v>
      </c>
      <c r="CJ383" s="73">
        <f t="shared" si="2507"/>
        <v>0</v>
      </c>
      <c r="CK383" s="73">
        <f t="shared" si="2508"/>
        <v>0</v>
      </c>
      <c r="CL383" s="73">
        <f t="shared" si="2509"/>
        <v>0</v>
      </c>
      <c r="CM383" s="73">
        <f>pAIDS_NoCare_AIDS_Dead_2007_2009*BC382</f>
        <v>0</v>
      </c>
      <c r="CN383" s="73">
        <f t="shared" si="2511"/>
        <v>0</v>
      </c>
      <c r="CO383" s="73">
        <f t="shared" si="2512"/>
        <v>0</v>
      </c>
      <c r="CP383" s="73">
        <f t="shared" si="2513"/>
        <v>0</v>
      </c>
      <c r="CQ383" s="73">
        <f t="shared" si="2514"/>
        <v>0</v>
      </c>
      <c r="CR383" s="73">
        <f t="shared" si="2515"/>
        <v>0</v>
      </c>
      <c r="CS383" s="73">
        <f t="shared" si="2516"/>
        <v>0</v>
      </c>
      <c r="CT383" s="73">
        <f t="shared" si="2517"/>
        <v>0</v>
      </c>
      <c r="CU383" s="73">
        <f t="shared" si="2518"/>
        <v>0</v>
      </c>
      <c r="CV383" s="73">
        <f t="shared" si="2519"/>
        <v>0</v>
      </c>
      <c r="CW383" s="73">
        <f t="shared" si="2520"/>
        <v>0</v>
      </c>
      <c r="CX383" s="73">
        <f t="shared" si="2521"/>
        <v>0</v>
      </c>
      <c r="CY383" s="73">
        <f t="shared" si="2522"/>
        <v>0</v>
      </c>
      <c r="CZ383" s="190"/>
      <c r="DA383" s="66">
        <v>2009</v>
      </c>
      <c r="DB383" s="218">
        <f t="shared" si="2491"/>
        <v>0</v>
      </c>
      <c r="DC383" s="218">
        <f t="shared" si="2492"/>
        <v>0</v>
      </c>
      <c r="DD383" s="73">
        <f t="shared" si="2493"/>
        <v>0</v>
      </c>
      <c r="DE383" s="73">
        <f t="shared" si="2494"/>
        <v>0</v>
      </c>
      <c r="DF383" s="73">
        <f t="shared" si="2495"/>
        <v>0</v>
      </c>
      <c r="DG383" s="73">
        <f t="shared" si="2496"/>
        <v>0</v>
      </c>
      <c r="DH383" s="72" t="e">
        <f t="shared" si="2523"/>
        <v>#DIV/0!</v>
      </c>
      <c r="DI383" s="72" t="e">
        <f t="shared" si="2524"/>
        <v>#DIV/0!</v>
      </c>
      <c r="DJ383" s="73">
        <f>SUM(AV378:AV383,BB378:BB383,BI378:BI383)</f>
        <v>0</v>
      </c>
      <c r="DK383" s="218">
        <v>0</v>
      </c>
      <c r="DL383" s="190"/>
    </row>
    <row r="384" spans="22:116" x14ac:dyDescent="0.25">
      <c r="V384" s="13"/>
      <c r="W384" s="66">
        <v>6</v>
      </c>
      <c r="X384" s="66">
        <v>2010</v>
      </c>
      <c r="Y384" s="69">
        <v>0</v>
      </c>
      <c r="Z384" s="69">
        <v>0</v>
      </c>
      <c r="AA384" s="69">
        <v>0</v>
      </c>
      <c r="AB384" s="69">
        <v>0</v>
      </c>
      <c r="AC384" s="69">
        <v>0</v>
      </c>
      <c r="AD384" s="69">
        <v>0</v>
      </c>
      <c r="AE384" s="69">
        <v>0</v>
      </c>
      <c r="AF384" s="69">
        <v>0</v>
      </c>
      <c r="AG384" s="69">
        <v>0</v>
      </c>
      <c r="AH384" s="69">
        <v>0</v>
      </c>
      <c r="AI384" s="69">
        <v>0</v>
      </c>
      <c r="AJ384" s="69">
        <v>0</v>
      </c>
      <c r="AK384" s="69">
        <v>0</v>
      </c>
      <c r="AL384" s="69">
        <v>0</v>
      </c>
      <c r="AM384" s="69">
        <v>0</v>
      </c>
      <c r="AN384" s="69">
        <v>0</v>
      </c>
      <c r="AO384" s="69">
        <v>0</v>
      </c>
      <c r="AP384" s="190"/>
      <c r="AQ384" s="66">
        <v>6</v>
      </c>
      <c r="AR384" s="66">
        <v>2010</v>
      </c>
      <c r="AS384" s="215">
        <f t="shared" si="2474"/>
        <v>0</v>
      </c>
      <c r="AT384" s="215">
        <f t="shared" si="2475"/>
        <v>0</v>
      </c>
      <c r="AU384" s="215">
        <f t="shared" si="2476"/>
        <v>0</v>
      </c>
      <c r="AV384" s="215">
        <f t="shared" si="2477"/>
        <v>0</v>
      </c>
      <c r="AW384" s="215">
        <f t="shared" si="2478"/>
        <v>0</v>
      </c>
      <c r="AX384" s="215">
        <f t="shared" si="2479"/>
        <v>0</v>
      </c>
      <c r="AY384" s="215">
        <f t="shared" si="2480"/>
        <v>0</v>
      </c>
      <c r="AZ384" s="215">
        <f t="shared" si="2481"/>
        <v>0</v>
      </c>
      <c r="BA384" s="215">
        <f t="shared" si="2482"/>
        <v>0</v>
      </c>
      <c r="BB384" s="215">
        <f t="shared" si="2483"/>
        <v>0</v>
      </c>
      <c r="BC384" s="215">
        <f t="shared" si="2484"/>
        <v>0</v>
      </c>
      <c r="BD384" s="215">
        <f t="shared" si="2485"/>
        <v>0</v>
      </c>
      <c r="BE384" s="215">
        <f t="shared" si="2486"/>
        <v>0</v>
      </c>
      <c r="BF384" s="215">
        <f t="shared" si="2487"/>
        <v>0</v>
      </c>
      <c r="BG384" s="215">
        <f t="shared" si="2488"/>
        <v>0</v>
      </c>
      <c r="BH384" s="215">
        <f t="shared" si="2489"/>
        <v>0</v>
      </c>
      <c r="BI384" s="215">
        <f t="shared" si="2490"/>
        <v>0</v>
      </c>
      <c r="BJ384" s="195"/>
      <c r="BK384" s="66">
        <v>6</v>
      </c>
      <c r="BL384" s="66">
        <v>2010</v>
      </c>
      <c r="BM384" s="215">
        <f t="shared" si="2497"/>
        <v>0</v>
      </c>
      <c r="BN384" s="219">
        <f t="shared" si="2498"/>
        <v>0</v>
      </c>
      <c r="BO384" s="219">
        <f t="shared" si="2499"/>
        <v>0</v>
      </c>
      <c r="BP384" s="219">
        <f t="shared" si="2525"/>
        <v>0</v>
      </c>
      <c r="BQ384" s="219">
        <f t="shared" si="2500"/>
        <v>0</v>
      </c>
      <c r="BR384" s="220">
        <f t="shared" si="2526"/>
        <v>0</v>
      </c>
      <c r="BS384" s="219">
        <f t="shared" si="2527"/>
        <v>0</v>
      </c>
      <c r="BT384" s="219">
        <f t="shared" si="2528"/>
        <v>0</v>
      </c>
      <c r="BU384" s="219">
        <f t="shared" si="2529"/>
        <v>0</v>
      </c>
      <c r="BV384" s="219">
        <f t="shared" si="2530"/>
        <v>0</v>
      </c>
      <c r="BW384" s="219">
        <f t="shared" si="2531"/>
        <v>0</v>
      </c>
      <c r="BX384" s="220">
        <f t="shared" si="2532"/>
        <v>0</v>
      </c>
      <c r="BY384" s="195"/>
      <c r="BZ384" s="66">
        <v>6</v>
      </c>
      <c r="CA384" s="66">
        <v>2010</v>
      </c>
      <c r="CB384" s="218">
        <f>pAsympt_NoCare_Asympt_Dead_2010_2012*AS383</f>
        <v>0</v>
      </c>
      <c r="CC384" s="218">
        <f t="shared" si="2501"/>
        <v>0</v>
      </c>
      <c r="CD384" s="73">
        <f t="shared" si="2502"/>
        <v>0</v>
      </c>
      <c r="CE384" s="73">
        <f>pInt_NoCare_Int_Dead_2010_2012*AW383</f>
        <v>0</v>
      </c>
      <c r="CF384" s="73">
        <f t="shared" si="2503"/>
        <v>0</v>
      </c>
      <c r="CG384" s="73">
        <f t="shared" si="2504"/>
        <v>0</v>
      </c>
      <c r="CH384" s="73">
        <f t="shared" si="2505"/>
        <v>0</v>
      </c>
      <c r="CI384" s="73">
        <f t="shared" si="2506"/>
        <v>0</v>
      </c>
      <c r="CJ384" s="73">
        <f t="shared" si="2507"/>
        <v>0</v>
      </c>
      <c r="CK384" s="73">
        <f t="shared" si="2508"/>
        <v>0</v>
      </c>
      <c r="CL384" s="73">
        <f t="shared" si="2509"/>
        <v>0</v>
      </c>
      <c r="CM384" s="73">
        <f>pAIDS_NoCare_AIDS_Dead_2010_2012*BC383</f>
        <v>0</v>
      </c>
      <c r="CN384" s="73">
        <f t="shared" si="2511"/>
        <v>0</v>
      </c>
      <c r="CO384" s="73">
        <f t="shared" si="2512"/>
        <v>0</v>
      </c>
      <c r="CP384" s="73">
        <f t="shared" si="2513"/>
        <v>0</v>
      </c>
      <c r="CQ384" s="73">
        <f t="shared" si="2514"/>
        <v>0</v>
      </c>
      <c r="CR384" s="73">
        <f t="shared" si="2515"/>
        <v>0</v>
      </c>
      <c r="CS384" s="73">
        <f t="shared" si="2516"/>
        <v>0</v>
      </c>
      <c r="CT384" s="73">
        <f t="shared" si="2517"/>
        <v>0</v>
      </c>
      <c r="CU384" s="73">
        <f t="shared" si="2518"/>
        <v>0</v>
      </c>
      <c r="CV384" s="73">
        <f t="shared" si="2519"/>
        <v>0</v>
      </c>
      <c r="CW384" s="73">
        <f t="shared" si="2520"/>
        <v>0</v>
      </c>
      <c r="CX384" s="73">
        <f t="shared" si="2521"/>
        <v>0</v>
      </c>
      <c r="CY384" s="73">
        <f t="shared" si="2522"/>
        <v>0</v>
      </c>
      <c r="CZ384" s="190"/>
      <c r="DA384" s="66">
        <v>2010</v>
      </c>
      <c r="DB384" s="218">
        <f t="shared" si="2491"/>
        <v>0</v>
      </c>
      <c r="DC384" s="218">
        <f t="shared" si="2492"/>
        <v>0</v>
      </c>
      <c r="DD384" s="73">
        <f t="shared" si="2493"/>
        <v>0</v>
      </c>
      <c r="DE384" s="73">
        <f t="shared" si="2494"/>
        <v>0</v>
      </c>
      <c r="DF384" s="73">
        <f t="shared" si="2495"/>
        <v>0</v>
      </c>
      <c r="DG384" s="73">
        <f t="shared" si="2496"/>
        <v>0</v>
      </c>
      <c r="DH384" s="72" t="e">
        <f t="shared" si="2523"/>
        <v>#DIV/0!</v>
      </c>
      <c r="DI384" s="72" t="e">
        <f t="shared" si="2524"/>
        <v>#DIV/0!</v>
      </c>
      <c r="DJ384" s="73">
        <f>SUM(AV378:AV384,BB378:BB384,BI378:BI384)</f>
        <v>0</v>
      </c>
      <c r="DK384" s="218">
        <f>SUM(AV384,BB384,BI384)</f>
        <v>0</v>
      </c>
      <c r="DL384" s="190"/>
    </row>
    <row r="385" spans="22:116" x14ac:dyDescent="0.25">
      <c r="V385" s="13"/>
      <c r="W385" s="66">
        <v>7</v>
      </c>
      <c r="X385" s="66">
        <v>2011</v>
      </c>
      <c r="Y385" s="69">
        <v>0</v>
      </c>
      <c r="Z385" s="69">
        <v>0</v>
      </c>
      <c r="AA385" s="69">
        <v>0</v>
      </c>
      <c r="AB385" s="69">
        <v>0</v>
      </c>
      <c r="AC385" s="69">
        <v>0</v>
      </c>
      <c r="AD385" s="69">
        <v>0</v>
      </c>
      <c r="AE385" s="69">
        <v>0</v>
      </c>
      <c r="AF385" s="69">
        <v>0</v>
      </c>
      <c r="AG385" s="69">
        <v>0</v>
      </c>
      <c r="AH385" s="69">
        <v>0</v>
      </c>
      <c r="AI385" s="69">
        <v>0</v>
      </c>
      <c r="AJ385" s="69">
        <v>0</v>
      </c>
      <c r="AK385" s="69">
        <v>0</v>
      </c>
      <c r="AL385" s="69">
        <v>0</v>
      </c>
      <c r="AM385" s="69">
        <v>0</v>
      </c>
      <c r="AN385" s="69">
        <v>0</v>
      </c>
      <c r="AO385" s="69">
        <v>0</v>
      </c>
      <c r="AP385" s="190"/>
      <c r="AQ385" s="66">
        <v>7</v>
      </c>
      <c r="AR385" s="66">
        <v>2011</v>
      </c>
      <c r="AS385" s="215">
        <f t="shared" si="2474"/>
        <v>0</v>
      </c>
      <c r="AT385" s="215">
        <f t="shared" si="2475"/>
        <v>0</v>
      </c>
      <c r="AU385" s="215">
        <f t="shared" si="2476"/>
        <v>0</v>
      </c>
      <c r="AV385" s="215">
        <f t="shared" si="2477"/>
        <v>0</v>
      </c>
      <c r="AW385" s="215">
        <f t="shared" si="2478"/>
        <v>0</v>
      </c>
      <c r="AX385" s="215">
        <f t="shared" si="2479"/>
        <v>0</v>
      </c>
      <c r="AY385" s="215">
        <f t="shared" si="2480"/>
        <v>0</v>
      </c>
      <c r="AZ385" s="215">
        <f t="shared" si="2481"/>
        <v>0</v>
      </c>
      <c r="BA385" s="215">
        <f t="shared" si="2482"/>
        <v>0</v>
      </c>
      <c r="BB385" s="215">
        <f t="shared" si="2483"/>
        <v>0</v>
      </c>
      <c r="BC385" s="215">
        <f t="shared" si="2484"/>
        <v>0</v>
      </c>
      <c r="BD385" s="215">
        <f t="shared" si="2485"/>
        <v>0</v>
      </c>
      <c r="BE385" s="215">
        <f t="shared" si="2486"/>
        <v>0</v>
      </c>
      <c r="BF385" s="215">
        <f t="shared" si="2487"/>
        <v>0</v>
      </c>
      <c r="BG385" s="215">
        <f t="shared" si="2488"/>
        <v>0</v>
      </c>
      <c r="BH385" s="215">
        <f t="shared" si="2489"/>
        <v>0</v>
      </c>
      <c r="BI385" s="215">
        <f t="shared" si="2490"/>
        <v>0</v>
      </c>
      <c r="BJ385" s="195"/>
      <c r="BK385" s="66">
        <v>7</v>
      </c>
      <c r="BL385" s="66">
        <v>2011</v>
      </c>
      <c r="BM385" s="215">
        <f t="shared" si="2497"/>
        <v>0</v>
      </c>
      <c r="BN385" s="219">
        <f t="shared" si="2498"/>
        <v>0</v>
      </c>
      <c r="BO385" s="219">
        <f t="shared" si="2499"/>
        <v>0</v>
      </c>
      <c r="BP385" s="219">
        <f t="shared" si="2525"/>
        <v>0</v>
      </c>
      <c r="BQ385" s="219">
        <f t="shared" si="2500"/>
        <v>0</v>
      </c>
      <c r="BR385" s="220">
        <f t="shared" si="2526"/>
        <v>0</v>
      </c>
      <c r="BS385" s="219">
        <f t="shared" si="2527"/>
        <v>0</v>
      </c>
      <c r="BT385" s="219">
        <f t="shared" si="2528"/>
        <v>0</v>
      </c>
      <c r="BU385" s="219">
        <f t="shared" si="2529"/>
        <v>0</v>
      </c>
      <c r="BV385" s="219">
        <f t="shared" si="2530"/>
        <v>0</v>
      </c>
      <c r="BW385" s="219">
        <f t="shared" si="2531"/>
        <v>0</v>
      </c>
      <c r="BX385" s="220">
        <f t="shared" si="2532"/>
        <v>0</v>
      </c>
      <c r="BY385" s="195"/>
      <c r="BZ385" s="66">
        <v>7</v>
      </c>
      <c r="CA385" s="66">
        <v>2011</v>
      </c>
      <c r="CB385" s="218">
        <f>pAsympt_NoCare_Asympt_Dead_2010_2012*AS384</f>
        <v>0</v>
      </c>
      <c r="CC385" s="218">
        <f t="shared" si="2501"/>
        <v>0</v>
      </c>
      <c r="CD385" s="73">
        <f t="shared" si="2502"/>
        <v>0</v>
      </c>
      <c r="CE385" s="73">
        <f>pInt_NoCare_Int_Dead_2010_2012*AW384</f>
        <v>0</v>
      </c>
      <c r="CF385" s="73">
        <f t="shared" si="2503"/>
        <v>0</v>
      </c>
      <c r="CG385" s="73">
        <f t="shared" si="2504"/>
        <v>0</v>
      </c>
      <c r="CH385" s="73">
        <f t="shared" si="2505"/>
        <v>0</v>
      </c>
      <c r="CI385" s="73">
        <f t="shared" si="2506"/>
        <v>0</v>
      </c>
      <c r="CJ385" s="73">
        <f t="shared" si="2507"/>
        <v>0</v>
      </c>
      <c r="CK385" s="73">
        <f t="shared" si="2508"/>
        <v>0</v>
      </c>
      <c r="CL385" s="73">
        <f t="shared" si="2509"/>
        <v>0</v>
      </c>
      <c r="CM385" s="73">
        <f>pAIDS_NoCare_AIDS_Dead_2010_2012*BC384</f>
        <v>0</v>
      </c>
      <c r="CN385" s="73">
        <f t="shared" si="2511"/>
        <v>0</v>
      </c>
      <c r="CO385" s="73">
        <f t="shared" si="2512"/>
        <v>0</v>
      </c>
      <c r="CP385" s="73">
        <f t="shared" si="2513"/>
        <v>0</v>
      </c>
      <c r="CQ385" s="73">
        <f t="shared" si="2514"/>
        <v>0</v>
      </c>
      <c r="CR385" s="73">
        <f t="shared" si="2515"/>
        <v>0</v>
      </c>
      <c r="CS385" s="73">
        <f t="shared" si="2516"/>
        <v>0</v>
      </c>
      <c r="CT385" s="73">
        <f t="shared" si="2517"/>
        <v>0</v>
      </c>
      <c r="CU385" s="73">
        <f t="shared" si="2518"/>
        <v>0</v>
      </c>
      <c r="CV385" s="73">
        <f t="shared" si="2519"/>
        <v>0</v>
      </c>
      <c r="CW385" s="73">
        <f t="shared" si="2520"/>
        <v>0</v>
      </c>
      <c r="CX385" s="73">
        <f t="shared" si="2521"/>
        <v>0</v>
      </c>
      <c r="CY385" s="73">
        <f t="shared" si="2522"/>
        <v>0</v>
      </c>
      <c r="CZ385" s="190"/>
      <c r="DA385" s="66">
        <v>2011</v>
      </c>
      <c r="DB385" s="218">
        <f t="shared" si="2491"/>
        <v>0</v>
      </c>
      <c r="DC385" s="218">
        <f t="shared" si="2492"/>
        <v>0</v>
      </c>
      <c r="DD385" s="73">
        <f t="shared" si="2493"/>
        <v>0</v>
      </c>
      <c r="DE385" s="73">
        <f t="shared" si="2494"/>
        <v>0</v>
      </c>
      <c r="DF385" s="73">
        <f t="shared" si="2495"/>
        <v>0</v>
      </c>
      <c r="DG385" s="73">
        <f t="shared" si="2496"/>
        <v>0</v>
      </c>
      <c r="DH385" s="72" t="e">
        <f t="shared" si="2523"/>
        <v>#DIV/0!</v>
      </c>
      <c r="DI385" s="72" t="e">
        <f t="shared" si="2524"/>
        <v>#DIV/0!</v>
      </c>
      <c r="DJ385" s="73">
        <f>SUM(AV378:AV385,BB378:BB385,BI378:BI385)</f>
        <v>0</v>
      </c>
      <c r="DK385" s="218">
        <f>SUM(AV384:AV385,BB384:BB385,BI384:BI385)</f>
        <v>0</v>
      </c>
      <c r="DL385" s="190"/>
    </row>
    <row r="386" spans="22:116" x14ac:dyDescent="0.25">
      <c r="V386" s="13"/>
      <c r="W386" s="66">
        <v>8</v>
      </c>
      <c r="X386" s="66">
        <v>2012</v>
      </c>
      <c r="Y386" s="69">
        <v>0</v>
      </c>
      <c r="Z386" s="69">
        <v>0</v>
      </c>
      <c r="AA386" s="69">
        <v>0</v>
      </c>
      <c r="AB386" s="69">
        <v>0</v>
      </c>
      <c r="AC386" s="69">
        <v>0</v>
      </c>
      <c r="AD386" s="69">
        <v>0</v>
      </c>
      <c r="AE386" s="69">
        <v>0</v>
      </c>
      <c r="AF386" s="69">
        <v>0</v>
      </c>
      <c r="AG386" s="69">
        <v>0</v>
      </c>
      <c r="AH386" s="69">
        <v>0</v>
      </c>
      <c r="AI386" s="69">
        <v>0</v>
      </c>
      <c r="AJ386" s="69">
        <v>0</v>
      </c>
      <c r="AK386" s="69">
        <v>0</v>
      </c>
      <c r="AL386" s="69">
        <v>0</v>
      </c>
      <c r="AM386" s="69">
        <v>0</v>
      </c>
      <c r="AN386" s="69">
        <v>0</v>
      </c>
      <c r="AO386" s="69">
        <v>0</v>
      </c>
      <c r="AP386" s="190"/>
      <c r="AQ386" s="66">
        <v>8</v>
      </c>
      <c r="AR386" s="66">
        <v>2012</v>
      </c>
      <c r="AS386" s="215">
        <f t="shared" si="2474"/>
        <v>0</v>
      </c>
      <c r="AT386" s="215">
        <f t="shared" si="2475"/>
        <v>0</v>
      </c>
      <c r="AU386" s="215">
        <f t="shared" si="2476"/>
        <v>0</v>
      </c>
      <c r="AV386" s="215">
        <f t="shared" si="2477"/>
        <v>0</v>
      </c>
      <c r="AW386" s="215">
        <f t="shared" si="2478"/>
        <v>0</v>
      </c>
      <c r="AX386" s="215">
        <f t="shared" si="2479"/>
        <v>0</v>
      </c>
      <c r="AY386" s="215">
        <f t="shared" si="2480"/>
        <v>0</v>
      </c>
      <c r="AZ386" s="215">
        <f t="shared" si="2481"/>
        <v>0</v>
      </c>
      <c r="BA386" s="215">
        <f t="shared" si="2482"/>
        <v>0</v>
      </c>
      <c r="BB386" s="215">
        <f t="shared" si="2483"/>
        <v>0</v>
      </c>
      <c r="BC386" s="215">
        <f t="shared" si="2484"/>
        <v>0</v>
      </c>
      <c r="BD386" s="215">
        <f t="shared" si="2485"/>
        <v>0</v>
      </c>
      <c r="BE386" s="215">
        <f t="shared" si="2486"/>
        <v>0</v>
      </c>
      <c r="BF386" s="215">
        <f t="shared" si="2487"/>
        <v>0</v>
      </c>
      <c r="BG386" s="215">
        <f t="shared" si="2488"/>
        <v>0</v>
      </c>
      <c r="BH386" s="215">
        <f t="shared" si="2489"/>
        <v>0</v>
      </c>
      <c r="BI386" s="215">
        <f t="shared" si="2490"/>
        <v>0</v>
      </c>
      <c r="BJ386" s="195"/>
      <c r="BK386" s="66">
        <v>8</v>
      </c>
      <c r="BL386" s="66">
        <v>2012</v>
      </c>
      <c r="BM386" s="215">
        <f t="shared" si="2497"/>
        <v>0</v>
      </c>
      <c r="BN386" s="219">
        <f t="shared" si="2498"/>
        <v>0</v>
      </c>
      <c r="BO386" s="219">
        <f t="shared" si="2499"/>
        <v>0</v>
      </c>
      <c r="BP386" s="219">
        <f t="shared" si="2525"/>
        <v>0</v>
      </c>
      <c r="BQ386" s="219">
        <f t="shared" si="2500"/>
        <v>0</v>
      </c>
      <c r="BR386" s="220">
        <f t="shared" si="2526"/>
        <v>0</v>
      </c>
      <c r="BS386" s="219">
        <f t="shared" si="2527"/>
        <v>0</v>
      </c>
      <c r="BT386" s="219">
        <f t="shared" si="2528"/>
        <v>0</v>
      </c>
      <c r="BU386" s="219">
        <f t="shared" si="2529"/>
        <v>0</v>
      </c>
      <c r="BV386" s="219">
        <f t="shared" si="2530"/>
        <v>0</v>
      </c>
      <c r="BW386" s="219">
        <f t="shared" si="2531"/>
        <v>0</v>
      </c>
      <c r="BX386" s="220">
        <f t="shared" si="2532"/>
        <v>0</v>
      </c>
      <c r="BY386" s="195"/>
      <c r="BZ386" s="66">
        <v>8</v>
      </c>
      <c r="CA386" s="66">
        <v>2012</v>
      </c>
      <c r="CB386" s="218">
        <f>pAsympt_NoCare_Asympt_Dead_2010_2012*AS385</f>
        <v>0</v>
      </c>
      <c r="CC386" s="218">
        <f t="shared" si="2501"/>
        <v>0</v>
      </c>
      <c r="CD386" s="73">
        <f t="shared" si="2502"/>
        <v>0</v>
      </c>
      <c r="CE386" s="73">
        <f>pInt_NoCare_Int_Dead_2010_2012*AW385</f>
        <v>0</v>
      </c>
      <c r="CF386" s="73">
        <f t="shared" si="2503"/>
        <v>0</v>
      </c>
      <c r="CG386" s="73">
        <f t="shared" si="2504"/>
        <v>0</v>
      </c>
      <c r="CH386" s="73">
        <f t="shared" si="2505"/>
        <v>0</v>
      </c>
      <c r="CI386" s="73">
        <f t="shared" si="2506"/>
        <v>0</v>
      </c>
      <c r="CJ386" s="73">
        <f t="shared" si="2507"/>
        <v>0</v>
      </c>
      <c r="CK386" s="73">
        <f t="shared" si="2508"/>
        <v>0</v>
      </c>
      <c r="CL386" s="73">
        <f t="shared" si="2509"/>
        <v>0</v>
      </c>
      <c r="CM386" s="73">
        <f>pAIDS_NoCare_AIDS_Dead_2010_2012*BC385</f>
        <v>0</v>
      </c>
      <c r="CN386" s="73">
        <f t="shared" si="2511"/>
        <v>0</v>
      </c>
      <c r="CO386" s="73">
        <f t="shared" si="2512"/>
        <v>0</v>
      </c>
      <c r="CP386" s="73">
        <f t="shared" si="2513"/>
        <v>0</v>
      </c>
      <c r="CQ386" s="73">
        <f t="shared" si="2514"/>
        <v>0</v>
      </c>
      <c r="CR386" s="73">
        <f t="shared" si="2515"/>
        <v>0</v>
      </c>
      <c r="CS386" s="73">
        <f t="shared" si="2516"/>
        <v>0</v>
      </c>
      <c r="CT386" s="73">
        <f t="shared" si="2517"/>
        <v>0</v>
      </c>
      <c r="CU386" s="73">
        <f t="shared" si="2518"/>
        <v>0</v>
      </c>
      <c r="CV386" s="73">
        <f t="shared" si="2519"/>
        <v>0</v>
      </c>
      <c r="CW386" s="73">
        <f t="shared" si="2520"/>
        <v>0</v>
      </c>
      <c r="CX386" s="73">
        <f t="shared" si="2521"/>
        <v>0</v>
      </c>
      <c r="CY386" s="73">
        <f t="shared" si="2522"/>
        <v>0</v>
      </c>
      <c r="CZ386" s="190"/>
      <c r="DA386" s="66">
        <v>2012</v>
      </c>
      <c r="DB386" s="218">
        <f t="shared" si="2491"/>
        <v>0</v>
      </c>
      <c r="DC386" s="218">
        <f t="shared" si="2492"/>
        <v>0</v>
      </c>
      <c r="DD386" s="73">
        <f t="shared" si="2493"/>
        <v>0</v>
      </c>
      <c r="DE386" s="73">
        <f t="shared" si="2494"/>
        <v>0</v>
      </c>
      <c r="DF386" s="73">
        <f t="shared" si="2495"/>
        <v>0</v>
      </c>
      <c r="DG386" s="73">
        <f t="shared" si="2496"/>
        <v>0</v>
      </c>
      <c r="DH386" s="72" t="e">
        <f t="shared" si="2523"/>
        <v>#DIV/0!</v>
      </c>
      <c r="DI386" s="72" t="e">
        <f t="shared" si="2524"/>
        <v>#DIV/0!</v>
      </c>
      <c r="DJ386" s="73">
        <f>SUM(AV378:AV386,BB378:BB386,BI378:BI386)</f>
        <v>0</v>
      </c>
      <c r="DK386" s="73">
        <f>SUM(AV384:AV386,BB384:BB386,BI384:BI386)</f>
        <v>0</v>
      </c>
      <c r="DL386" s="190"/>
    </row>
    <row r="387" spans="22:116" x14ac:dyDescent="0.25">
      <c r="V387" s="13"/>
      <c r="W387" s="66">
        <v>9</v>
      </c>
      <c r="X387" s="66">
        <v>2013</v>
      </c>
      <c r="Y387" s="69">
        <v>0</v>
      </c>
      <c r="Z387" s="69">
        <v>0</v>
      </c>
      <c r="AA387" s="69">
        <v>0</v>
      </c>
      <c r="AB387" s="69">
        <v>0</v>
      </c>
      <c r="AC387" s="69">
        <v>0</v>
      </c>
      <c r="AD387" s="69">
        <v>0</v>
      </c>
      <c r="AE387" s="69">
        <v>0</v>
      </c>
      <c r="AF387" s="69">
        <v>0</v>
      </c>
      <c r="AG387" s="69">
        <v>0</v>
      </c>
      <c r="AH387" s="69">
        <v>0</v>
      </c>
      <c r="AI387" s="69">
        <v>0</v>
      </c>
      <c r="AJ387" s="69">
        <v>0</v>
      </c>
      <c r="AK387" s="69">
        <v>0</v>
      </c>
      <c r="AL387" s="69">
        <v>0</v>
      </c>
      <c r="AM387" s="69">
        <v>0</v>
      </c>
      <c r="AN387" s="69">
        <v>0</v>
      </c>
      <c r="AO387" s="69">
        <v>0</v>
      </c>
      <c r="AP387" s="190"/>
      <c r="AQ387" s="66">
        <v>9</v>
      </c>
      <c r="AR387" s="66">
        <v>2013</v>
      </c>
      <c r="AS387" s="215">
        <f t="shared" si="2474"/>
        <v>0</v>
      </c>
      <c r="AT387" s="215">
        <f t="shared" si="2475"/>
        <v>0</v>
      </c>
      <c r="AU387" s="215">
        <f t="shared" si="2476"/>
        <v>0</v>
      </c>
      <c r="AV387" s="215">
        <f t="shared" si="2477"/>
        <v>0</v>
      </c>
      <c r="AW387" s="215">
        <f t="shared" si="2478"/>
        <v>0</v>
      </c>
      <c r="AX387" s="215">
        <f t="shared" si="2479"/>
        <v>0</v>
      </c>
      <c r="AY387" s="215">
        <f t="shared" si="2480"/>
        <v>0</v>
      </c>
      <c r="AZ387" s="215">
        <f t="shared" si="2481"/>
        <v>0</v>
      </c>
      <c r="BA387" s="215">
        <f t="shared" si="2482"/>
        <v>0</v>
      </c>
      <c r="BB387" s="215">
        <f t="shared" si="2483"/>
        <v>0</v>
      </c>
      <c r="BC387" s="215">
        <f t="shared" si="2484"/>
        <v>0</v>
      </c>
      <c r="BD387" s="215">
        <f t="shared" si="2485"/>
        <v>0</v>
      </c>
      <c r="BE387" s="215">
        <f t="shared" si="2486"/>
        <v>0</v>
      </c>
      <c r="BF387" s="215">
        <f t="shared" si="2487"/>
        <v>0</v>
      </c>
      <c r="BG387" s="215">
        <f t="shared" si="2488"/>
        <v>0</v>
      </c>
      <c r="BH387" s="215">
        <f t="shared" si="2489"/>
        <v>0</v>
      </c>
      <c r="BI387" s="215">
        <f t="shared" si="2490"/>
        <v>0</v>
      </c>
      <c r="BJ387" s="195"/>
      <c r="BK387" s="66">
        <v>9</v>
      </c>
      <c r="BL387" s="66">
        <v>2013</v>
      </c>
      <c r="BM387" s="215">
        <f t="shared" ref="BM387:BM397" si="2533">(AX386*pInt_InCare_Int_LTFU_2013plus_u)+(BM386*pInt_LTFU_2013plus_u)</f>
        <v>0</v>
      </c>
      <c r="BN387" s="219">
        <f t="shared" ref="BN387:BN397" si="2534">(AU386*pAsympt_LTFU_Int_LTFU_2013plus_u)+(BN386*pInt_LTFU_2013plus_u)</f>
        <v>0</v>
      </c>
      <c r="BO387" s="219">
        <f t="shared" ref="BO387:BO397" si="2535">(AY386*pInt_ART1_Int_LTFU_2013plus_u)+(BO386*pInt_LTFU_2013plus_u)</f>
        <v>0</v>
      </c>
      <c r="BP387" s="219">
        <f t="shared" ref="BP387:BP397" si="2536">(AZ386*pInt_ART2_Int_LTFU_2013plus_u)+(BP386*pInt_LTFU_2013plus_u)</f>
        <v>0</v>
      </c>
      <c r="BQ387" s="219">
        <f t="shared" ref="BQ387:BQ397" si="2537">(BD386*pAIDS_InCare_AIDS_LTFU_2013plus_u)+(BQ386*pAIDS_LTFU_2013plus_u)</f>
        <v>0</v>
      </c>
      <c r="BR387" s="220">
        <f t="shared" ref="BR387:BR397" si="2538">(BN386*pInt_LTFU_AIDS_LTFU_2013plus_u)+(BR386*pAIDS_LTFU_2013plus_u)</f>
        <v>0</v>
      </c>
      <c r="BS387" s="219">
        <f t="shared" ref="BS387:BS397" si="2539">(BM386*pInt_LTFU_AIDS_LTFU_2013plus_u)+(BS386*pAIDS_LTFU_2013plus_u)</f>
        <v>0</v>
      </c>
      <c r="BT387" s="219">
        <f t="shared" ref="BT387:BT397" si="2540">(BE386*pAIDS_ART1ear_AIDS_LTFU_2013plus_u)+(BT386*pAIDS_LTFU_2013plus_u)</f>
        <v>0</v>
      </c>
      <c r="BU387" s="219">
        <f t="shared" ref="BU387:BU397" si="2541">(BF386*pAIDS_ART1late_AIDS_LTFU_2013plus_u)+(BU386*pAIDS_LTFU_2013plus_u)</f>
        <v>0</v>
      </c>
      <c r="BV387" s="219">
        <f t="shared" ref="BV387:BV397" si="2542">(BO386*pInt_LTFU_AIDS_LTFU_2013plus_u)+(BV386*pAIDS_LTFU_2013plus_u)</f>
        <v>0</v>
      </c>
      <c r="BW387" s="219">
        <f t="shared" ref="BW387:BW397" si="2543">(BG386*pAIDS_ART2_AIDS_LTFU_2013plus_u)+(BW386*pAIDS_LTFU_2013plus_u)</f>
        <v>0</v>
      </c>
      <c r="BX387" s="220">
        <f t="shared" ref="BX387:BX397" si="2544">(BP386*pInt_LTFU_AIDS_LTFU_2013plus_u)+(BX386*pAIDS_LTFU_2013plus_u)</f>
        <v>0</v>
      </c>
      <c r="BY387" s="195"/>
      <c r="BZ387" s="66">
        <v>9</v>
      </c>
      <c r="CA387" s="66">
        <v>2013</v>
      </c>
      <c r="CB387" s="218">
        <f t="shared" ref="CB387:CB397" si="2545">pAsympt_NoCare_Asympt_Dead_2013plus_u*AS386</f>
        <v>0</v>
      </c>
      <c r="CC387" s="218">
        <f t="shared" ref="CC387:CC397" si="2546">pAsympt_InCare_Asympt_Dead_2013plus_u*AT386</f>
        <v>0</v>
      </c>
      <c r="CD387" s="73">
        <f t="shared" ref="CD387:CD397" si="2547">pAsympt_LTFU_Asympt_Dead_2013plus_u*AU386</f>
        <v>0</v>
      </c>
      <c r="CE387" s="73">
        <f t="shared" ref="CE387:CE397" si="2548">pInt_NoCare_Int_Dead_2013plus_u*AW386</f>
        <v>0</v>
      </c>
      <c r="CF387" s="73">
        <f t="shared" ref="CF387:CF397" si="2549">pInt_InCare_Int_Dead_2013plus_u*AX386</f>
        <v>0</v>
      </c>
      <c r="CG387" s="73">
        <f t="shared" ref="CG387:CG397" si="2550">pInt_ART1_Int_Dead_2013plus_u*AY386</f>
        <v>0</v>
      </c>
      <c r="CH387" s="73">
        <f t="shared" ref="CH387:CH397" si="2551">pInt_ART2_Int_Dead_2013plus_u*AZ386</f>
        <v>0</v>
      </c>
      <c r="CI387" s="73">
        <f t="shared" ref="CI387:CI397" si="2552">(BM386*pInt_LTFU_Int_Dead_2013plus_u)</f>
        <v>0</v>
      </c>
      <c r="CJ387" s="73">
        <f t="shared" ref="CJ387:CJ397" si="2553">(BN386*pInt_LTFU_Int_Dead_2013plus_u)</f>
        <v>0</v>
      </c>
      <c r="CK387" s="73">
        <f t="shared" ref="CK387:CK397" si="2554">(BO386*pInt_LTFU_Int_Dead_2013plus_u)</f>
        <v>0</v>
      </c>
      <c r="CL387" s="73">
        <f t="shared" ref="CL387:CL397" si="2555">(BP386*pInt_LTFU_Int_Dead_2013plus_u)</f>
        <v>0</v>
      </c>
      <c r="CM387" s="73">
        <f t="shared" ref="CM387:CM397" si="2556">pAIDS_NoCare_AIDS_Dead_2013plus_u*BC386</f>
        <v>0</v>
      </c>
      <c r="CN387" s="73">
        <f t="shared" ref="CN387:CN397" si="2557">pAIDS_InCare_AIDS_Dead_2013plus_u*BD386</f>
        <v>0</v>
      </c>
      <c r="CO387" s="73">
        <f t="shared" ref="CO387:CO397" si="2558">pAIDS_ART1ear_AIDS_Dead_2013plus_u*BE386</f>
        <v>0</v>
      </c>
      <c r="CP387" s="73">
        <f t="shared" ref="CP387:CP397" si="2559">pAIDS_ART1late_AIDS_Dead_2013plus_u*BF386</f>
        <v>0</v>
      </c>
      <c r="CQ387" s="73">
        <f t="shared" ref="CQ387:CQ397" si="2560">pAIDS_ART2_AIDS_Dead_2013plus_u*BG386</f>
        <v>0</v>
      </c>
      <c r="CR387" s="73">
        <f t="shared" ref="CR387:CR397" si="2561">(BQ386*pAIDS_LTFU_AIDS_Dead_2013plus_u)</f>
        <v>0</v>
      </c>
      <c r="CS387" s="73">
        <f t="shared" ref="CS387:CS397" si="2562">(BR386*pAIDS_LTFU_AIDS_Dead_2013plus_u)</f>
        <v>0</v>
      </c>
      <c r="CT387" s="73">
        <f t="shared" ref="CT387:CT397" si="2563">(BS386*pAIDS_LTFU_AIDS_Dead_2013plus_u)</f>
        <v>0</v>
      </c>
      <c r="CU387" s="73">
        <f t="shared" ref="CU387:CU397" si="2564">(BT386*pAIDS_LTFU_AIDS_Dead_2013plus_u)</f>
        <v>0</v>
      </c>
      <c r="CV387" s="73">
        <f t="shared" ref="CV387:CV397" si="2565">(BU386*pAIDS_LTFU_AIDS_Dead_2013plus_u)</f>
        <v>0</v>
      </c>
      <c r="CW387" s="73">
        <f t="shared" ref="CW387:CW397" si="2566">(BV386*pAIDS_LTFU_AIDS_Dead_2013plus_u)</f>
        <v>0</v>
      </c>
      <c r="CX387" s="73">
        <f t="shared" ref="CX387:CX397" si="2567">(BW386*pAIDS_LTFU_AIDS_Dead_2013plus_u)</f>
        <v>0</v>
      </c>
      <c r="CY387" s="73">
        <f t="shared" ref="CY387:CY397" si="2568">(BX386*pAIDS_LTFU_AIDS_Dead_2013plus_u)</f>
        <v>0</v>
      </c>
      <c r="CZ387" s="190"/>
      <c r="DA387" s="66">
        <v>2013</v>
      </c>
      <c r="DB387" s="218">
        <f t="shared" si="2491"/>
        <v>0</v>
      </c>
      <c r="DC387" s="218">
        <f t="shared" si="2492"/>
        <v>0</v>
      </c>
      <c r="DD387" s="73">
        <f t="shared" si="2493"/>
        <v>0</v>
      </c>
      <c r="DE387" s="73">
        <f t="shared" si="2494"/>
        <v>0</v>
      </c>
      <c r="DF387" s="73">
        <f t="shared" si="2495"/>
        <v>0</v>
      </c>
      <c r="DG387" s="73">
        <f t="shared" si="2496"/>
        <v>0</v>
      </c>
      <c r="DH387" s="72" t="e">
        <f t="shared" si="2523"/>
        <v>#DIV/0!</v>
      </c>
      <c r="DI387" s="72" t="e">
        <f t="shared" si="2524"/>
        <v>#DIV/0!</v>
      </c>
      <c r="DJ387" s="73">
        <f>SUM(AV378:AV387,BB378:BB387,BI378:BI387)</f>
        <v>0</v>
      </c>
      <c r="DK387" s="73">
        <f>SUM(AV384:AV387,BB384:BB387,BI384:BI387)</f>
        <v>0</v>
      </c>
      <c r="DL387" s="190"/>
    </row>
    <row r="388" spans="22:116" x14ac:dyDescent="0.25">
      <c r="V388" s="13"/>
      <c r="W388" s="66">
        <v>10</v>
      </c>
      <c r="X388" s="66">
        <v>2014</v>
      </c>
      <c r="Y388" s="69">
        <v>0</v>
      </c>
      <c r="Z388" s="69">
        <v>0</v>
      </c>
      <c r="AA388" s="69">
        <v>0</v>
      </c>
      <c r="AB388" s="69">
        <v>0</v>
      </c>
      <c r="AC388" s="69">
        <v>0</v>
      </c>
      <c r="AD388" s="69">
        <v>0</v>
      </c>
      <c r="AE388" s="69">
        <v>0</v>
      </c>
      <c r="AF388" s="69">
        <v>0</v>
      </c>
      <c r="AG388" s="69">
        <v>0</v>
      </c>
      <c r="AH388" s="69">
        <v>0</v>
      </c>
      <c r="AI388" s="69">
        <v>0</v>
      </c>
      <c r="AJ388" s="69">
        <v>0</v>
      </c>
      <c r="AK388" s="69">
        <v>0</v>
      </c>
      <c r="AL388" s="69">
        <v>0</v>
      </c>
      <c r="AM388" s="69">
        <v>0</v>
      </c>
      <c r="AN388" s="69">
        <v>0</v>
      </c>
      <c r="AO388" s="69">
        <v>0</v>
      </c>
      <c r="AP388" s="190"/>
      <c r="AQ388" s="66">
        <v>10</v>
      </c>
      <c r="AR388" s="66">
        <v>2014</v>
      </c>
      <c r="AS388" s="215">
        <f t="shared" si="2474"/>
        <v>0</v>
      </c>
      <c r="AT388" s="215">
        <f t="shared" si="2475"/>
        <v>0</v>
      </c>
      <c r="AU388" s="215">
        <f t="shared" si="2476"/>
        <v>0</v>
      </c>
      <c r="AV388" s="215">
        <f t="shared" si="2477"/>
        <v>0</v>
      </c>
      <c r="AW388" s="215">
        <f t="shared" si="2478"/>
        <v>0</v>
      </c>
      <c r="AX388" s="215">
        <f t="shared" si="2479"/>
        <v>0</v>
      </c>
      <c r="AY388" s="215">
        <f t="shared" si="2480"/>
        <v>0</v>
      </c>
      <c r="AZ388" s="215">
        <f t="shared" si="2481"/>
        <v>0</v>
      </c>
      <c r="BA388" s="215">
        <f t="shared" si="2482"/>
        <v>0</v>
      </c>
      <c r="BB388" s="215">
        <f t="shared" si="2483"/>
        <v>0</v>
      </c>
      <c r="BC388" s="215">
        <f t="shared" si="2484"/>
        <v>0</v>
      </c>
      <c r="BD388" s="215">
        <f t="shared" si="2485"/>
        <v>0</v>
      </c>
      <c r="BE388" s="215">
        <f t="shared" si="2486"/>
        <v>0</v>
      </c>
      <c r="BF388" s="215">
        <f t="shared" si="2487"/>
        <v>0</v>
      </c>
      <c r="BG388" s="215">
        <f t="shared" si="2488"/>
        <v>0</v>
      </c>
      <c r="BH388" s="215">
        <f t="shared" si="2489"/>
        <v>0</v>
      </c>
      <c r="BI388" s="215">
        <f t="shared" si="2490"/>
        <v>0</v>
      </c>
      <c r="BJ388" s="195"/>
      <c r="BK388" s="66">
        <v>10</v>
      </c>
      <c r="BL388" s="66">
        <v>2014</v>
      </c>
      <c r="BM388" s="215">
        <f t="shared" si="2533"/>
        <v>0</v>
      </c>
      <c r="BN388" s="219">
        <f t="shared" si="2534"/>
        <v>0</v>
      </c>
      <c r="BO388" s="219">
        <f t="shared" si="2535"/>
        <v>0</v>
      </c>
      <c r="BP388" s="219">
        <f t="shared" si="2536"/>
        <v>0</v>
      </c>
      <c r="BQ388" s="219">
        <f t="shared" si="2537"/>
        <v>0</v>
      </c>
      <c r="BR388" s="220">
        <f t="shared" si="2538"/>
        <v>0</v>
      </c>
      <c r="BS388" s="219">
        <f t="shared" si="2539"/>
        <v>0</v>
      </c>
      <c r="BT388" s="219">
        <f t="shared" si="2540"/>
        <v>0</v>
      </c>
      <c r="BU388" s="219">
        <f t="shared" si="2541"/>
        <v>0</v>
      </c>
      <c r="BV388" s="219">
        <f t="shared" si="2542"/>
        <v>0</v>
      </c>
      <c r="BW388" s="219">
        <f t="shared" si="2543"/>
        <v>0</v>
      </c>
      <c r="BX388" s="220">
        <f t="shared" si="2544"/>
        <v>0</v>
      </c>
      <c r="BY388" s="195"/>
      <c r="BZ388" s="66">
        <v>10</v>
      </c>
      <c r="CA388" s="66">
        <v>2014</v>
      </c>
      <c r="CB388" s="218">
        <f t="shared" si="2545"/>
        <v>0</v>
      </c>
      <c r="CC388" s="218">
        <f t="shared" si="2546"/>
        <v>0</v>
      </c>
      <c r="CD388" s="73">
        <f t="shared" si="2547"/>
        <v>0</v>
      </c>
      <c r="CE388" s="73">
        <f t="shared" si="2548"/>
        <v>0</v>
      </c>
      <c r="CF388" s="73">
        <f t="shared" si="2549"/>
        <v>0</v>
      </c>
      <c r="CG388" s="73">
        <f t="shared" si="2550"/>
        <v>0</v>
      </c>
      <c r="CH388" s="73">
        <f t="shared" si="2551"/>
        <v>0</v>
      </c>
      <c r="CI388" s="73">
        <f t="shared" si="2552"/>
        <v>0</v>
      </c>
      <c r="CJ388" s="73">
        <f t="shared" si="2553"/>
        <v>0</v>
      </c>
      <c r="CK388" s="73">
        <f t="shared" si="2554"/>
        <v>0</v>
      </c>
      <c r="CL388" s="73">
        <f t="shared" si="2555"/>
        <v>0</v>
      </c>
      <c r="CM388" s="73">
        <f t="shared" si="2556"/>
        <v>0</v>
      </c>
      <c r="CN388" s="73">
        <f t="shared" si="2557"/>
        <v>0</v>
      </c>
      <c r="CO388" s="73">
        <f t="shared" si="2558"/>
        <v>0</v>
      </c>
      <c r="CP388" s="73">
        <f t="shared" si="2559"/>
        <v>0</v>
      </c>
      <c r="CQ388" s="73">
        <f t="shared" si="2560"/>
        <v>0</v>
      </c>
      <c r="CR388" s="73">
        <f t="shared" si="2561"/>
        <v>0</v>
      </c>
      <c r="CS388" s="73">
        <f t="shared" si="2562"/>
        <v>0</v>
      </c>
      <c r="CT388" s="73">
        <f t="shared" si="2563"/>
        <v>0</v>
      </c>
      <c r="CU388" s="73">
        <f t="shared" si="2564"/>
        <v>0</v>
      </c>
      <c r="CV388" s="73">
        <f t="shared" si="2565"/>
        <v>0</v>
      </c>
      <c r="CW388" s="73">
        <f t="shared" si="2566"/>
        <v>0</v>
      </c>
      <c r="CX388" s="73">
        <f t="shared" si="2567"/>
        <v>0</v>
      </c>
      <c r="CY388" s="73">
        <f t="shared" si="2568"/>
        <v>0</v>
      </c>
      <c r="CZ388" s="190"/>
      <c r="DA388" s="66">
        <v>2014</v>
      </c>
      <c r="DB388" s="218">
        <f t="shared" si="2491"/>
        <v>0</v>
      </c>
      <c r="DC388" s="218">
        <f t="shared" si="2492"/>
        <v>0</v>
      </c>
      <c r="DD388" s="73">
        <f t="shared" si="2493"/>
        <v>0</v>
      </c>
      <c r="DE388" s="73">
        <f t="shared" si="2494"/>
        <v>0</v>
      </c>
      <c r="DF388" s="73">
        <f t="shared" si="2495"/>
        <v>0</v>
      </c>
      <c r="DG388" s="73">
        <f t="shared" si="2496"/>
        <v>0</v>
      </c>
      <c r="DH388" s="72" t="e">
        <f t="shared" si="2523"/>
        <v>#DIV/0!</v>
      </c>
      <c r="DI388" s="72" t="e">
        <f t="shared" si="2524"/>
        <v>#DIV/0!</v>
      </c>
      <c r="DJ388" s="73">
        <f>SUM(AV378:AV388,BB378:BB388,BI378:BI388)</f>
        <v>0</v>
      </c>
      <c r="DK388" s="73">
        <f>SUM(AV384:AV388,BB384:BB388,BI384:BI388)</f>
        <v>0</v>
      </c>
      <c r="DL388" s="190"/>
    </row>
    <row r="389" spans="22:116" x14ac:dyDescent="0.25">
      <c r="V389" s="13"/>
      <c r="W389" s="66">
        <v>11</v>
      </c>
      <c r="X389" s="66">
        <v>2015</v>
      </c>
      <c r="Y389" s="69">
        <v>0</v>
      </c>
      <c r="Z389" s="69">
        <v>0</v>
      </c>
      <c r="AA389" s="69">
        <v>0</v>
      </c>
      <c r="AB389" s="69">
        <v>0</v>
      </c>
      <c r="AC389" s="69">
        <v>0</v>
      </c>
      <c r="AD389" s="69">
        <v>0</v>
      </c>
      <c r="AE389" s="69">
        <v>0</v>
      </c>
      <c r="AF389" s="69">
        <v>0</v>
      </c>
      <c r="AG389" s="69">
        <v>0</v>
      </c>
      <c r="AH389" s="69">
        <v>0</v>
      </c>
      <c r="AI389" s="69">
        <v>0</v>
      </c>
      <c r="AJ389" s="69">
        <v>0</v>
      </c>
      <c r="AK389" s="69">
        <v>0</v>
      </c>
      <c r="AL389" s="69">
        <v>0</v>
      </c>
      <c r="AM389" s="69">
        <v>0</v>
      </c>
      <c r="AN389" s="69">
        <v>0</v>
      </c>
      <c r="AO389" s="69">
        <v>0</v>
      </c>
      <c r="AP389" s="190"/>
      <c r="AQ389" s="66">
        <v>11</v>
      </c>
      <c r="AR389" s="66">
        <v>2015</v>
      </c>
      <c r="AS389" s="215">
        <f t="shared" si="2474"/>
        <v>0</v>
      </c>
      <c r="AT389" s="215">
        <f t="shared" si="2475"/>
        <v>0</v>
      </c>
      <c r="AU389" s="215">
        <f t="shared" si="2476"/>
        <v>0</v>
      </c>
      <c r="AV389" s="215">
        <f t="shared" si="2477"/>
        <v>0</v>
      </c>
      <c r="AW389" s="215">
        <f t="shared" si="2478"/>
        <v>0</v>
      </c>
      <c r="AX389" s="215">
        <f t="shared" si="2479"/>
        <v>0</v>
      </c>
      <c r="AY389" s="215">
        <f t="shared" si="2480"/>
        <v>0</v>
      </c>
      <c r="AZ389" s="215">
        <f t="shared" si="2481"/>
        <v>0</v>
      </c>
      <c r="BA389" s="215">
        <f t="shared" si="2482"/>
        <v>0</v>
      </c>
      <c r="BB389" s="215">
        <f t="shared" si="2483"/>
        <v>0</v>
      </c>
      <c r="BC389" s="215">
        <f t="shared" si="2484"/>
        <v>0</v>
      </c>
      <c r="BD389" s="215">
        <f t="shared" si="2485"/>
        <v>0</v>
      </c>
      <c r="BE389" s="215">
        <f t="shared" si="2486"/>
        <v>0</v>
      </c>
      <c r="BF389" s="215">
        <f t="shared" si="2487"/>
        <v>0</v>
      </c>
      <c r="BG389" s="215">
        <f t="shared" si="2488"/>
        <v>0</v>
      </c>
      <c r="BH389" s="215">
        <f t="shared" si="2489"/>
        <v>0</v>
      </c>
      <c r="BI389" s="215">
        <f t="shared" si="2490"/>
        <v>0</v>
      </c>
      <c r="BJ389" s="195"/>
      <c r="BK389" s="66">
        <v>11</v>
      </c>
      <c r="BL389" s="66">
        <v>2015</v>
      </c>
      <c r="BM389" s="215">
        <f t="shared" si="2533"/>
        <v>0</v>
      </c>
      <c r="BN389" s="219">
        <f t="shared" si="2534"/>
        <v>0</v>
      </c>
      <c r="BO389" s="219">
        <f t="shared" si="2535"/>
        <v>0</v>
      </c>
      <c r="BP389" s="219">
        <f t="shared" si="2536"/>
        <v>0</v>
      </c>
      <c r="BQ389" s="219">
        <f t="shared" si="2537"/>
        <v>0</v>
      </c>
      <c r="BR389" s="220">
        <f t="shared" si="2538"/>
        <v>0</v>
      </c>
      <c r="BS389" s="219">
        <f t="shared" si="2539"/>
        <v>0</v>
      </c>
      <c r="BT389" s="219">
        <f t="shared" si="2540"/>
        <v>0</v>
      </c>
      <c r="BU389" s="219">
        <f t="shared" si="2541"/>
        <v>0</v>
      </c>
      <c r="BV389" s="219">
        <f t="shared" si="2542"/>
        <v>0</v>
      </c>
      <c r="BW389" s="219">
        <f t="shared" si="2543"/>
        <v>0</v>
      </c>
      <c r="BX389" s="220">
        <f t="shared" si="2544"/>
        <v>0</v>
      </c>
      <c r="BY389" s="195"/>
      <c r="BZ389" s="66">
        <v>11</v>
      </c>
      <c r="CA389" s="66">
        <v>2015</v>
      </c>
      <c r="CB389" s="218">
        <f t="shared" si="2545"/>
        <v>0</v>
      </c>
      <c r="CC389" s="218">
        <f t="shared" si="2546"/>
        <v>0</v>
      </c>
      <c r="CD389" s="73">
        <f t="shared" si="2547"/>
        <v>0</v>
      </c>
      <c r="CE389" s="73">
        <f t="shared" si="2548"/>
        <v>0</v>
      </c>
      <c r="CF389" s="73">
        <f t="shared" si="2549"/>
        <v>0</v>
      </c>
      <c r="CG389" s="73">
        <f t="shared" si="2550"/>
        <v>0</v>
      </c>
      <c r="CH389" s="73">
        <f t="shared" si="2551"/>
        <v>0</v>
      </c>
      <c r="CI389" s="73">
        <f t="shared" si="2552"/>
        <v>0</v>
      </c>
      <c r="CJ389" s="73">
        <f t="shared" si="2553"/>
        <v>0</v>
      </c>
      <c r="CK389" s="73">
        <f t="shared" si="2554"/>
        <v>0</v>
      </c>
      <c r="CL389" s="73">
        <f t="shared" si="2555"/>
        <v>0</v>
      </c>
      <c r="CM389" s="73">
        <f t="shared" si="2556"/>
        <v>0</v>
      </c>
      <c r="CN389" s="73">
        <f t="shared" si="2557"/>
        <v>0</v>
      </c>
      <c r="CO389" s="73">
        <f t="shared" si="2558"/>
        <v>0</v>
      </c>
      <c r="CP389" s="73">
        <f t="shared" si="2559"/>
        <v>0</v>
      </c>
      <c r="CQ389" s="73">
        <f t="shared" si="2560"/>
        <v>0</v>
      </c>
      <c r="CR389" s="73">
        <f t="shared" si="2561"/>
        <v>0</v>
      </c>
      <c r="CS389" s="73">
        <f t="shared" si="2562"/>
        <v>0</v>
      </c>
      <c r="CT389" s="73">
        <f t="shared" si="2563"/>
        <v>0</v>
      </c>
      <c r="CU389" s="73">
        <f t="shared" si="2564"/>
        <v>0</v>
      </c>
      <c r="CV389" s="73">
        <f t="shared" si="2565"/>
        <v>0</v>
      </c>
      <c r="CW389" s="73">
        <f t="shared" si="2566"/>
        <v>0</v>
      </c>
      <c r="CX389" s="73">
        <f t="shared" si="2567"/>
        <v>0</v>
      </c>
      <c r="CY389" s="73">
        <f t="shared" si="2568"/>
        <v>0</v>
      </c>
      <c r="CZ389" s="190"/>
      <c r="DA389" s="66">
        <v>2015</v>
      </c>
      <c r="DB389" s="218">
        <f t="shared" si="2491"/>
        <v>0</v>
      </c>
      <c r="DC389" s="218">
        <f t="shared" si="2492"/>
        <v>0</v>
      </c>
      <c r="DD389" s="73">
        <f t="shared" si="2493"/>
        <v>0</v>
      </c>
      <c r="DE389" s="73">
        <f t="shared" si="2494"/>
        <v>0</v>
      </c>
      <c r="DF389" s="73">
        <f t="shared" si="2495"/>
        <v>0</v>
      </c>
      <c r="DG389" s="73">
        <f t="shared" si="2496"/>
        <v>0</v>
      </c>
      <c r="DH389" s="72" t="e">
        <f t="shared" si="2523"/>
        <v>#DIV/0!</v>
      </c>
      <c r="DI389" s="72" t="e">
        <f t="shared" si="2524"/>
        <v>#DIV/0!</v>
      </c>
      <c r="DJ389" s="73">
        <f>SUM(AV378:AV389,BB378:BB389,BI378:BI389)</f>
        <v>0</v>
      </c>
      <c r="DK389" s="73">
        <f>SUM(AV384:AV389,BB384:BB389,BI384:BI389)</f>
        <v>0</v>
      </c>
      <c r="DL389" s="190"/>
    </row>
    <row r="390" spans="22:116" x14ac:dyDescent="0.25">
      <c r="V390" s="13"/>
      <c r="W390" s="66">
        <v>12</v>
      </c>
      <c r="X390" s="66">
        <v>2016</v>
      </c>
      <c r="Y390" s="69">
        <v>0</v>
      </c>
      <c r="Z390" s="69">
        <v>0</v>
      </c>
      <c r="AA390" s="69">
        <v>0</v>
      </c>
      <c r="AB390" s="69">
        <v>0</v>
      </c>
      <c r="AC390" s="69">
        <v>0</v>
      </c>
      <c r="AD390" s="69">
        <v>0</v>
      </c>
      <c r="AE390" s="69">
        <v>0</v>
      </c>
      <c r="AF390" s="69">
        <v>0</v>
      </c>
      <c r="AG390" s="69">
        <v>0</v>
      </c>
      <c r="AH390" s="69">
        <v>0</v>
      </c>
      <c r="AI390" s="69">
        <v>0</v>
      </c>
      <c r="AJ390" s="69">
        <v>0</v>
      </c>
      <c r="AK390" s="69">
        <v>0</v>
      </c>
      <c r="AL390" s="69">
        <v>0</v>
      </c>
      <c r="AM390" s="69">
        <v>0</v>
      </c>
      <c r="AN390" s="69">
        <v>0</v>
      </c>
      <c r="AO390" s="69">
        <v>0</v>
      </c>
      <c r="AP390" s="190"/>
      <c r="AQ390" s="66">
        <v>12</v>
      </c>
      <c r="AR390" s="66">
        <v>2016</v>
      </c>
      <c r="AS390" s="215">
        <f t="shared" si="2474"/>
        <v>0</v>
      </c>
      <c r="AT390" s="215">
        <f t="shared" si="2475"/>
        <v>0</v>
      </c>
      <c r="AU390" s="215">
        <f t="shared" si="2476"/>
        <v>0</v>
      </c>
      <c r="AV390" s="215">
        <f t="shared" si="2477"/>
        <v>0</v>
      </c>
      <c r="AW390" s="215">
        <f t="shared" si="2478"/>
        <v>0</v>
      </c>
      <c r="AX390" s="215">
        <f t="shared" si="2479"/>
        <v>0</v>
      </c>
      <c r="AY390" s="215">
        <f t="shared" si="2480"/>
        <v>0</v>
      </c>
      <c r="AZ390" s="215">
        <f t="shared" si="2481"/>
        <v>0</v>
      </c>
      <c r="BA390" s="215">
        <f t="shared" si="2482"/>
        <v>0</v>
      </c>
      <c r="BB390" s="215">
        <f t="shared" si="2483"/>
        <v>0</v>
      </c>
      <c r="BC390" s="215">
        <f t="shared" si="2484"/>
        <v>0</v>
      </c>
      <c r="BD390" s="215">
        <f t="shared" si="2485"/>
        <v>0</v>
      </c>
      <c r="BE390" s="215">
        <f t="shared" si="2486"/>
        <v>0</v>
      </c>
      <c r="BF390" s="215">
        <f t="shared" si="2487"/>
        <v>0</v>
      </c>
      <c r="BG390" s="215">
        <f t="shared" si="2488"/>
        <v>0</v>
      </c>
      <c r="BH390" s="215">
        <f t="shared" si="2489"/>
        <v>0</v>
      </c>
      <c r="BI390" s="215">
        <f t="shared" si="2490"/>
        <v>0</v>
      </c>
      <c r="BJ390" s="195"/>
      <c r="BK390" s="66">
        <v>12</v>
      </c>
      <c r="BL390" s="66">
        <v>2016</v>
      </c>
      <c r="BM390" s="215">
        <f t="shared" si="2533"/>
        <v>0</v>
      </c>
      <c r="BN390" s="219">
        <f t="shared" si="2534"/>
        <v>0</v>
      </c>
      <c r="BO390" s="219">
        <f t="shared" si="2535"/>
        <v>0</v>
      </c>
      <c r="BP390" s="219">
        <f t="shared" si="2536"/>
        <v>0</v>
      </c>
      <c r="BQ390" s="219">
        <f t="shared" si="2537"/>
        <v>0</v>
      </c>
      <c r="BR390" s="220">
        <f t="shared" si="2538"/>
        <v>0</v>
      </c>
      <c r="BS390" s="219">
        <f t="shared" si="2539"/>
        <v>0</v>
      </c>
      <c r="BT390" s="219">
        <f t="shared" si="2540"/>
        <v>0</v>
      </c>
      <c r="BU390" s="219">
        <f t="shared" si="2541"/>
        <v>0</v>
      </c>
      <c r="BV390" s="219">
        <f t="shared" si="2542"/>
        <v>0</v>
      </c>
      <c r="BW390" s="219">
        <f t="shared" si="2543"/>
        <v>0</v>
      </c>
      <c r="BX390" s="220">
        <f t="shared" si="2544"/>
        <v>0</v>
      </c>
      <c r="BY390" s="195"/>
      <c r="BZ390" s="66">
        <v>12</v>
      </c>
      <c r="CA390" s="66">
        <v>2016</v>
      </c>
      <c r="CB390" s="218">
        <f t="shared" si="2545"/>
        <v>0</v>
      </c>
      <c r="CC390" s="218">
        <f t="shared" si="2546"/>
        <v>0</v>
      </c>
      <c r="CD390" s="73">
        <f t="shared" si="2547"/>
        <v>0</v>
      </c>
      <c r="CE390" s="73">
        <f t="shared" si="2548"/>
        <v>0</v>
      </c>
      <c r="CF390" s="73">
        <f t="shared" si="2549"/>
        <v>0</v>
      </c>
      <c r="CG390" s="73">
        <f t="shared" si="2550"/>
        <v>0</v>
      </c>
      <c r="CH390" s="73">
        <f t="shared" si="2551"/>
        <v>0</v>
      </c>
      <c r="CI390" s="73">
        <f t="shared" si="2552"/>
        <v>0</v>
      </c>
      <c r="CJ390" s="73">
        <f t="shared" si="2553"/>
        <v>0</v>
      </c>
      <c r="CK390" s="73">
        <f t="shared" si="2554"/>
        <v>0</v>
      </c>
      <c r="CL390" s="73">
        <f t="shared" si="2555"/>
        <v>0</v>
      </c>
      <c r="CM390" s="73">
        <f t="shared" si="2556"/>
        <v>0</v>
      </c>
      <c r="CN390" s="73">
        <f t="shared" si="2557"/>
        <v>0</v>
      </c>
      <c r="CO390" s="73">
        <f t="shared" si="2558"/>
        <v>0</v>
      </c>
      <c r="CP390" s="73">
        <f t="shared" si="2559"/>
        <v>0</v>
      </c>
      <c r="CQ390" s="73">
        <f t="shared" si="2560"/>
        <v>0</v>
      </c>
      <c r="CR390" s="73">
        <f t="shared" si="2561"/>
        <v>0</v>
      </c>
      <c r="CS390" s="73">
        <f t="shared" si="2562"/>
        <v>0</v>
      </c>
      <c r="CT390" s="73">
        <f t="shared" si="2563"/>
        <v>0</v>
      </c>
      <c r="CU390" s="73">
        <f t="shared" si="2564"/>
        <v>0</v>
      </c>
      <c r="CV390" s="73">
        <f t="shared" si="2565"/>
        <v>0</v>
      </c>
      <c r="CW390" s="73">
        <f t="shared" si="2566"/>
        <v>0</v>
      </c>
      <c r="CX390" s="73">
        <f t="shared" si="2567"/>
        <v>0</v>
      </c>
      <c r="CY390" s="73">
        <f t="shared" si="2568"/>
        <v>0</v>
      </c>
      <c r="CZ390" s="190"/>
      <c r="DA390" s="66">
        <v>2016</v>
      </c>
      <c r="DB390" s="218">
        <f t="shared" si="2491"/>
        <v>0</v>
      </c>
      <c r="DC390" s="218">
        <f t="shared" si="2492"/>
        <v>0</v>
      </c>
      <c r="DD390" s="73">
        <f t="shared" si="2493"/>
        <v>0</v>
      </c>
      <c r="DE390" s="73">
        <f t="shared" si="2494"/>
        <v>0</v>
      </c>
      <c r="DF390" s="73">
        <f t="shared" si="2495"/>
        <v>0</v>
      </c>
      <c r="DG390" s="73">
        <f t="shared" si="2496"/>
        <v>0</v>
      </c>
      <c r="DH390" s="72" t="e">
        <f t="shared" si="2523"/>
        <v>#DIV/0!</v>
      </c>
      <c r="DI390" s="72" t="e">
        <f t="shared" si="2524"/>
        <v>#DIV/0!</v>
      </c>
      <c r="DJ390" s="73">
        <f>SUM(AV378:AV390,BB378:BB390,BI378:BI390)</f>
        <v>0</v>
      </c>
      <c r="DK390" s="73">
        <f>SUM(AV384:AV390,BB384:BB390,BI384:BI390)</f>
        <v>0</v>
      </c>
      <c r="DL390" s="190"/>
    </row>
    <row r="391" spans="22:116" x14ac:dyDescent="0.25">
      <c r="V391" s="13"/>
      <c r="W391" s="66">
        <v>13</v>
      </c>
      <c r="X391" s="66">
        <v>2017</v>
      </c>
      <c r="Y391" s="69">
        <v>0</v>
      </c>
      <c r="Z391" s="69">
        <v>0</v>
      </c>
      <c r="AA391" s="69">
        <v>0</v>
      </c>
      <c r="AB391" s="69">
        <v>0</v>
      </c>
      <c r="AC391" s="69">
        <v>0</v>
      </c>
      <c r="AD391" s="69">
        <v>0</v>
      </c>
      <c r="AE391" s="69">
        <v>0</v>
      </c>
      <c r="AF391" s="69">
        <v>0</v>
      </c>
      <c r="AG391" s="69">
        <v>0</v>
      </c>
      <c r="AH391" s="69">
        <v>0</v>
      </c>
      <c r="AI391" s="69">
        <v>0</v>
      </c>
      <c r="AJ391" s="69">
        <v>0</v>
      </c>
      <c r="AK391" s="69">
        <v>0</v>
      </c>
      <c r="AL391" s="69">
        <v>0</v>
      </c>
      <c r="AM391" s="69">
        <v>0</v>
      </c>
      <c r="AN391" s="69">
        <v>0</v>
      </c>
      <c r="AO391" s="69">
        <v>0</v>
      </c>
      <c r="AP391" s="190"/>
      <c r="AQ391" s="66">
        <v>13</v>
      </c>
      <c r="AR391" s="66">
        <v>2017</v>
      </c>
      <c r="AS391" s="215">
        <f t="shared" si="2474"/>
        <v>0</v>
      </c>
      <c r="AT391" s="215">
        <f t="shared" si="2475"/>
        <v>0</v>
      </c>
      <c r="AU391" s="215">
        <f t="shared" si="2476"/>
        <v>0</v>
      </c>
      <c r="AV391" s="215">
        <f t="shared" si="2477"/>
        <v>0</v>
      </c>
      <c r="AW391" s="215">
        <f t="shared" si="2478"/>
        <v>0</v>
      </c>
      <c r="AX391" s="215">
        <f t="shared" si="2479"/>
        <v>0</v>
      </c>
      <c r="AY391" s="215">
        <f t="shared" si="2480"/>
        <v>0</v>
      </c>
      <c r="AZ391" s="215">
        <f t="shared" si="2481"/>
        <v>0</v>
      </c>
      <c r="BA391" s="215">
        <f t="shared" si="2482"/>
        <v>0</v>
      </c>
      <c r="BB391" s="215">
        <f t="shared" si="2483"/>
        <v>0</v>
      </c>
      <c r="BC391" s="215">
        <f t="shared" si="2484"/>
        <v>0</v>
      </c>
      <c r="BD391" s="215">
        <f t="shared" si="2485"/>
        <v>0</v>
      </c>
      <c r="BE391" s="215">
        <f t="shared" si="2486"/>
        <v>0</v>
      </c>
      <c r="BF391" s="215">
        <f t="shared" si="2487"/>
        <v>0</v>
      </c>
      <c r="BG391" s="215">
        <f t="shared" si="2488"/>
        <v>0</v>
      </c>
      <c r="BH391" s="215">
        <f t="shared" si="2489"/>
        <v>0</v>
      </c>
      <c r="BI391" s="215">
        <f t="shared" si="2490"/>
        <v>0</v>
      </c>
      <c r="BJ391" s="195"/>
      <c r="BK391" s="66">
        <v>13</v>
      </c>
      <c r="BL391" s="66">
        <v>2017</v>
      </c>
      <c r="BM391" s="215">
        <f t="shared" si="2533"/>
        <v>0</v>
      </c>
      <c r="BN391" s="219">
        <f t="shared" si="2534"/>
        <v>0</v>
      </c>
      <c r="BO391" s="219">
        <f t="shared" si="2535"/>
        <v>0</v>
      </c>
      <c r="BP391" s="219">
        <f t="shared" si="2536"/>
        <v>0</v>
      </c>
      <c r="BQ391" s="219">
        <f t="shared" si="2537"/>
        <v>0</v>
      </c>
      <c r="BR391" s="220">
        <f t="shared" si="2538"/>
        <v>0</v>
      </c>
      <c r="BS391" s="219">
        <f t="shared" si="2539"/>
        <v>0</v>
      </c>
      <c r="BT391" s="219">
        <f t="shared" si="2540"/>
        <v>0</v>
      </c>
      <c r="BU391" s="219">
        <f t="shared" si="2541"/>
        <v>0</v>
      </c>
      <c r="BV391" s="219">
        <f t="shared" si="2542"/>
        <v>0</v>
      </c>
      <c r="BW391" s="219">
        <f t="shared" si="2543"/>
        <v>0</v>
      </c>
      <c r="BX391" s="220">
        <f t="shared" si="2544"/>
        <v>0</v>
      </c>
      <c r="BY391" s="195"/>
      <c r="BZ391" s="66">
        <v>13</v>
      </c>
      <c r="CA391" s="66">
        <v>2017</v>
      </c>
      <c r="CB391" s="218">
        <f t="shared" si="2545"/>
        <v>0</v>
      </c>
      <c r="CC391" s="218">
        <f t="shared" si="2546"/>
        <v>0</v>
      </c>
      <c r="CD391" s="73">
        <f t="shared" si="2547"/>
        <v>0</v>
      </c>
      <c r="CE391" s="73">
        <f t="shared" si="2548"/>
        <v>0</v>
      </c>
      <c r="CF391" s="73">
        <f t="shared" si="2549"/>
        <v>0</v>
      </c>
      <c r="CG391" s="73">
        <f t="shared" si="2550"/>
        <v>0</v>
      </c>
      <c r="CH391" s="73">
        <f t="shared" si="2551"/>
        <v>0</v>
      </c>
      <c r="CI391" s="73">
        <f t="shared" si="2552"/>
        <v>0</v>
      </c>
      <c r="CJ391" s="73">
        <f t="shared" si="2553"/>
        <v>0</v>
      </c>
      <c r="CK391" s="73">
        <f t="shared" si="2554"/>
        <v>0</v>
      </c>
      <c r="CL391" s="73">
        <f t="shared" si="2555"/>
        <v>0</v>
      </c>
      <c r="CM391" s="73">
        <f t="shared" si="2556"/>
        <v>0</v>
      </c>
      <c r="CN391" s="73">
        <f t="shared" si="2557"/>
        <v>0</v>
      </c>
      <c r="CO391" s="73">
        <f t="shared" si="2558"/>
        <v>0</v>
      </c>
      <c r="CP391" s="73">
        <f t="shared" si="2559"/>
        <v>0</v>
      </c>
      <c r="CQ391" s="73">
        <f t="shared" si="2560"/>
        <v>0</v>
      </c>
      <c r="CR391" s="73">
        <f t="shared" si="2561"/>
        <v>0</v>
      </c>
      <c r="CS391" s="73">
        <f t="shared" si="2562"/>
        <v>0</v>
      </c>
      <c r="CT391" s="73">
        <f t="shared" si="2563"/>
        <v>0</v>
      </c>
      <c r="CU391" s="73">
        <f t="shared" si="2564"/>
        <v>0</v>
      </c>
      <c r="CV391" s="73">
        <f t="shared" si="2565"/>
        <v>0</v>
      </c>
      <c r="CW391" s="73">
        <f t="shared" si="2566"/>
        <v>0</v>
      </c>
      <c r="CX391" s="73">
        <f t="shared" si="2567"/>
        <v>0</v>
      </c>
      <c r="CY391" s="73">
        <f t="shared" si="2568"/>
        <v>0</v>
      </c>
      <c r="CZ391" s="190"/>
      <c r="DA391" s="66">
        <v>2017</v>
      </c>
      <c r="DB391" s="218">
        <f t="shared" si="2491"/>
        <v>0</v>
      </c>
      <c r="DC391" s="218">
        <f t="shared" si="2492"/>
        <v>0</v>
      </c>
      <c r="DD391" s="73">
        <f t="shared" si="2493"/>
        <v>0</v>
      </c>
      <c r="DE391" s="73">
        <f t="shared" si="2494"/>
        <v>0</v>
      </c>
      <c r="DF391" s="73">
        <f t="shared" si="2495"/>
        <v>0</v>
      </c>
      <c r="DG391" s="73">
        <f t="shared" si="2496"/>
        <v>0</v>
      </c>
      <c r="DH391" s="72" t="e">
        <f t="shared" si="2523"/>
        <v>#DIV/0!</v>
      </c>
      <c r="DI391" s="72" t="e">
        <f t="shared" si="2524"/>
        <v>#DIV/0!</v>
      </c>
      <c r="DJ391" s="73">
        <f>SUM(AV378:AV391,BB378:BB391,BI378:BI391)</f>
        <v>0</v>
      </c>
      <c r="DK391" s="73">
        <f>SUM(AV384:AV391,BB384:BB391,BI384:BI391)</f>
        <v>0</v>
      </c>
      <c r="DL391" s="190"/>
    </row>
    <row r="392" spans="22:116" x14ac:dyDescent="0.25">
      <c r="V392" s="13"/>
      <c r="W392" s="66">
        <v>14</v>
      </c>
      <c r="X392" s="66">
        <v>2018</v>
      </c>
      <c r="Y392" s="69">
        <v>0</v>
      </c>
      <c r="Z392" s="69">
        <v>0</v>
      </c>
      <c r="AA392" s="69">
        <v>0</v>
      </c>
      <c r="AB392" s="69">
        <v>0</v>
      </c>
      <c r="AC392" s="69">
        <v>0</v>
      </c>
      <c r="AD392" s="69">
        <v>0</v>
      </c>
      <c r="AE392" s="69">
        <v>0</v>
      </c>
      <c r="AF392" s="69">
        <v>0</v>
      </c>
      <c r="AG392" s="69">
        <v>0</v>
      </c>
      <c r="AH392" s="69">
        <v>0</v>
      </c>
      <c r="AI392" s="69">
        <v>0</v>
      </c>
      <c r="AJ392" s="69">
        <v>0</v>
      </c>
      <c r="AK392" s="69">
        <v>0</v>
      </c>
      <c r="AL392" s="69">
        <v>0</v>
      </c>
      <c r="AM392" s="69">
        <v>0</v>
      </c>
      <c r="AN392" s="69">
        <v>0</v>
      </c>
      <c r="AO392" s="69">
        <v>0</v>
      </c>
      <c r="AP392" s="190"/>
      <c r="AQ392" s="66">
        <v>14</v>
      </c>
      <c r="AR392" s="66">
        <v>2018</v>
      </c>
      <c r="AS392" s="215">
        <f t="shared" si="2474"/>
        <v>0</v>
      </c>
      <c r="AT392" s="215">
        <f t="shared" si="2475"/>
        <v>0</v>
      </c>
      <c r="AU392" s="215">
        <f t="shared" si="2476"/>
        <v>0</v>
      </c>
      <c r="AV392" s="215">
        <f t="shared" si="2477"/>
        <v>0</v>
      </c>
      <c r="AW392" s="215">
        <f t="shared" si="2478"/>
        <v>0</v>
      </c>
      <c r="AX392" s="215">
        <f t="shared" si="2479"/>
        <v>0</v>
      </c>
      <c r="AY392" s="215">
        <f t="shared" si="2480"/>
        <v>0</v>
      </c>
      <c r="AZ392" s="215">
        <f t="shared" si="2481"/>
        <v>0</v>
      </c>
      <c r="BA392" s="215">
        <f t="shared" si="2482"/>
        <v>0</v>
      </c>
      <c r="BB392" s="215">
        <f t="shared" si="2483"/>
        <v>0</v>
      </c>
      <c r="BC392" s="215">
        <f t="shared" si="2484"/>
        <v>0</v>
      </c>
      <c r="BD392" s="215">
        <f t="shared" si="2485"/>
        <v>0</v>
      </c>
      <c r="BE392" s="215">
        <f t="shared" si="2486"/>
        <v>0</v>
      </c>
      <c r="BF392" s="215">
        <f t="shared" si="2487"/>
        <v>0</v>
      </c>
      <c r="BG392" s="215">
        <f t="shared" si="2488"/>
        <v>0</v>
      </c>
      <c r="BH392" s="215">
        <f t="shared" si="2489"/>
        <v>0</v>
      </c>
      <c r="BI392" s="215">
        <f t="shared" si="2490"/>
        <v>0</v>
      </c>
      <c r="BJ392" s="195"/>
      <c r="BK392" s="66">
        <v>14</v>
      </c>
      <c r="BL392" s="66">
        <v>2018</v>
      </c>
      <c r="BM392" s="215">
        <f t="shared" si="2533"/>
        <v>0</v>
      </c>
      <c r="BN392" s="219">
        <f t="shared" si="2534"/>
        <v>0</v>
      </c>
      <c r="BO392" s="219">
        <f t="shared" si="2535"/>
        <v>0</v>
      </c>
      <c r="BP392" s="219">
        <f t="shared" si="2536"/>
        <v>0</v>
      </c>
      <c r="BQ392" s="219">
        <f t="shared" si="2537"/>
        <v>0</v>
      </c>
      <c r="BR392" s="220">
        <f t="shared" si="2538"/>
        <v>0</v>
      </c>
      <c r="BS392" s="219">
        <f t="shared" si="2539"/>
        <v>0</v>
      </c>
      <c r="BT392" s="219">
        <f t="shared" si="2540"/>
        <v>0</v>
      </c>
      <c r="BU392" s="219">
        <f t="shared" si="2541"/>
        <v>0</v>
      </c>
      <c r="BV392" s="219">
        <f t="shared" si="2542"/>
        <v>0</v>
      </c>
      <c r="BW392" s="219">
        <f t="shared" si="2543"/>
        <v>0</v>
      </c>
      <c r="BX392" s="220">
        <f t="shared" si="2544"/>
        <v>0</v>
      </c>
      <c r="BY392" s="195"/>
      <c r="BZ392" s="66">
        <v>14</v>
      </c>
      <c r="CA392" s="66">
        <v>2018</v>
      </c>
      <c r="CB392" s="218">
        <f t="shared" si="2545"/>
        <v>0</v>
      </c>
      <c r="CC392" s="218">
        <f t="shared" si="2546"/>
        <v>0</v>
      </c>
      <c r="CD392" s="73">
        <f t="shared" si="2547"/>
        <v>0</v>
      </c>
      <c r="CE392" s="73">
        <f t="shared" si="2548"/>
        <v>0</v>
      </c>
      <c r="CF392" s="73">
        <f t="shared" si="2549"/>
        <v>0</v>
      </c>
      <c r="CG392" s="73">
        <f t="shared" si="2550"/>
        <v>0</v>
      </c>
      <c r="CH392" s="73">
        <f t="shared" si="2551"/>
        <v>0</v>
      </c>
      <c r="CI392" s="73">
        <f t="shared" si="2552"/>
        <v>0</v>
      </c>
      <c r="CJ392" s="73">
        <f t="shared" si="2553"/>
        <v>0</v>
      </c>
      <c r="CK392" s="73">
        <f t="shared" si="2554"/>
        <v>0</v>
      </c>
      <c r="CL392" s="73">
        <f t="shared" si="2555"/>
        <v>0</v>
      </c>
      <c r="CM392" s="73">
        <f t="shared" si="2556"/>
        <v>0</v>
      </c>
      <c r="CN392" s="73">
        <f t="shared" si="2557"/>
        <v>0</v>
      </c>
      <c r="CO392" s="73">
        <f t="shared" si="2558"/>
        <v>0</v>
      </c>
      <c r="CP392" s="73">
        <f t="shared" si="2559"/>
        <v>0</v>
      </c>
      <c r="CQ392" s="73">
        <f t="shared" si="2560"/>
        <v>0</v>
      </c>
      <c r="CR392" s="73">
        <f t="shared" si="2561"/>
        <v>0</v>
      </c>
      <c r="CS392" s="73">
        <f t="shared" si="2562"/>
        <v>0</v>
      </c>
      <c r="CT392" s="73">
        <f t="shared" si="2563"/>
        <v>0</v>
      </c>
      <c r="CU392" s="73">
        <f t="shared" si="2564"/>
        <v>0</v>
      </c>
      <c r="CV392" s="73">
        <f t="shared" si="2565"/>
        <v>0</v>
      </c>
      <c r="CW392" s="73">
        <f t="shared" si="2566"/>
        <v>0</v>
      </c>
      <c r="CX392" s="73">
        <f t="shared" si="2567"/>
        <v>0</v>
      </c>
      <c r="CY392" s="73">
        <f t="shared" si="2568"/>
        <v>0</v>
      </c>
      <c r="CZ392" s="190"/>
      <c r="DA392" s="66">
        <v>2018</v>
      </c>
      <c r="DB392" s="218">
        <f t="shared" si="2491"/>
        <v>0</v>
      </c>
      <c r="DC392" s="218">
        <f t="shared" si="2492"/>
        <v>0</v>
      </c>
      <c r="DD392" s="73">
        <f t="shared" si="2493"/>
        <v>0</v>
      </c>
      <c r="DE392" s="73">
        <f t="shared" si="2494"/>
        <v>0</v>
      </c>
      <c r="DF392" s="73">
        <f t="shared" si="2495"/>
        <v>0</v>
      </c>
      <c r="DG392" s="73">
        <f t="shared" si="2496"/>
        <v>0</v>
      </c>
      <c r="DH392" s="72" t="e">
        <f t="shared" si="2523"/>
        <v>#DIV/0!</v>
      </c>
      <c r="DI392" s="72" t="e">
        <f t="shared" si="2524"/>
        <v>#DIV/0!</v>
      </c>
      <c r="DJ392" s="73">
        <f>SUM(AV378:AV392,BB378:BB392,BI378:BI392)</f>
        <v>0</v>
      </c>
      <c r="DK392" s="73">
        <f>SUM(AV384:AV392,BB384:BB392,BI384:BI392)</f>
        <v>0</v>
      </c>
      <c r="DL392" s="190"/>
    </row>
    <row r="393" spans="22:116" x14ac:dyDescent="0.25">
      <c r="V393" s="13"/>
      <c r="W393" s="66">
        <v>15</v>
      </c>
      <c r="X393" s="66">
        <v>2019</v>
      </c>
      <c r="Y393" s="69">
        <v>0</v>
      </c>
      <c r="Z393" s="69">
        <v>0</v>
      </c>
      <c r="AA393" s="69">
        <v>0</v>
      </c>
      <c r="AB393" s="69">
        <v>0</v>
      </c>
      <c r="AC393" s="69">
        <v>0</v>
      </c>
      <c r="AD393" s="69">
        <v>0</v>
      </c>
      <c r="AE393" s="69">
        <v>0</v>
      </c>
      <c r="AF393" s="69">
        <v>0</v>
      </c>
      <c r="AG393" s="69">
        <v>0</v>
      </c>
      <c r="AH393" s="69">
        <v>0</v>
      </c>
      <c r="AI393" s="69">
        <v>0</v>
      </c>
      <c r="AJ393" s="69">
        <v>0</v>
      </c>
      <c r="AK393" s="69">
        <v>0</v>
      </c>
      <c r="AL393" s="69">
        <v>0</v>
      </c>
      <c r="AM393" s="69">
        <v>0</v>
      </c>
      <c r="AN393" s="69">
        <v>0</v>
      </c>
      <c r="AO393" s="69">
        <v>0</v>
      </c>
      <c r="AP393" s="190"/>
      <c r="AQ393" s="66">
        <v>15</v>
      </c>
      <c r="AR393" s="66">
        <v>2019</v>
      </c>
      <c r="AS393" s="215">
        <f t="shared" si="2474"/>
        <v>0</v>
      </c>
      <c r="AT393" s="215">
        <f t="shared" si="2475"/>
        <v>0</v>
      </c>
      <c r="AU393" s="215">
        <f t="shared" si="2476"/>
        <v>0</v>
      </c>
      <c r="AV393" s="215">
        <f t="shared" si="2477"/>
        <v>0</v>
      </c>
      <c r="AW393" s="215">
        <f t="shared" si="2478"/>
        <v>0</v>
      </c>
      <c r="AX393" s="215">
        <f t="shared" si="2479"/>
        <v>0</v>
      </c>
      <c r="AY393" s="215">
        <f t="shared" si="2480"/>
        <v>0</v>
      </c>
      <c r="AZ393" s="215">
        <f t="shared" si="2481"/>
        <v>0</v>
      </c>
      <c r="BA393" s="215">
        <f t="shared" si="2482"/>
        <v>0</v>
      </c>
      <c r="BB393" s="215">
        <f t="shared" si="2483"/>
        <v>0</v>
      </c>
      <c r="BC393" s="215">
        <f t="shared" si="2484"/>
        <v>0</v>
      </c>
      <c r="BD393" s="215">
        <f t="shared" si="2485"/>
        <v>0</v>
      </c>
      <c r="BE393" s="215">
        <f t="shared" si="2486"/>
        <v>0</v>
      </c>
      <c r="BF393" s="215">
        <f t="shared" si="2487"/>
        <v>0</v>
      </c>
      <c r="BG393" s="215">
        <f t="shared" si="2488"/>
        <v>0</v>
      </c>
      <c r="BH393" s="215">
        <f t="shared" si="2489"/>
        <v>0</v>
      </c>
      <c r="BI393" s="215">
        <f t="shared" si="2490"/>
        <v>0</v>
      </c>
      <c r="BJ393" s="195"/>
      <c r="BK393" s="66">
        <v>15</v>
      </c>
      <c r="BL393" s="66">
        <v>2019</v>
      </c>
      <c r="BM393" s="215">
        <f t="shared" si="2533"/>
        <v>0</v>
      </c>
      <c r="BN393" s="219">
        <f t="shared" si="2534"/>
        <v>0</v>
      </c>
      <c r="BO393" s="219">
        <f t="shared" si="2535"/>
        <v>0</v>
      </c>
      <c r="BP393" s="219">
        <f t="shared" si="2536"/>
        <v>0</v>
      </c>
      <c r="BQ393" s="219">
        <f t="shared" si="2537"/>
        <v>0</v>
      </c>
      <c r="BR393" s="220">
        <f t="shared" si="2538"/>
        <v>0</v>
      </c>
      <c r="BS393" s="219">
        <f t="shared" si="2539"/>
        <v>0</v>
      </c>
      <c r="BT393" s="219">
        <f t="shared" si="2540"/>
        <v>0</v>
      </c>
      <c r="BU393" s="219">
        <f t="shared" si="2541"/>
        <v>0</v>
      </c>
      <c r="BV393" s="219">
        <f t="shared" si="2542"/>
        <v>0</v>
      </c>
      <c r="BW393" s="219">
        <f t="shared" si="2543"/>
        <v>0</v>
      </c>
      <c r="BX393" s="220">
        <f t="shared" si="2544"/>
        <v>0</v>
      </c>
      <c r="BY393" s="195"/>
      <c r="BZ393" s="66">
        <v>15</v>
      </c>
      <c r="CA393" s="66">
        <v>2019</v>
      </c>
      <c r="CB393" s="218">
        <f t="shared" si="2545"/>
        <v>0</v>
      </c>
      <c r="CC393" s="218">
        <f t="shared" si="2546"/>
        <v>0</v>
      </c>
      <c r="CD393" s="73">
        <f t="shared" si="2547"/>
        <v>0</v>
      </c>
      <c r="CE393" s="73">
        <f t="shared" si="2548"/>
        <v>0</v>
      </c>
      <c r="CF393" s="73">
        <f t="shared" si="2549"/>
        <v>0</v>
      </c>
      <c r="CG393" s="73">
        <f t="shared" si="2550"/>
        <v>0</v>
      </c>
      <c r="CH393" s="73">
        <f t="shared" si="2551"/>
        <v>0</v>
      </c>
      <c r="CI393" s="73">
        <f t="shared" si="2552"/>
        <v>0</v>
      </c>
      <c r="CJ393" s="73">
        <f t="shared" si="2553"/>
        <v>0</v>
      </c>
      <c r="CK393" s="73">
        <f t="shared" si="2554"/>
        <v>0</v>
      </c>
      <c r="CL393" s="73">
        <f t="shared" si="2555"/>
        <v>0</v>
      </c>
      <c r="CM393" s="73">
        <f t="shared" si="2556"/>
        <v>0</v>
      </c>
      <c r="CN393" s="73">
        <f t="shared" si="2557"/>
        <v>0</v>
      </c>
      <c r="CO393" s="73">
        <f t="shared" si="2558"/>
        <v>0</v>
      </c>
      <c r="CP393" s="73">
        <f t="shared" si="2559"/>
        <v>0</v>
      </c>
      <c r="CQ393" s="73">
        <f t="shared" si="2560"/>
        <v>0</v>
      </c>
      <c r="CR393" s="73">
        <f t="shared" si="2561"/>
        <v>0</v>
      </c>
      <c r="CS393" s="73">
        <f t="shared" si="2562"/>
        <v>0</v>
      </c>
      <c r="CT393" s="73">
        <f t="shared" si="2563"/>
        <v>0</v>
      </c>
      <c r="CU393" s="73">
        <f t="shared" si="2564"/>
        <v>0</v>
      </c>
      <c r="CV393" s="73">
        <f t="shared" si="2565"/>
        <v>0</v>
      </c>
      <c r="CW393" s="73">
        <f t="shared" si="2566"/>
        <v>0</v>
      </c>
      <c r="CX393" s="73">
        <f t="shared" si="2567"/>
        <v>0</v>
      </c>
      <c r="CY393" s="73">
        <f t="shared" si="2568"/>
        <v>0</v>
      </c>
      <c r="CZ393" s="190"/>
      <c r="DA393" s="66">
        <v>2019</v>
      </c>
      <c r="DB393" s="218">
        <f t="shared" si="2491"/>
        <v>0</v>
      </c>
      <c r="DC393" s="218">
        <f t="shared" si="2492"/>
        <v>0</v>
      </c>
      <c r="DD393" s="73">
        <f t="shared" si="2493"/>
        <v>0</v>
      </c>
      <c r="DE393" s="73">
        <f t="shared" si="2494"/>
        <v>0</v>
      </c>
      <c r="DF393" s="73">
        <f t="shared" si="2495"/>
        <v>0</v>
      </c>
      <c r="DG393" s="73">
        <f t="shared" si="2496"/>
        <v>0</v>
      </c>
      <c r="DH393" s="72" t="e">
        <f t="shared" si="2523"/>
        <v>#DIV/0!</v>
      </c>
      <c r="DI393" s="72" t="e">
        <f t="shared" si="2524"/>
        <v>#DIV/0!</v>
      </c>
      <c r="DJ393" s="73">
        <f>SUM(AV378:AV393,BB378:BB393,BI378:BI393)</f>
        <v>0</v>
      </c>
      <c r="DK393" s="73">
        <f>SUM(AV384:AV393,BB384:BB393,BI384:BI393)</f>
        <v>0</v>
      </c>
      <c r="DL393" s="190"/>
    </row>
    <row r="394" spans="22:116" x14ac:dyDescent="0.25">
      <c r="V394" s="13"/>
      <c r="W394" s="66">
        <v>16</v>
      </c>
      <c r="X394" s="66">
        <v>2020</v>
      </c>
      <c r="Y394" s="69">
        <v>0</v>
      </c>
      <c r="Z394" s="69">
        <v>0</v>
      </c>
      <c r="AA394" s="69">
        <v>0</v>
      </c>
      <c r="AB394" s="69">
        <v>0</v>
      </c>
      <c r="AC394" s="69">
        <v>0</v>
      </c>
      <c r="AD394" s="69">
        <v>0</v>
      </c>
      <c r="AE394" s="69">
        <v>0</v>
      </c>
      <c r="AF394" s="69">
        <v>0</v>
      </c>
      <c r="AG394" s="69">
        <v>0</v>
      </c>
      <c r="AH394" s="69">
        <v>0</v>
      </c>
      <c r="AI394" s="69">
        <v>0</v>
      </c>
      <c r="AJ394" s="69">
        <v>0</v>
      </c>
      <c r="AK394" s="69">
        <v>0</v>
      </c>
      <c r="AL394" s="69">
        <v>0</v>
      </c>
      <c r="AM394" s="69">
        <v>0</v>
      </c>
      <c r="AN394" s="69">
        <v>0</v>
      </c>
      <c r="AO394" s="69">
        <v>0</v>
      </c>
      <c r="AP394" s="190"/>
      <c r="AQ394" s="66">
        <v>16</v>
      </c>
      <c r="AR394" s="66">
        <v>2020</v>
      </c>
      <c r="AS394" s="215">
        <f t="shared" si="2474"/>
        <v>0</v>
      </c>
      <c r="AT394" s="215">
        <f t="shared" si="2475"/>
        <v>0</v>
      </c>
      <c r="AU394" s="215">
        <f t="shared" si="2476"/>
        <v>0</v>
      </c>
      <c r="AV394" s="215">
        <f t="shared" si="2477"/>
        <v>0</v>
      </c>
      <c r="AW394" s="215">
        <f t="shared" si="2478"/>
        <v>0</v>
      </c>
      <c r="AX394" s="215">
        <f t="shared" si="2479"/>
        <v>0</v>
      </c>
      <c r="AY394" s="215">
        <f t="shared" si="2480"/>
        <v>0</v>
      </c>
      <c r="AZ394" s="215">
        <f t="shared" si="2481"/>
        <v>0</v>
      </c>
      <c r="BA394" s="215">
        <f t="shared" si="2482"/>
        <v>0</v>
      </c>
      <c r="BB394" s="215">
        <f t="shared" si="2483"/>
        <v>0</v>
      </c>
      <c r="BC394" s="215">
        <f t="shared" si="2484"/>
        <v>0</v>
      </c>
      <c r="BD394" s="215">
        <f t="shared" si="2485"/>
        <v>0</v>
      </c>
      <c r="BE394" s="215">
        <f t="shared" si="2486"/>
        <v>0</v>
      </c>
      <c r="BF394" s="215">
        <f t="shared" si="2487"/>
        <v>0</v>
      </c>
      <c r="BG394" s="215">
        <f t="shared" si="2488"/>
        <v>0</v>
      </c>
      <c r="BH394" s="215">
        <f t="shared" si="2489"/>
        <v>0</v>
      </c>
      <c r="BI394" s="215">
        <f t="shared" si="2490"/>
        <v>0</v>
      </c>
      <c r="BJ394" s="195"/>
      <c r="BK394" s="66">
        <v>16</v>
      </c>
      <c r="BL394" s="66">
        <v>2020</v>
      </c>
      <c r="BM394" s="215">
        <f t="shared" si="2533"/>
        <v>0</v>
      </c>
      <c r="BN394" s="219">
        <f t="shared" si="2534"/>
        <v>0</v>
      </c>
      <c r="BO394" s="219">
        <f t="shared" si="2535"/>
        <v>0</v>
      </c>
      <c r="BP394" s="219">
        <f t="shared" si="2536"/>
        <v>0</v>
      </c>
      <c r="BQ394" s="219">
        <f t="shared" si="2537"/>
        <v>0</v>
      </c>
      <c r="BR394" s="220">
        <f t="shared" si="2538"/>
        <v>0</v>
      </c>
      <c r="BS394" s="219">
        <f t="shared" si="2539"/>
        <v>0</v>
      </c>
      <c r="BT394" s="219">
        <f t="shared" si="2540"/>
        <v>0</v>
      </c>
      <c r="BU394" s="219">
        <f t="shared" si="2541"/>
        <v>0</v>
      </c>
      <c r="BV394" s="219">
        <f t="shared" si="2542"/>
        <v>0</v>
      </c>
      <c r="BW394" s="219">
        <f t="shared" si="2543"/>
        <v>0</v>
      </c>
      <c r="BX394" s="220">
        <f t="shared" si="2544"/>
        <v>0</v>
      </c>
      <c r="BY394" s="195"/>
      <c r="BZ394" s="66">
        <v>16</v>
      </c>
      <c r="CA394" s="66">
        <v>2020</v>
      </c>
      <c r="CB394" s="218">
        <f t="shared" si="2545"/>
        <v>0</v>
      </c>
      <c r="CC394" s="218">
        <f t="shared" si="2546"/>
        <v>0</v>
      </c>
      <c r="CD394" s="73">
        <f t="shared" si="2547"/>
        <v>0</v>
      </c>
      <c r="CE394" s="73">
        <f t="shared" si="2548"/>
        <v>0</v>
      </c>
      <c r="CF394" s="73">
        <f t="shared" si="2549"/>
        <v>0</v>
      </c>
      <c r="CG394" s="73">
        <f t="shared" si="2550"/>
        <v>0</v>
      </c>
      <c r="CH394" s="73">
        <f t="shared" si="2551"/>
        <v>0</v>
      </c>
      <c r="CI394" s="73">
        <f t="shared" si="2552"/>
        <v>0</v>
      </c>
      <c r="CJ394" s="73">
        <f t="shared" si="2553"/>
        <v>0</v>
      </c>
      <c r="CK394" s="73">
        <f t="shared" si="2554"/>
        <v>0</v>
      </c>
      <c r="CL394" s="73">
        <f t="shared" si="2555"/>
        <v>0</v>
      </c>
      <c r="CM394" s="73">
        <f t="shared" si="2556"/>
        <v>0</v>
      </c>
      <c r="CN394" s="73">
        <f t="shared" si="2557"/>
        <v>0</v>
      </c>
      <c r="CO394" s="73">
        <f t="shared" si="2558"/>
        <v>0</v>
      </c>
      <c r="CP394" s="73">
        <f t="shared" si="2559"/>
        <v>0</v>
      </c>
      <c r="CQ394" s="73">
        <f t="shared" si="2560"/>
        <v>0</v>
      </c>
      <c r="CR394" s="73">
        <f t="shared" si="2561"/>
        <v>0</v>
      </c>
      <c r="CS394" s="73">
        <f t="shared" si="2562"/>
        <v>0</v>
      </c>
      <c r="CT394" s="73">
        <f t="shared" si="2563"/>
        <v>0</v>
      </c>
      <c r="CU394" s="73">
        <f t="shared" si="2564"/>
        <v>0</v>
      </c>
      <c r="CV394" s="73">
        <f t="shared" si="2565"/>
        <v>0</v>
      </c>
      <c r="CW394" s="73">
        <f t="shared" si="2566"/>
        <v>0</v>
      </c>
      <c r="CX394" s="73">
        <f t="shared" si="2567"/>
        <v>0</v>
      </c>
      <c r="CY394" s="73">
        <f t="shared" si="2568"/>
        <v>0</v>
      </c>
      <c r="CZ394" s="190"/>
      <c r="DA394" s="66">
        <v>2020</v>
      </c>
      <c r="DB394" s="218">
        <f t="shared" si="2491"/>
        <v>0</v>
      </c>
      <c r="DC394" s="218">
        <f t="shared" si="2492"/>
        <v>0</v>
      </c>
      <c r="DD394" s="73">
        <f t="shared" si="2493"/>
        <v>0</v>
      </c>
      <c r="DE394" s="73">
        <f t="shared" si="2494"/>
        <v>0</v>
      </c>
      <c r="DF394" s="73">
        <f t="shared" si="2495"/>
        <v>0</v>
      </c>
      <c r="DG394" s="73">
        <f t="shared" si="2496"/>
        <v>0</v>
      </c>
      <c r="DH394" s="72" t="e">
        <f t="shared" si="2523"/>
        <v>#DIV/0!</v>
      </c>
      <c r="DI394" s="72" t="e">
        <f t="shared" si="2524"/>
        <v>#DIV/0!</v>
      </c>
      <c r="DJ394" s="73">
        <f>SUM(AV378:AV394,BB378:BB394,BI378:BI394)</f>
        <v>0</v>
      </c>
      <c r="DK394" s="73">
        <f>SUM(AV384:AV394,BB384:BB394,BI384:BI394)</f>
        <v>0</v>
      </c>
      <c r="DL394" s="190"/>
    </row>
    <row r="395" spans="22:116" x14ac:dyDescent="0.25">
      <c r="V395" s="63"/>
      <c r="W395" s="66">
        <v>17</v>
      </c>
      <c r="X395" s="66">
        <v>2021</v>
      </c>
      <c r="Y395" s="69">
        <v>1</v>
      </c>
      <c r="Z395" s="69">
        <v>0</v>
      </c>
      <c r="AA395" s="69">
        <v>0</v>
      </c>
      <c r="AB395" s="69">
        <v>0</v>
      </c>
      <c r="AC395" s="69">
        <v>0</v>
      </c>
      <c r="AD395" s="69">
        <v>0</v>
      </c>
      <c r="AE395" s="69">
        <v>0</v>
      </c>
      <c r="AF395" s="69">
        <v>0</v>
      </c>
      <c r="AG395" s="69">
        <v>0</v>
      </c>
      <c r="AH395" s="69">
        <v>0</v>
      </c>
      <c r="AI395" s="69">
        <v>0</v>
      </c>
      <c r="AJ395" s="69">
        <v>0</v>
      </c>
      <c r="AK395" s="69">
        <v>0</v>
      </c>
      <c r="AL395" s="69">
        <v>0</v>
      </c>
      <c r="AM395" s="69">
        <v>0</v>
      </c>
      <c r="AN395" s="69">
        <v>0</v>
      </c>
      <c r="AO395" s="69">
        <v>0</v>
      </c>
      <c r="AP395" s="190"/>
      <c r="AQ395" s="66">
        <v>17</v>
      </c>
      <c r="AR395" s="66">
        <v>2021</v>
      </c>
      <c r="AS395" s="215">
        <f t="shared" si="2474"/>
        <v>8588.0400000000009</v>
      </c>
      <c r="AT395" s="215">
        <f t="shared" si="2475"/>
        <v>0</v>
      </c>
      <c r="AU395" s="215">
        <f t="shared" si="2476"/>
        <v>0</v>
      </c>
      <c r="AV395" s="215">
        <f t="shared" si="2477"/>
        <v>0</v>
      </c>
      <c r="AW395" s="215">
        <f t="shared" si="2478"/>
        <v>0</v>
      </c>
      <c r="AX395" s="215">
        <f t="shared" si="2479"/>
        <v>0</v>
      </c>
      <c r="AY395" s="215">
        <f t="shared" si="2480"/>
        <v>0</v>
      </c>
      <c r="AZ395" s="215">
        <f t="shared" si="2481"/>
        <v>0</v>
      </c>
      <c r="BA395" s="215">
        <f t="shared" si="2482"/>
        <v>0</v>
      </c>
      <c r="BB395" s="215">
        <f t="shared" si="2483"/>
        <v>0</v>
      </c>
      <c r="BC395" s="215">
        <f t="shared" si="2484"/>
        <v>0</v>
      </c>
      <c r="BD395" s="215">
        <f t="shared" si="2485"/>
        <v>0</v>
      </c>
      <c r="BE395" s="215">
        <f t="shared" si="2486"/>
        <v>0</v>
      </c>
      <c r="BF395" s="215">
        <f t="shared" si="2487"/>
        <v>0</v>
      </c>
      <c r="BG395" s="215">
        <f t="shared" si="2488"/>
        <v>0</v>
      </c>
      <c r="BH395" s="215">
        <f t="shared" si="2489"/>
        <v>0</v>
      </c>
      <c r="BI395" s="215">
        <f t="shared" si="2490"/>
        <v>0</v>
      </c>
      <c r="BJ395" s="195"/>
      <c r="BK395" s="66">
        <v>17</v>
      </c>
      <c r="BL395" s="66">
        <v>2021</v>
      </c>
      <c r="BM395" s="215">
        <f t="shared" si="2533"/>
        <v>0</v>
      </c>
      <c r="BN395" s="219">
        <f t="shared" si="2534"/>
        <v>0</v>
      </c>
      <c r="BO395" s="219">
        <f t="shared" si="2535"/>
        <v>0</v>
      </c>
      <c r="BP395" s="219">
        <f t="shared" si="2536"/>
        <v>0</v>
      </c>
      <c r="BQ395" s="219">
        <f t="shared" si="2537"/>
        <v>0</v>
      </c>
      <c r="BR395" s="220">
        <f t="shared" si="2538"/>
        <v>0</v>
      </c>
      <c r="BS395" s="219">
        <f t="shared" si="2539"/>
        <v>0</v>
      </c>
      <c r="BT395" s="219">
        <f t="shared" si="2540"/>
        <v>0</v>
      </c>
      <c r="BU395" s="219">
        <f t="shared" si="2541"/>
        <v>0</v>
      </c>
      <c r="BV395" s="219">
        <f t="shared" si="2542"/>
        <v>0</v>
      </c>
      <c r="BW395" s="219">
        <f t="shared" si="2543"/>
        <v>0</v>
      </c>
      <c r="BX395" s="220">
        <f t="shared" si="2544"/>
        <v>0</v>
      </c>
      <c r="BY395" s="195"/>
      <c r="BZ395" s="66">
        <v>17</v>
      </c>
      <c r="CA395" s="66">
        <v>2021</v>
      </c>
      <c r="CB395" s="218">
        <f t="shared" si="2545"/>
        <v>0</v>
      </c>
      <c r="CC395" s="218">
        <f t="shared" si="2546"/>
        <v>0</v>
      </c>
      <c r="CD395" s="73">
        <f t="shared" si="2547"/>
        <v>0</v>
      </c>
      <c r="CE395" s="73">
        <f t="shared" si="2548"/>
        <v>0</v>
      </c>
      <c r="CF395" s="73">
        <f t="shared" si="2549"/>
        <v>0</v>
      </c>
      <c r="CG395" s="73">
        <f t="shared" si="2550"/>
        <v>0</v>
      </c>
      <c r="CH395" s="73">
        <f t="shared" si="2551"/>
        <v>0</v>
      </c>
      <c r="CI395" s="73">
        <f t="shared" si="2552"/>
        <v>0</v>
      </c>
      <c r="CJ395" s="73">
        <f t="shared" si="2553"/>
        <v>0</v>
      </c>
      <c r="CK395" s="73">
        <f t="shared" si="2554"/>
        <v>0</v>
      </c>
      <c r="CL395" s="73">
        <f t="shared" si="2555"/>
        <v>0</v>
      </c>
      <c r="CM395" s="73">
        <f t="shared" si="2556"/>
        <v>0</v>
      </c>
      <c r="CN395" s="73">
        <f t="shared" si="2557"/>
        <v>0</v>
      </c>
      <c r="CO395" s="73">
        <f t="shared" si="2558"/>
        <v>0</v>
      </c>
      <c r="CP395" s="73">
        <f t="shared" si="2559"/>
        <v>0</v>
      </c>
      <c r="CQ395" s="73">
        <f t="shared" si="2560"/>
        <v>0</v>
      </c>
      <c r="CR395" s="73">
        <f t="shared" si="2561"/>
        <v>0</v>
      </c>
      <c r="CS395" s="73">
        <f t="shared" si="2562"/>
        <v>0</v>
      </c>
      <c r="CT395" s="73">
        <f t="shared" si="2563"/>
        <v>0</v>
      </c>
      <c r="CU395" s="73">
        <f t="shared" si="2564"/>
        <v>0</v>
      </c>
      <c r="CV395" s="73">
        <f t="shared" si="2565"/>
        <v>0</v>
      </c>
      <c r="CW395" s="73">
        <f t="shared" si="2566"/>
        <v>0</v>
      </c>
      <c r="CX395" s="73">
        <f t="shared" si="2567"/>
        <v>0</v>
      </c>
      <c r="CY395" s="73">
        <f t="shared" si="2568"/>
        <v>0</v>
      </c>
      <c r="CZ395" s="190"/>
      <c r="DA395" s="66">
        <v>2021</v>
      </c>
      <c r="DB395" s="218">
        <f t="shared" si="2491"/>
        <v>0</v>
      </c>
      <c r="DC395" s="218">
        <f t="shared" si="2492"/>
        <v>8588.0400000000009</v>
      </c>
      <c r="DD395" s="73">
        <f t="shared" si="2493"/>
        <v>0</v>
      </c>
      <c r="DE395" s="73">
        <f t="shared" si="2494"/>
        <v>0</v>
      </c>
      <c r="DF395" s="73">
        <f t="shared" si="2495"/>
        <v>0</v>
      </c>
      <c r="DG395" s="73">
        <f t="shared" si="2496"/>
        <v>0</v>
      </c>
      <c r="DH395" s="72" t="e">
        <f t="shared" si="2523"/>
        <v>#DIV/0!</v>
      </c>
      <c r="DI395" s="72" t="e">
        <f t="shared" si="2524"/>
        <v>#DIV/0!</v>
      </c>
      <c r="DJ395" s="73">
        <f>SUM(AV378:AV395,BB378:BB395,BI378:BI395)</f>
        <v>0</v>
      </c>
      <c r="DK395" s="73">
        <f>SUM(AV384:AV395,BB384:BB395,BI384:BI395)</f>
        <v>0</v>
      </c>
      <c r="DL395" s="190"/>
    </row>
    <row r="396" spans="22:116" x14ac:dyDescent="0.25">
      <c r="V396" s="63"/>
      <c r="W396" s="66">
        <v>18</v>
      </c>
      <c r="X396" s="66">
        <v>2022</v>
      </c>
      <c r="Y396" s="70">
        <f t="shared" ref="Y396:Y397" si="2569">MMULT($Y395:$AO395,D$202:D$218)</f>
        <v>0.63376008575865694</v>
      </c>
      <c r="Z396" s="70">
        <f t="shared" ref="Z396:Z397" si="2570">MMULT($Y395:$AO395,E$202:E$218)</f>
        <v>7.4027434914144222E-2</v>
      </c>
      <c r="AA396" s="70">
        <f t="shared" ref="AA396:AA397" si="2571">MMULT($Y395:$AO395,F$202:F$218)</f>
        <v>0</v>
      </c>
      <c r="AB396" s="70">
        <f t="shared" ref="AB396:AB397" si="2572">MMULT($Y395:$AO395,G$202:G$218)</f>
        <v>1.818504441305463E-2</v>
      </c>
      <c r="AC396" s="70">
        <f t="shared" ref="AC396:AC397" si="2573">MMULT($Y395:$AO395,H$202:H$218)</f>
        <v>0.2</v>
      </c>
      <c r="AD396" s="70">
        <f t="shared" ref="AD396:AD397" si="2574">MMULT($Y395:$AO395,I$202:I$218)</f>
        <v>7.4027434914144222E-2</v>
      </c>
      <c r="AE396" s="70">
        <f t="shared" ref="AE396:AE397" si="2575">MMULT($Y395:$AO395,J$202:J$218)</f>
        <v>0</v>
      </c>
      <c r="AF396" s="70">
        <f t="shared" ref="AF396:AF397" si="2576">MMULT($Y395:$AO395,K$202:K$218)</f>
        <v>0</v>
      </c>
      <c r="AG396" s="70">
        <f t="shared" ref="AG396:AG397" si="2577">MMULT($Y395:$AO395,L$202:L$218)</f>
        <v>0</v>
      </c>
      <c r="AH396" s="70">
        <f t="shared" ref="AH396:AH397" si="2578">MMULT($Y395:$AO395,M$202:M$218)</f>
        <v>0</v>
      </c>
      <c r="AI396" s="70">
        <f t="shared" ref="AI396:AI397" si="2579">MMULT($Y395:$AO395,N$202:N$218)</f>
        <v>0</v>
      </c>
      <c r="AJ396" s="70">
        <f t="shared" ref="AJ396:AJ397" si="2580">MMULT($Y395:$AO395,O$202:O$218)</f>
        <v>0</v>
      </c>
      <c r="AK396" s="70">
        <f t="shared" ref="AK396:AK397" si="2581">MMULT($Y395:$AO395,P$202:P$218)</f>
        <v>0</v>
      </c>
      <c r="AL396" s="70">
        <f t="shared" ref="AL396:AL397" si="2582">MMULT($Y395:$AO395,Q$202:Q$218)</f>
        <v>0</v>
      </c>
      <c r="AM396" s="70">
        <f t="shared" ref="AM396:AM397" si="2583">MMULT($Y395:$AO395,R$202:R$218)</f>
        <v>0</v>
      </c>
      <c r="AN396" s="70">
        <f t="shared" ref="AN396:AN397" si="2584">MMULT($Y395:$AO395,S$202:S$218)</f>
        <v>0</v>
      </c>
      <c r="AO396" s="70">
        <f t="shared" ref="AO396:AO397" si="2585">MMULT($Y395:$AO395,T$202:T$218)</f>
        <v>0</v>
      </c>
      <c r="AP396" s="190"/>
      <c r="AQ396" s="66">
        <v>18</v>
      </c>
      <c r="AR396" s="66">
        <v>2022</v>
      </c>
      <c r="AS396" s="215">
        <f t="shared" si="2474"/>
        <v>5442.7569668987771</v>
      </c>
      <c r="AT396" s="215">
        <f t="shared" si="2475"/>
        <v>635.75057214006722</v>
      </c>
      <c r="AU396" s="215">
        <f t="shared" si="2476"/>
        <v>0</v>
      </c>
      <c r="AV396" s="215">
        <f t="shared" si="2477"/>
        <v>156.17388882108969</v>
      </c>
      <c r="AW396" s="215">
        <f t="shared" si="2478"/>
        <v>1717.6080000000002</v>
      </c>
      <c r="AX396" s="215">
        <f t="shared" si="2479"/>
        <v>635.75057214006722</v>
      </c>
      <c r="AY396" s="215">
        <f t="shared" si="2480"/>
        <v>0</v>
      </c>
      <c r="AZ396" s="215">
        <f t="shared" si="2481"/>
        <v>0</v>
      </c>
      <c r="BA396" s="215">
        <f t="shared" si="2482"/>
        <v>0</v>
      </c>
      <c r="BB396" s="215">
        <f t="shared" si="2483"/>
        <v>0</v>
      </c>
      <c r="BC396" s="215">
        <f t="shared" si="2484"/>
        <v>0</v>
      </c>
      <c r="BD396" s="215">
        <f t="shared" si="2485"/>
        <v>0</v>
      </c>
      <c r="BE396" s="215">
        <f t="shared" si="2486"/>
        <v>0</v>
      </c>
      <c r="BF396" s="215">
        <f t="shared" si="2487"/>
        <v>0</v>
      </c>
      <c r="BG396" s="215">
        <f t="shared" si="2488"/>
        <v>0</v>
      </c>
      <c r="BH396" s="215">
        <f t="shared" si="2489"/>
        <v>0</v>
      </c>
      <c r="BI396" s="215">
        <f t="shared" si="2490"/>
        <v>0</v>
      </c>
      <c r="BJ396" s="195"/>
      <c r="BK396" s="66">
        <v>18</v>
      </c>
      <c r="BL396" s="66">
        <v>2022</v>
      </c>
      <c r="BM396" s="215">
        <f t="shared" si="2533"/>
        <v>0</v>
      </c>
      <c r="BN396" s="219">
        <f t="shared" si="2534"/>
        <v>0</v>
      </c>
      <c r="BO396" s="219">
        <f t="shared" si="2535"/>
        <v>0</v>
      </c>
      <c r="BP396" s="219">
        <f t="shared" si="2536"/>
        <v>0</v>
      </c>
      <c r="BQ396" s="219">
        <f t="shared" si="2537"/>
        <v>0</v>
      </c>
      <c r="BR396" s="220">
        <f t="shared" si="2538"/>
        <v>0</v>
      </c>
      <c r="BS396" s="219">
        <f t="shared" si="2539"/>
        <v>0</v>
      </c>
      <c r="BT396" s="219">
        <f t="shared" si="2540"/>
        <v>0</v>
      </c>
      <c r="BU396" s="219">
        <f t="shared" si="2541"/>
        <v>0</v>
      </c>
      <c r="BV396" s="219">
        <f t="shared" si="2542"/>
        <v>0</v>
      </c>
      <c r="BW396" s="219">
        <f t="shared" si="2543"/>
        <v>0</v>
      </c>
      <c r="BX396" s="220">
        <f t="shared" si="2544"/>
        <v>0</v>
      </c>
      <c r="BY396" s="195"/>
      <c r="BZ396" s="66">
        <v>18</v>
      </c>
      <c r="CA396" s="66">
        <v>2022</v>
      </c>
      <c r="CB396" s="218">
        <f t="shared" si="2545"/>
        <v>156.17388882108969</v>
      </c>
      <c r="CC396" s="218">
        <f t="shared" si="2546"/>
        <v>0</v>
      </c>
      <c r="CD396" s="73">
        <f t="shared" si="2547"/>
        <v>0</v>
      </c>
      <c r="CE396" s="73">
        <f t="shared" si="2548"/>
        <v>0</v>
      </c>
      <c r="CF396" s="73">
        <f t="shared" si="2549"/>
        <v>0</v>
      </c>
      <c r="CG396" s="73">
        <f t="shared" si="2550"/>
        <v>0</v>
      </c>
      <c r="CH396" s="73">
        <f t="shared" si="2551"/>
        <v>0</v>
      </c>
      <c r="CI396" s="73">
        <f t="shared" si="2552"/>
        <v>0</v>
      </c>
      <c r="CJ396" s="73">
        <f t="shared" si="2553"/>
        <v>0</v>
      </c>
      <c r="CK396" s="73">
        <f t="shared" si="2554"/>
        <v>0</v>
      </c>
      <c r="CL396" s="73">
        <f t="shared" si="2555"/>
        <v>0</v>
      </c>
      <c r="CM396" s="73">
        <f t="shared" si="2556"/>
        <v>0</v>
      </c>
      <c r="CN396" s="73">
        <f t="shared" si="2557"/>
        <v>0</v>
      </c>
      <c r="CO396" s="73">
        <f t="shared" si="2558"/>
        <v>0</v>
      </c>
      <c r="CP396" s="73">
        <f t="shared" si="2559"/>
        <v>0</v>
      </c>
      <c r="CQ396" s="73">
        <f t="shared" si="2560"/>
        <v>0</v>
      </c>
      <c r="CR396" s="73">
        <f t="shared" si="2561"/>
        <v>0</v>
      </c>
      <c r="CS396" s="73">
        <f t="shared" si="2562"/>
        <v>0</v>
      </c>
      <c r="CT396" s="73">
        <f t="shared" si="2563"/>
        <v>0</v>
      </c>
      <c r="CU396" s="73">
        <f t="shared" si="2564"/>
        <v>0</v>
      </c>
      <c r="CV396" s="73">
        <f t="shared" si="2565"/>
        <v>0</v>
      </c>
      <c r="CW396" s="73">
        <f t="shared" si="2566"/>
        <v>0</v>
      </c>
      <c r="CX396" s="73">
        <f t="shared" si="2567"/>
        <v>0</v>
      </c>
      <c r="CY396" s="73">
        <f t="shared" si="2568"/>
        <v>0</v>
      </c>
      <c r="CZ396" s="190"/>
      <c r="DA396" s="66">
        <v>2022</v>
      </c>
      <c r="DB396" s="218">
        <f t="shared" si="2491"/>
        <v>1271.5011442801344</v>
      </c>
      <c r="DC396" s="218">
        <f t="shared" si="2492"/>
        <v>8431.8661111789115</v>
      </c>
      <c r="DD396" s="73">
        <f t="shared" si="2493"/>
        <v>0</v>
      </c>
      <c r="DE396" s="73">
        <f t="shared" si="2494"/>
        <v>0</v>
      </c>
      <c r="DF396" s="73">
        <f t="shared" si="2495"/>
        <v>0</v>
      </c>
      <c r="DG396" s="73">
        <f t="shared" si="2496"/>
        <v>2353.3585721400673</v>
      </c>
      <c r="DH396" s="72">
        <f t="shared" si="2523"/>
        <v>0</v>
      </c>
      <c r="DI396" s="72" t="e">
        <f t="shared" si="2524"/>
        <v>#DIV/0!</v>
      </c>
      <c r="DJ396" s="73">
        <f>SUM(AV378:AV396,BB378:BB396,BI378:BI396)</f>
        <v>156.17388882108969</v>
      </c>
      <c r="DK396" s="73">
        <f>SUM(AV384:AV396,BB384:BB396,BI384:BI396)</f>
        <v>156.17388882108969</v>
      </c>
      <c r="DL396" s="190"/>
    </row>
    <row r="397" spans="22:116" x14ac:dyDescent="0.25">
      <c r="V397" s="63"/>
      <c r="W397" s="66">
        <v>19</v>
      </c>
      <c r="X397" s="66">
        <v>2023</v>
      </c>
      <c r="Y397" s="70">
        <f t="shared" si="2569"/>
        <v>0.40165184630082018</v>
      </c>
      <c r="Z397" s="70">
        <f t="shared" si="2570"/>
        <v>7.9350132444030066E-2</v>
      </c>
      <c r="AA397" s="70">
        <f t="shared" si="2571"/>
        <v>2.2711269412095766E-2</v>
      </c>
      <c r="AB397" s="70">
        <f t="shared" si="2572"/>
        <v>1.2788092354875989E-2</v>
      </c>
      <c r="AC397" s="70">
        <f t="shared" si="2573"/>
        <v>0.22169301105858225</v>
      </c>
      <c r="AD397" s="70">
        <f t="shared" si="2574"/>
        <v>0.1017364552227743</v>
      </c>
      <c r="AE397" s="70">
        <f t="shared" si="2575"/>
        <v>1.2322340839651991E-2</v>
      </c>
      <c r="AF397" s="70">
        <f t="shared" si="2576"/>
        <v>0</v>
      </c>
      <c r="AG397" s="70">
        <f t="shared" si="2577"/>
        <v>1.3509635260084139E-2</v>
      </c>
      <c r="AH397" s="70">
        <f t="shared" si="2578"/>
        <v>7.5148512019901498E-3</v>
      </c>
      <c r="AI397" s="70">
        <f t="shared" si="2579"/>
        <v>0.06</v>
      </c>
      <c r="AJ397" s="70">
        <f t="shared" si="2580"/>
        <v>4.1948879784681731E-2</v>
      </c>
      <c r="AK397" s="70">
        <f t="shared" si="2581"/>
        <v>6.5884417073588351E-3</v>
      </c>
      <c r="AL397" s="70">
        <f t="shared" si="2582"/>
        <v>0</v>
      </c>
      <c r="AM397" s="70">
        <f t="shared" si="2583"/>
        <v>0</v>
      </c>
      <c r="AN397" s="70">
        <f t="shared" si="2584"/>
        <v>0</v>
      </c>
      <c r="AO397" s="70">
        <f t="shared" si="2585"/>
        <v>0</v>
      </c>
      <c r="AP397" s="190"/>
      <c r="AQ397" s="66">
        <v>19</v>
      </c>
      <c r="AR397" s="66">
        <v>2023</v>
      </c>
      <c r="AS397" s="215">
        <f t="shared" si="2474"/>
        <v>3449.4021221052963</v>
      </c>
      <c r="AT397" s="215">
        <f t="shared" si="2475"/>
        <v>681.46211143462801</v>
      </c>
      <c r="AU397" s="215">
        <f t="shared" si="2476"/>
        <v>195.04529016185495</v>
      </c>
      <c r="AV397" s="215">
        <f t="shared" si="2477"/>
        <v>109.8246486673692</v>
      </c>
      <c r="AW397" s="215">
        <f t="shared" si="2478"/>
        <v>1903.9084466915469</v>
      </c>
      <c r="AX397" s="215">
        <f t="shared" si="2479"/>
        <v>873.71674691139469</v>
      </c>
      <c r="AY397" s="215">
        <f t="shared" si="2480"/>
        <v>105.82475602456491</v>
      </c>
      <c r="AZ397" s="215">
        <f t="shared" si="2481"/>
        <v>0</v>
      </c>
      <c r="BA397" s="215">
        <f t="shared" si="2482"/>
        <v>116.021287999013</v>
      </c>
      <c r="BB397" s="215">
        <f t="shared" si="2483"/>
        <v>64.53784271673949</v>
      </c>
      <c r="BC397" s="215">
        <f t="shared" si="2484"/>
        <v>515.28240000000005</v>
      </c>
      <c r="BD397" s="215">
        <f t="shared" si="2485"/>
        <v>360.25865754603814</v>
      </c>
      <c r="BE397" s="215">
        <f t="shared" si="2486"/>
        <v>56.581800920465973</v>
      </c>
      <c r="BF397" s="215">
        <f t="shared" si="2487"/>
        <v>0</v>
      </c>
      <c r="BG397" s="215">
        <f t="shared" si="2488"/>
        <v>0</v>
      </c>
      <c r="BH397" s="215">
        <f t="shared" si="2489"/>
        <v>0</v>
      </c>
      <c r="BI397" s="215">
        <f t="shared" si="2490"/>
        <v>0</v>
      </c>
      <c r="BJ397" s="195"/>
      <c r="BK397" s="66">
        <v>19</v>
      </c>
      <c r="BL397" s="66">
        <v>2023</v>
      </c>
      <c r="BM397" s="215">
        <f t="shared" si="2533"/>
        <v>116.021287999013</v>
      </c>
      <c r="BN397" s="219">
        <f t="shared" si="2534"/>
        <v>0</v>
      </c>
      <c r="BO397" s="219">
        <f t="shared" si="2535"/>
        <v>0</v>
      </c>
      <c r="BP397" s="219">
        <f t="shared" si="2536"/>
        <v>0</v>
      </c>
      <c r="BQ397" s="219">
        <f t="shared" si="2537"/>
        <v>0</v>
      </c>
      <c r="BR397" s="220">
        <f t="shared" si="2538"/>
        <v>0</v>
      </c>
      <c r="BS397" s="219">
        <f t="shared" si="2539"/>
        <v>0</v>
      </c>
      <c r="BT397" s="219">
        <f t="shared" si="2540"/>
        <v>0</v>
      </c>
      <c r="BU397" s="219">
        <f t="shared" si="2541"/>
        <v>0</v>
      </c>
      <c r="BV397" s="219">
        <f t="shared" si="2542"/>
        <v>0</v>
      </c>
      <c r="BW397" s="219">
        <f t="shared" si="2543"/>
        <v>0</v>
      </c>
      <c r="BX397" s="220">
        <f t="shared" si="2544"/>
        <v>0</v>
      </c>
      <c r="BY397" s="195"/>
      <c r="BZ397" s="66">
        <v>19</v>
      </c>
      <c r="CA397" s="66">
        <v>2023</v>
      </c>
      <c r="CB397" s="218">
        <f t="shared" si="2545"/>
        <v>98.976777172516762</v>
      </c>
      <c r="CC397" s="218">
        <f t="shared" si="2546"/>
        <v>10.847871494852438</v>
      </c>
      <c r="CD397" s="73">
        <f t="shared" si="2547"/>
        <v>0</v>
      </c>
      <c r="CE397" s="73">
        <f t="shared" si="2548"/>
        <v>47.901574880172824</v>
      </c>
      <c r="CF397" s="73">
        <f t="shared" si="2549"/>
        <v>16.636267836566656</v>
      </c>
      <c r="CG397" s="73">
        <f t="shared" si="2550"/>
        <v>0</v>
      </c>
      <c r="CH397" s="73">
        <f t="shared" si="2551"/>
        <v>0</v>
      </c>
      <c r="CI397" s="73">
        <f t="shared" si="2552"/>
        <v>0</v>
      </c>
      <c r="CJ397" s="73">
        <f t="shared" si="2553"/>
        <v>0</v>
      </c>
      <c r="CK397" s="73">
        <f t="shared" si="2554"/>
        <v>0</v>
      </c>
      <c r="CL397" s="73">
        <f t="shared" si="2555"/>
        <v>0</v>
      </c>
      <c r="CM397" s="73">
        <f t="shared" si="2556"/>
        <v>0</v>
      </c>
      <c r="CN397" s="73">
        <f t="shared" si="2557"/>
        <v>0</v>
      </c>
      <c r="CO397" s="73">
        <f t="shared" si="2558"/>
        <v>0</v>
      </c>
      <c r="CP397" s="73">
        <f t="shared" si="2559"/>
        <v>0</v>
      </c>
      <c r="CQ397" s="73">
        <f t="shared" si="2560"/>
        <v>0</v>
      </c>
      <c r="CR397" s="73">
        <f t="shared" si="2561"/>
        <v>0</v>
      </c>
      <c r="CS397" s="73">
        <f t="shared" si="2562"/>
        <v>0</v>
      </c>
      <c r="CT397" s="73">
        <f t="shared" si="2563"/>
        <v>0</v>
      </c>
      <c r="CU397" s="73">
        <f t="shared" si="2564"/>
        <v>0</v>
      </c>
      <c r="CV397" s="73">
        <f t="shared" si="2565"/>
        <v>0</v>
      </c>
      <c r="CW397" s="73">
        <f t="shared" si="2566"/>
        <v>0</v>
      </c>
      <c r="CX397" s="73">
        <f t="shared" si="2567"/>
        <v>0</v>
      </c>
      <c r="CY397" s="73">
        <f t="shared" si="2568"/>
        <v>0</v>
      </c>
      <c r="CZ397" s="190"/>
      <c r="DA397" s="66">
        <v>2023</v>
      </c>
      <c r="DB397" s="218">
        <f t="shared" si="2491"/>
        <v>1915.4375158920609</v>
      </c>
      <c r="DC397" s="218">
        <f t="shared" si="2492"/>
        <v>8257.5036197948029</v>
      </c>
      <c r="DD397" s="73">
        <f t="shared" si="2493"/>
        <v>162.40655694503087</v>
      </c>
      <c r="DE397" s="73">
        <f t="shared" si="2494"/>
        <v>56.581800920465973</v>
      </c>
      <c r="DF397" s="73">
        <f t="shared" si="2495"/>
        <v>875.54105754603825</v>
      </c>
      <c r="DG397" s="73">
        <f t="shared" si="2496"/>
        <v>3769.187539147993</v>
      </c>
      <c r="DH397" s="72">
        <f t="shared" si="2523"/>
        <v>4.1308068171742478E-2</v>
      </c>
      <c r="DI397" s="72">
        <f t="shared" si="2524"/>
        <v>6.0702084930684311E-2</v>
      </c>
      <c r="DJ397" s="73">
        <f>SUM(AV378:AV397,BB378:BB397,BI378:BI397)</f>
        <v>330.53638020519838</v>
      </c>
      <c r="DK397" s="73">
        <f>SUM(AV384:AV397,BB384:BB397,BI384:BI397)</f>
        <v>330.53638020519838</v>
      </c>
      <c r="DL397" s="190"/>
    </row>
    <row r="398" spans="22:116" x14ac:dyDescent="0.25">
      <c r="V398" s="13"/>
      <c r="W398" s="197" t="s">
        <v>593</v>
      </c>
      <c r="X398" s="190"/>
      <c r="Y398" s="190"/>
      <c r="Z398" s="190"/>
      <c r="AA398" s="190"/>
      <c r="AB398" s="190"/>
      <c r="AC398" s="190"/>
      <c r="AD398" s="190"/>
      <c r="AE398" s="190"/>
      <c r="AF398" s="190"/>
      <c r="AG398" s="190"/>
      <c r="AH398" s="190"/>
      <c r="AI398" s="190"/>
      <c r="AJ398" s="190"/>
      <c r="AK398" s="190"/>
      <c r="AL398" s="190"/>
      <c r="AM398" s="190"/>
      <c r="AN398" s="190"/>
      <c r="AO398" s="190"/>
      <c r="AP398" s="190"/>
      <c r="AQ398" s="193" t="s">
        <v>90</v>
      </c>
      <c r="AR398" s="25"/>
      <c r="AS398" s="213"/>
      <c r="AT398" s="213"/>
      <c r="AU398" s="213"/>
      <c r="AV398" s="213"/>
      <c r="AW398" s="213"/>
      <c r="AX398" s="213"/>
      <c r="AY398" s="213"/>
      <c r="AZ398" s="213"/>
      <c r="BA398" s="213"/>
      <c r="BB398" s="213"/>
      <c r="BC398" s="213"/>
      <c r="BD398" s="213"/>
      <c r="BE398" s="213"/>
      <c r="BF398" s="213"/>
      <c r="BG398" s="213"/>
      <c r="BH398" s="213"/>
      <c r="BI398" s="213"/>
      <c r="BJ398" s="25"/>
      <c r="BK398" s="25"/>
      <c r="BL398" s="25"/>
      <c r="BM398" s="348" t="s">
        <v>570</v>
      </c>
      <c r="BN398" s="349"/>
      <c r="BO398" s="349"/>
      <c r="BP398" s="349"/>
      <c r="BQ398" s="350" t="s">
        <v>570</v>
      </c>
      <c r="BR398" s="350"/>
      <c r="BS398" s="350"/>
      <c r="BT398" s="350"/>
      <c r="BU398" s="350"/>
      <c r="BV398" s="350"/>
      <c r="BW398" s="350"/>
      <c r="BX398" s="351"/>
      <c r="BY398" s="199"/>
      <c r="BZ398" s="25"/>
      <c r="CA398" s="25"/>
      <c r="CB398" s="350" t="s">
        <v>302</v>
      </c>
      <c r="CC398" s="350"/>
      <c r="CD398" s="350"/>
      <c r="CE398" s="350" t="s">
        <v>302</v>
      </c>
      <c r="CF398" s="350"/>
      <c r="CG398" s="350"/>
      <c r="CH398" s="350"/>
      <c r="CI398" s="350"/>
      <c r="CJ398" s="350"/>
      <c r="CK398" s="350"/>
      <c r="CL398" s="350"/>
      <c r="CM398" s="350" t="s">
        <v>302</v>
      </c>
      <c r="CN398" s="350"/>
      <c r="CO398" s="350"/>
      <c r="CP398" s="350"/>
      <c r="CQ398" s="350"/>
      <c r="CR398" s="350"/>
      <c r="CS398" s="350"/>
      <c r="CT398" s="350"/>
      <c r="CU398" s="350"/>
      <c r="CV398" s="350"/>
      <c r="CW398" s="350"/>
      <c r="CX398" s="350"/>
      <c r="CY398" s="350"/>
      <c r="CZ398" s="190"/>
      <c r="DA398" s="190" t="s">
        <v>100</v>
      </c>
      <c r="DB398" s="217"/>
      <c r="DC398" s="217"/>
      <c r="DD398" s="217"/>
      <c r="DE398" s="217"/>
      <c r="DF398" s="217"/>
      <c r="DG398" s="217"/>
      <c r="DH398" s="222"/>
      <c r="DI398" s="222"/>
      <c r="DJ398" s="217"/>
      <c r="DK398" s="217"/>
      <c r="DL398" s="190"/>
    </row>
    <row r="399" spans="22:116" x14ac:dyDescent="0.25">
      <c r="V399" s="13"/>
      <c r="W399" s="66" t="s">
        <v>88</v>
      </c>
      <c r="X399" s="66" t="s">
        <v>89</v>
      </c>
      <c r="Y399" s="61" t="s">
        <v>320</v>
      </c>
      <c r="Z399" s="61" t="s">
        <v>319</v>
      </c>
      <c r="AA399" s="61" t="s">
        <v>318</v>
      </c>
      <c r="AB399" s="61" t="s">
        <v>317</v>
      </c>
      <c r="AC399" s="61" t="s">
        <v>321</v>
      </c>
      <c r="AD399" s="61" t="s">
        <v>322</v>
      </c>
      <c r="AE399" s="61" t="s">
        <v>323</v>
      </c>
      <c r="AF399" s="61" t="s">
        <v>324</v>
      </c>
      <c r="AG399" s="61" t="s">
        <v>325</v>
      </c>
      <c r="AH399" s="61" t="s">
        <v>326</v>
      </c>
      <c r="AI399" s="61" t="s">
        <v>327</v>
      </c>
      <c r="AJ399" s="61" t="s">
        <v>328</v>
      </c>
      <c r="AK399" s="61" t="s">
        <v>329</v>
      </c>
      <c r="AL399" s="61" t="s">
        <v>330</v>
      </c>
      <c r="AM399" s="61" t="s">
        <v>331</v>
      </c>
      <c r="AN399" s="61" t="s">
        <v>332</v>
      </c>
      <c r="AO399" s="61" t="s">
        <v>333</v>
      </c>
      <c r="AP399" s="190"/>
      <c r="AQ399" s="66" t="s">
        <v>88</v>
      </c>
      <c r="AR399" s="66" t="s">
        <v>89</v>
      </c>
      <c r="AS399" s="214" t="s">
        <v>320</v>
      </c>
      <c r="AT399" s="214" t="s">
        <v>319</v>
      </c>
      <c r="AU399" s="214" t="s">
        <v>318</v>
      </c>
      <c r="AV399" s="214" t="s">
        <v>317</v>
      </c>
      <c r="AW399" s="214" t="s">
        <v>321</v>
      </c>
      <c r="AX399" s="214" t="s">
        <v>322</v>
      </c>
      <c r="AY399" s="214" t="s">
        <v>323</v>
      </c>
      <c r="AZ399" s="214" t="s">
        <v>324</v>
      </c>
      <c r="BA399" s="214" t="s">
        <v>325</v>
      </c>
      <c r="BB399" s="214" t="s">
        <v>326</v>
      </c>
      <c r="BC399" s="214" t="s">
        <v>327</v>
      </c>
      <c r="BD399" s="214" t="s">
        <v>328</v>
      </c>
      <c r="BE399" s="214" t="s">
        <v>329</v>
      </c>
      <c r="BF399" s="214" t="s">
        <v>330</v>
      </c>
      <c r="BG399" s="214" t="s">
        <v>331</v>
      </c>
      <c r="BH399" s="214" t="s">
        <v>332</v>
      </c>
      <c r="BI399" s="214" t="s">
        <v>333</v>
      </c>
      <c r="BJ399" s="182"/>
      <c r="BK399" s="66" t="s">
        <v>88</v>
      </c>
      <c r="BL399" s="66" t="s">
        <v>89</v>
      </c>
      <c r="BM399" s="122" t="s">
        <v>627</v>
      </c>
      <c r="BN399" s="122" t="s">
        <v>715</v>
      </c>
      <c r="BO399" s="122" t="s">
        <v>628</v>
      </c>
      <c r="BP399" s="122" t="s">
        <v>629</v>
      </c>
      <c r="BQ399" s="122" t="s">
        <v>627</v>
      </c>
      <c r="BR399" s="122" t="s">
        <v>716</v>
      </c>
      <c r="BS399" s="122" t="s">
        <v>717</v>
      </c>
      <c r="BT399" s="122" t="s">
        <v>721</v>
      </c>
      <c r="BU399" s="122" t="s">
        <v>720</v>
      </c>
      <c r="BV399" s="122" t="s">
        <v>719</v>
      </c>
      <c r="BW399" s="122" t="s">
        <v>629</v>
      </c>
      <c r="BX399" s="122" t="s">
        <v>722</v>
      </c>
      <c r="BY399" s="182"/>
      <c r="BZ399" s="192" t="s">
        <v>88</v>
      </c>
      <c r="CA399" s="66" t="s">
        <v>89</v>
      </c>
      <c r="CB399" s="218" t="s">
        <v>124</v>
      </c>
      <c r="CC399" s="218" t="s">
        <v>630</v>
      </c>
      <c r="CD399" s="218" t="s">
        <v>570</v>
      </c>
      <c r="CE399" s="218" t="s">
        <v>124</v>
      </c>
      <c r="CF399" s="218" t="s">
        <v>630</v>
      </c>
      <c r="CG399" s="218" t="s">
        <v>631</v>
      </c>
      <c r="CH399" s="218" t="s">
        <v>632</v>
      </c>
      <c r="CI399" s="227" t="s">
        <v>624</v>
      </c>
      <c r="CJ399" s="227" t="s">
        <v>725</v>
      </c>
      <c r="CK399" s="227" t="s">
        <v>625</v>
      </c>
      <c r="CL399" s="227" t="s">
        <v>626</v>
      </c>
      <c r="CM399" s="218" t="s">
        <v>124</v>
      </c>
      <c r="CN399" s="218" t="s">
        <v>633</v>
      </c>
      <c r="CO399" s="218" t="s">
        <v>634</v>
      </c>
      <c r="CP399" s="218" t="s">
        <v>635</v>
      </c>
      <c r="CQ399" s="218" t="s">
        <v>632</v>
      </c>
      <c r="CR399" s="122" t="s">
        <v>624</v>
      </c>
      <c r="CS399" s="122" t="s">
        <v>726</v>
      </c>
      <c r="CT399" s="122" t="s">
        <v>727</v>
      </c>
      <c r="CU399" s="122" t="s">
        <v>637</v>
      </c>
      <c r="CV399" s="122" t="s">
        <v>638</v>
      </c>
      <c r="CW399" s="122" t="s">
        <v>728</v>
      </c>
      <c r="CX399" s="122" t="s">
        <v>626</v>
      </c>
      <c r="CY399" s="122" t="s">
        <v>729</v>
      </c>
      <c r="CZ399" s="190"/>
      <c r="DA399" s="67" t="s">
        <v>89</v>
      </c>
      <c r="DB399" s="219" t="s">
        <v>91</v>
      </c>
      <c r="DC399" s="219" t="s">
        <v>99</v>
      </c>
      <c r="DD399" s="215" t="s">
        <v>92</v>
      </c>
      <c r="DE399" s="215" t="s">
        <v>97</v>
      </c>
      <c r="DF399" s="215" t="s">
        <v>93</v>
      </c>
      <c r="DG399" s="215" t="s">
        <v>94</v>
      </c>
      <c r="DH399" s="223" t="s">
        <v>96</v>
      </c>
      <c r="DI399" s="223" t="s">
        <v>98</v>
      </c>
      <c r="DJ399" s="219" t="s">
        <v>95</v>
      </c>
      <c r="DK399" s="219" t="s">
        <v>102</v>
      </c>
      <c r="DL399" s="190"/>
    </row>
    <row r="400" spans="22:116" x14ac:dyDescent="0.25">
      <c r="V400" s="13"/>
      <c r="W400" s="66">
        <v>0</v>
      </c>
      <c r="X400" s="66">
        <v>2004</v>
      </c>
      <c r="Y400" s="69">
        <v>0</v>
      </c>
      <c r="Z400" s="69">
        <v>0</v>
      </c>
      <c r="AA400" s="69">
        <v>0</v>
      </c>
      <c r="AB400" s="69">
        <v>0</v>
      </c>
      <c r="AC400" s="69">
        <v>0</v>
      </c>
      <c r="AD400" s="69">
        <v>0</v>
      </c>
      <c r="AE400" s="69">
        <v>0</v>
      </c>
      <c r="AF400" s="69">
        <v>0</v>
      </c>
      <c r="AG400" s="69">
        <v>0</v>
      </c>
      <c r="AH400" s="69">
        <v>0</v>
      </c>
      <c r="AI400" s="69">
        <v>0</v>
      </c>
      <c r="AJ400" s="69">
        <v>0</v>
      </c>
      <c r="AK400" s="69">
        <v>0</v>
      </c>
      <c r="AL400" s="69">
        <v>0</v>
      </c>
      <c r="AM400" s="69">
        <v>0</v>
      </c>
      <c r="AN400" s="69">
        <v>0</v>
      </c>
      <c r="AO400" s="69">
        <v>0</v>
      </c>
      <c r="AP400" s="190"/>
      <c r="AQ400" s="66">
        <v>0</v>
      </c>
      <c r="AR400" s="66">
        <v>2004</v>
      </c>
      <c r="AS400" s="215">
        <f t="shared" ref="AS400:AS419" si="2586">Inc_2022*Y400</f>
        <v>0</v>
      </c>
      <c r="AT400" s="215">
        <f t="shared" ref="AT400:AT419" si="2587">Inc_2022*Z400</f>
        <v>0</v>
      </c>
      <c r="AU400" s="215">
        <f t="shared" ref="AU400:AU419" si="2588">Inc_2022*AA400</f>
        <v>0</v>
      </c>
      <c r="AV400" s="215">
        <f t="shared" ref="AV400:AV419" si="2589">Inc_2022*AB400</f>
        <v>0</v>
      </c>
      <c r="AW400" s="215">
        <f t="shared" ref="AW400:AW419" si="2590">Inc_2022*AC400</f>
        <v>0</v>
      </c>
      <c r="AX400" s="215">
        <f t="shared" ref="AX400:AX419" si="2591">Inc_2022*AD400</f>
        <v>0</v>
      </c>
      <c r="AY400" s="215">
        <f t="shared" ref="AY400:AY419" si="2592">Inc_2022*AE400</f>
        <v>0</v>
      </c>
      <c r="AZ400" s="215">
        <f t="shared" ref="AZ400:AZ419" si="2593">Inc_2022*AF400</f>
        <v>0</v>
      </c>
      <c r="BA400" s="215">
        <f t="shared" ref="BA400:BA419" si="2594">Inc_2022*AG400</f>
        <v>0</v>
      </c>
      <c r="BB400" s="215">
        <f t="shared" ref="BB400:BB419" si="2595">Inc_2022*AH400</f>
        <v>0</v>
      </c>
      <c r="BC400" s="215">
        <f t="shared" ref="BC400:BC419" si="2596">Inc_2022*AI400</f>
        <v>0</v>
      </c>
      <c r="BD400" s="215">
        <f t="shared" ref="BD400:BD419" si="2597">Inc_2022*AJ400</f>
        <v>0</v>
      </c>
      <c r="BE400" s="215">
        <f t="shared" ref="BE400:BE419" si="2598">Inc_2022*AK400</f>
        <v>0</v>
      </c>
      <c r="BF400" s="215">
        <f t="shared" ref="BF400:BF419" si="2599">Inc_2022*AL400</f>
        <v>0</v>
      </c>
      <c r="BG400" s="215">
        <f t="shared" ref="BG400:BG419" si="2600">Inc_2022*AM400</f>
        <v>0</v>
      </c>
      <c r="BH400" s="215">
        <f t="shared" ref="BH400:BH419" si="2601">Inc_2022*AN400</f>
        <v>0</v>
      </c>
      <c r="BI400" s="215">
        <f t="shared" ref="BI400:BI419" si="2602">Inc_2022*AO400</f>
        <v>0</v>
      </c>
      <c r="BJ400" s="195"/>
      <c r="BK400" s="66">
        <v>0</v>
      </c>
      <c r="BL400" s="66">
        <v>2004</v>
      </c>
      <c r="BM400" s="215">
        <f>BA400</f>
        <v>0</v>
      </c>
      <c r="BN400" s="219">
        <v>0</v>
      </c>
      <c r="BO400" s="219">
        <v>0</v>
      </c>
      <c r="BP400" s="219">
        <v>0</v>
      </c>
      <c r="BQ400" s="219">
        <f>BH400</f>
        <v>0</v>
      </c>
      <c r="BR400" s="219">
        <v>0</v>
      </c>
      <c r="BS400" s="219">
        <v>0</v>
      </c>
      <c r="BT400" s="219">
        <v>0</v>
      </c>
      <c r="BU400" s="219">
        <v>0</v>
      </c>
      <c r="BV400" s="219">
        <v>0</v>
      </c>
      <c r="BW400" s="219">
        <v>0</v>
      </c>
      <c r="BX400" s="219">
        <v>0</v>
      </c>
      <c r="BY400" s="195"/>
      <c r="BZ400" s="66">
        <v>0</v>
      </c>
      <c r="CA400" s="66">
        <v>2004</v>
      </c>
      <c r="CB400" s="218">
        <v>0</v>
      </c>
      <c r="CC400" s="218">
        <v>0</v>
      </c>
      <c r="CD400" s="218">
        <v>0</v>
      </c>
      <c r="CE400" s="218">
        <v>0</v>
      </c>
      <c r="CF400" s="218">
        <v>0</v>
      </c>
      <c r="CG400" s="218">
        <v>0</v>
      </c>
      <c r="CH400" s="218">
        <v>0</v>
      </c>
      <c r="CI400" s="218">
        <v>0</v>
      </c>
      <c r="CJ400" s="218">
        <v>0</v>
      </c>
      <c r="CK400" s="218">
        <v>0</v>
      </c>
      <c r="CL400" s="218">
        <v>0</v>
      </c>
      <c r="CM400" s="218">
        <v>0</v>
      </c>
      <c r="CN400" s="218">
        <v>0</v>
      </c>
      <c r="CO400" s="218">
        <v>0</v>
      </c>
      <c r="CP400" s="218">
        <v>0</v>
      </c>
      <c r="CQ400" s="218">
        <v>0</v>
      </c>
      <c r="CR400" s="218">
        <v>0</v>
      </c>
      <c r="CS400" s="218">
        <v>0</v>
      </c>
      <c r="CT400" s="218">
        <v>0</v>
      </c>
      <c r="CU400" s="218">
        <v>0</v>
      </c>
      <c r="CV400" s="218">
        <v>0</v>
      </c>
      <c r="CW400" s="218">
        <v>0</v>
      </c>
      <c r="CX400" s="218">
        <v>0</v>
      </c>
      <c r="CY400" s="218">
        <v>0</v>
      </c>
      <c r="CZ400" s="190"/>
      <c r="DA400" s="67">
        <v>2004</v>
      </c>
      <c r="DB400" s="218">
        <f t="shared" ref="DB400:DB419" si="2603">SUM(AT400,AX400,BD400)</f>
        <v>0</v>
      </c>
      <c r="DC400" s="218">
        <f t="shared" ref="DC400:DC419" si="2604">SUM(AS400:AU400,AW400:BA400,BC400:BH400)</f>
        <v>0</v>
      </c>
      <c r="DD400" s="73">
        <f t="shared" ref="DD400:DD419" si="2605">SUM(AY400:AZ400,BE400:BG400)</f>
        <v>0</v>
      </c>
      <c r="DE400" s="73">
        <f t="shared" ref="DE400:DE419" si="2606">SUM(BE400:BG400)</f>
        <v>0</v>
      </c>
      <c r="DF400" s="73">
        <f t="shared" ref="DF400:DF419" si="2607">SUM(BC400,BD400,BH400)</f>
        <v>0</v>
      </c>
      <c r="DG400" s="73">
        <f t="shared" ref="DG400:DG419" si="2608">SUM(BC400,BD400,BH400,AW400,AX400,BA400)</f>
        <v>0</v>
      </c>
      <c r="DH400" s="72" t="e">
        <f>DD400/(DD400+DG400)</f>
        <v>#DIV/0!</v>
      </c>
      <c r="DI400" s="72" t="e">
        <f>DE400/(DE400+DF400)</f>
        <v>#DIV/0!</v>
      </c>
      <c r="DJ400" s="73">
        <f>SUM(AV400,BB400,BI400)</f>
        <v>0</v>
      </c>
      <c r="DK400" s="73">
        <v>0</v>
      </c>
      <c r="DL400" s="190"/>
    </row>
    <row r="401" spans="22:116" x14ac:dyDescent="0.25">
      <c r="V401" s="13"/>
      <c r="W401" s="66">
        <v>1</v>
      </c>
      <c r="X401" s="66">
        <v>2005</v>
      </c>
      <c r="Y401" s="69">
        <v>0</v>
      </c>
      <c r="Z401" s="69">
        <v>0</v>
      </c>
      <c r="AA401" s="69">
        <v>0</v>
      </c>
      <c r="AB401" s="69">
        <v>0</v>
      </c>
      <c r="AC401" s="69">
        <v>0</v>
      </c>
      <c r="AD401" s="69">
        <v>0</v>
      </c>
      <c r="AE401" s="69">
        <v>0</v>
      </c>
      <c r="AF401" s="69">
        <v>0</v>
      </c>
      <c r="AG401" s="69">
        <v>0</v>
      </c>
      <c r="AH401" s="69">
        <v>0</v>
      </c>
      <c r="AI401" s="69">
        <v>0</v>
      </c>
      <c r="AJ401" s="69">
        <v>0</v>
      </c>
      <c r="AK401" s="69">
        <v>0</v>
      </c>
      <c r="AL401" s="69">
        <v>0</v>
      </c>
      <c r="AM401" s="69">
        <v>0</v>
      </c>
      <c r="AN401" s="69">
        <v>0</v>
      </c>
      <c r="AO401" s="69">
        <v>0</v>
      </c>
      <c r="AP401" s="190"/>
      <c r="AQ401" s="66">
        <v>1</v>
      </c>
      <c r="AR401" s="66">
        <v>2005</v>
      </c>
      <c r="AS401" s="215">
        <f t="shared" si="2586"/>
        <v>0</v>
      </c>
      <c r="AT401" s="215">
        <f t="shared" si="2587"/>
        <v>0</v>
      </c>
      <c r="AU401" s="215">
        <f t="shared" si="2588"/>
        <v>0</v>
      </c>
      <c r="AV401" s="215">
        <f t="shared" si="2589"/>
        <v>0</v>
      </c>
      <c r="AW401" s="215">
        <f t="shared" si="2590"/>
        <v>0</v>
      </c>
      <c r="AX401" s="215">
        <f t="shared" si="2591"/>
        <v>0</v>
      </c>
      <c r="AY401" s="215">
        <f t="shared" si="2592"/>
        <v>0</v>
      </c>
      <c r="AZ401" s="215">
        <f t="shared" si="2593"/>
        <v>0</v>
      </c>
      <c r="BA401" s="215">
        <f t="shared" si="2594"/>
        <v>0</v>
      </c>
      <c r="BB401" s="215">
        <f t="shared" si="2595"/>
        <v>0</v>
      </c>
      <c r="BC401" s="215">
        <f t="shared" si="2596"/>
        <v>0</v>
      </c>
      <c r="BD401" s="215">
        <f t="shared" si="2597"/>
        <v>0</v>
      </c>
      <c r="BE401" s="215">
        <f t="shared" si="2598"/>
        <v>0</v>
      </c>
      <c r="BF401" s="215">
        <f t="shared" si="2599"/>
        <v>0</v>
      </c>
      <c r="BG401" s="215">
        <f t="shared" si="2600"/>
        <v>0</v>
      </c>
      <c r="BH401" s="215">
        <f t="shared" si="2601"/>
        <v>0</v>
      </c>
      <c r="BI401" s="215">
        <f t="shared" si="2602"/>
        <v>0</v>
      </c>
      <c r="BJ401" s="195"/>
      <c r="BK401" s="66">
        <v>1</v>
      </c>
      <c r="BL401" s="66">
        <v>2005</v>
      </c>
      <c r="BM401" s="215">
        <f t="shared" ref="BM401:BM408" si="2609">(AX400*pInt_InCare_Int_LTFU_2004_2012)+(BM400*pInt_LTFU_2004_2012)</f>
        <v>0</v>
      </c>
      <c r="BN401" s="219">
        <f t="shared" ref="BN401:BN408" si="2610">(AU400*pAsympt_LTFU_Int_LTFU_2004_2012)+(BN400*pInt_LTFU_2004_2012)</f>
        <v>0</v>
      </c>
      <c r="BO401" s="219">
        <f t="shared" ref="BO401:BO408" si="2611">(AY400*pInt_ART1_Int_LTFU_2004_2012)+(BO400*pInt_LTFU_2004_2012)</f>
        <v>0</v>
      </c>
      <c r="BP401" s="219">
        <v>0</v>
      </c>
      <c r="BQ401" s="219">
        <f t="shared" ref="BQ401:BQ408" si="2612">(BD400*pAIDS_InCare_AIDS_LTFU_2004_2012)+(BQ400*pAIDS_LTFU_2004_2012)</f>
        <v>0</v>
      </c>
      <c r="BR401" s="220">
        <f>(BN400*pInt_LTFU_AIDS_LTFU_2004_2012)</f>
        <v>0</v>
      </c>
      <c r="BS401" s="219">
        <f>(BM400*pInt_LTFU_AIDS_LTFU_2004_2012)</f>
        <v>0</v>
      </c>
      <c r="BT401" s="219">
        <f>(BE400*pAIDS_ART1ear_AIDS_LTFU_2004_2012)</f>
        <v>0</v>
      </c>
      <c r="BU401" s="219">
        <f>(BF400*pAIDS_ART1late_AIDS_LTFU_2004_2012)</f>
        <v>0</v>
      </c>
      <c r="BV401" s="219">
        <f>(BO400*pInt_LTFU_AIDS_LTFU_2004_2012)</f>
        <v>0</v>
      </c>
      <c r="BW401" s="219">
        <f>(BG400*pAIDS_ART2_AIDS_LTFU_2004_2012)</f>
        <v>0</v>
      </c>
      <c r="BX401" s="220">
        <f>(BP400*pInt_LTFU_AIDS_LTFU_2004_2012)</f>
        <v>0</v>
      </c>
      <c r="BY401" s="195"/>
      <c r="BZ401" s="66">
        <v>1</v>
      </c>
      <c r="CA401" s="66">
        <v>2005</v>
      </c>
      <c r="CB401" s="218">
        <f>pAsympt_NoCare_Asympt_Dead_2004_2006*AS400</f>
        <v>0</v>
      </c>
      <c r="CC401" s="218">
        <f t="shared" ref="CC401:CC408" si="2613">pAsympt_InCare_Asympt_Dead_2004_2012*AT400</f>
        <v>0</v>
      </c>
      <c r="CD401" s="73">
        <f t="shared" ref="CD401:CD408" si="2614">pAsympt_LTFU_Asympt_Dead_2004_2012*AU400</f>
        <v>0</v>
      </c>
      <c r="CE401" s="73">
        <f>pInt_NoCare_Int_Dead_2004_2006*AW400</f>
        <v>0</v>
      </c>
      <c r="CF401" s="73">
        <f t="shared" ref="CF401:CF408" si="2615">pInt_InCare_Int_Dead_2004_2012*AX400</f>
        <v>0</v>
      </c>
      <c r="CG401" s="73">
        <f t="shared" ref="CG401:CG408" si="2616">pInt_ART1_Int_Dead_2004_2012*AY400</f>
        <v>0</v>
      </c>
      <c r="CH401" s="73">
        <f t="shared" ref="CH401:CH408" si="2617">pInt_ART2_Int_Dead_2004_2012*AZ400</f>
        <v>0</v>
      </c>
      <c r="CI401" s="73">
        <f t="shared" ref="CI401:CI408" si="2618">(BM400*pInt_LTFU_Int_Dead_2004_2012)</f>
        <v>0</v>
      </c>
      <c r="CJ401" s="73">
        <f t="shared" ref="CJ401:CJ408" si="2619">(BN400*pInt_LTFU_Int_Dead_2004_2012)</f>
        <v>0</v>
      </c>
      <c r="CK401" s="73">
        <f t="shared" ref="CK401:CK408" si="2620">(BO400*pInt_LTFU_Int_Dead_2004_2012)</f>
        <v>0</v>
      </c>
      <c r="CL401" s="73">
        <f t="shared" ref="CL401:CL408" si="2621">(BP400*pInt_LTFU_Int_Dead_2004_2012)</f>
        <v>0</v>
      </c>
      <c r="CM401" s="73">
        <f t="shared" ref="CM401:CM402" si="2622">pAIDS_NoCare_AIDS_Dead_2004_2006*BC400</f>
        <v>0</v>
      </c>
      <c r="CN401" s="73">
        <f t="shared" ref="CN401:CN408" si="2623">pAIDS_InCare_AIDS_Dead_2004_2012*BD400</f>
        <v>0</v>
      </c>
      <c r="CO401" s="73">
        <f t="shared" ref="CO401:CO408" si="2624">pAIDS_ART1ear_AIDS_Dead_2004_2012*BE400</f>
        <v>0</v>
      </c>
      <c r="CP401" s="73">
        <f t="shared" ref="CP401:CP408" si="2625">pAIDS_ART1late_AIDS_Dead_2004_2012*BF400</f>
        <v>0</v>
      </c>
      <c r="CQ401" s="73">
        <f t="shared" ref="CQ401:CQ408" si="2626">pAIDS_ART2_AIDS_Dead_2004_2012*BG400</f>
        <v>0</v>
      </c>
      <c r="CR401" s="73">
        <f t="shared" ref="CR401:CR408" si="2627">(BQ400*pAIDS_LTFU_AIDS_Dead_2004_2012)</f>
        <v>0</v>
      </c>
      <c r="CS401" s="73">
        <f t="shared" ref="CS401:CS408" si="2628">(BR400*pAIDS_LTFU_AIDS_Dead_2004_2012)</f>
        <v>0</v>
      </c>
      <c r="CT401" s="73">
        <f t="shared" ref="CT401:CT408" si="2629">(BS400*pAIDS_LTFU_AIDS_Dead_2004_2012)</f>
        <v>0</v>
      </c>
      <c r="CU401" s="73">
        <f t="shared" ref="CU401:CU408" si="2630">(BT400*pAIDS_LTFU_AIDS_Dead_2004_2012)</f>
        <v>0</v>
      </c>
      <c r="CV401" s="73">
        <f t="shared" ref="CV401:CV408" si="2631">(BU400*pAIDS_LTFU_AIDS_Dead_2004_2012)</f>
        <v>0</v>
      </c>
      <c r="CW401" s="73">
        <f t="shared" ref="CW401:CW408" si="2632">(BV400*pAIDS_LTFU_AIDS_Dead_2004_2012)</f>
        <v>0</v>
      </c>
      <c r="CX401" s="73">
        <f t="shared" ref="CX401:CX408" si="2633">(BW400*pAIDS_LTFU_AIDS_Dead_2004_2012)</f>
        <v>0</v>
      </c>
      <c r="CY401" s="73">
        <f t="shared" ref="CY401:CY408" si="2634">(BX400*pAIDS_LTFU_AIDS_Dead_2004_2012)</f>
        <v>0</v>
      </c>
      <c r="CZ401" s="190"/>
      <c r="DA401" s="67">
        <v>2005</v>
      </c>
      <c r="DB401" s="218">
        <f t="shared" si="2603"/>
        <v>0</v>
      </c>
      <c r="DC401" s="218">
        <f t="shared" si="2604"/>
        <v>0</v>
      </c>
      <c r="DD401" s="73">
        <f t="shared" si="2605"/>
        <v>0</v>
      </c>
      <c r="DE401" s="73">
        <f t="shared" si="2606"/>
        <v>0</v>
      </c>
      <c r="DF401" s="73">
        <f t="shared" si="2607"/>
        <v>0</v>
      </c>
      <c r="DG401" s="73">
        <f t="shared" si="2608"/>
        <v>0</v>
      </c>
      <c r="DH401" s="72" t="e">
        <f t="shared" ref="DH401:DH419" si="2635">DD401/(DD401+DG401)</f>
        <v>#DIV/0!</v>
      </c>
      <c r="DI401" s="72" t="e">
        <f t="shared" ref="DI401:DI419" si="2636">DE401/(DE401+DF401)</f>
        <v>#DIV/0!</v>
      </c>
      <c r="DJ401" s="73">
        <f>SUM(AV400:AV401,BB400:BB401,BI400:BI401)</f>
        <v>0</v>
      </c>
      <c r="DK401" s="73">
        <v>0</v>
      </c>
      <c r="DL401" s="190"/>
    </row>
    <row r="402" spans="22:116" x14ac:dyDescent="0.25">
      <c r="V402" s="13"/>
      <c r="W402" s="66">
        <v>2</v>
      </c>
      <c r="X402" s="66">
        <v>2006</v>
      </c>
      <c r="Y402" s="69">
        <v>0</v>
      </c>
      <c r="Z402" s="69">
        <v>0</v>
      </c>
      <c r="AA402" s="69">
        <v>0</v>
      </c>
      <c r="AB402" s="69">
        <v>0</v>
      </c>
      <c r="AC402" s="69">
        <v>0</v>
      </c>
      <c r="AD402" s="69">
        <v>0</v>
      </c>
      <c r="AE402" s="69">
        <v>0</v>
      </c>
      <c r="AF402" s="69">
        <v>0</v>
      </c>
      <c r="AG402" s="69">
        <v>0</v>
      </c>
      <c r="AH402" s="69">
        <v>0</v>
      </c>
      <c r="AI402" s="69">
        <v>0</v>
      </c>
      <c r="AJ402" s="69">
        <v>0</v>
      </c>
      <c r="AK402" s="69">
        <v>0</v>
      </c>
      <c r="AL402" s="69">
        <v>0</v>
      </c>
      <c r="AM402" s="69">
        <v>0</v>
      </c>
      <c r="AN402" s="69">
        <v>0</v>
      </c>
      <c r="AO402" s="69">
        <v>0</v>
      </c>
      <c r="AP402" s="190"/>
      <c r="AQ402" s="66">
        <v>2</v>
      </c>
      <c r="AR402" s="66">
        <v>2006</v>
      </c>
      <c r="AS402" s="215">
        <f t="shared" si="2586"/>
        <v>0</v>
      </c>
      <c r="AT402" s="215">
        <f t="shared" si="2587"/>
        <v>0</v>
      </c>
      <c r="AU402" s="215">
        <f t="shared" si="2588"/>
        <v>0</v>
      </c>
      <c r="AV402" s="215">
        <f t="shared" si="2589"/>
        <v>0</v>
      </c>
      <c r="AW402" s="215">
        <f t="shared" si="2590"/>
        <v>0</v>
      </c>
      <c r="AX402" s="215">
        <f t="shared" si="2591"/>
        <v>0</v>
      </c>
      <c r="AY402" s="215">
        <f t="shared" si="2592"/>
        <v>0</v>
      </c>
      <c r="AZ402" s="215">
        <f t="shared" si="2593"/>
        <v>0</v>
      </c>
      <c r="BA402" s="215">
        <f t="shared" si="2594"/>
        <v>0</v>
      </c>
      <c r="BB402" s="215">
        <f t="shared" si="2595"/>
        <v>0</v>
      </c>
      <c r="BC402" s="215">
        <f t="shared" si="2596"/>
        <v>0</v>
      </c>
      <c r="BD402" s="215">
        <f t="shared" si="2597"/>
        <v>0</v>
      </c>
      <c r="BE402" s="215">
        <f t="shared" si="2598"/>
        <v>0</v>
      </c>
      <c r="BF402" s="215">
        <f t="shared" si="2599"/>
        <v>0</v>
      </c>
      <c r="BG402" s="215">
        <f t="shared" si="2600"/>
        <v>0</v>
      </c>
      <c r="BH402" s="215">
        <f t="shared" si="2601"/>
        <v>0</v>
      </c>
      <c r="BI402" s="215">
        <f t="shared" si="2602"/>
        <v>0</v>
      </c>
      <c r="BJ402" s="195"/>
      <c r="BK402" s="66">
        <v>2</v>
      </c>
      <c r="BL402" s="66">
        <v>2006</v>
      </c>
      <c r="BM402" s="215">
        <f t="shared" si="2609"/>
        <v>0</v>
      </c>
      <c r="BN402" s="219">
        <f t="shared" si="2610"/>
        <v>0</v>
      </c>
      <c r="BO402" s="219">
        <f t="shared" si="2611"/>
        <v>0</v>
      </c>
      <c r="BP402" s="219">
        <f t="shared" ref="BP402:BP408" si="2637">(AZ401*pInt_ART2_Int_LTFU_2004_2012)+(BP401*pInt_LTFU_2004_2012)</f>
        <v>0</v>
      </c>
      <c r="BQ402" s="219">
        <f t="shared" si="2612"/>
        <v>0</v>
      </c>
      <c r="BR402" s="220">
        <f t="shared" ref="BR402:BR408" si="2638">(BN401*pInt_LTFU_AIDS_LTFU_2004_2012)+(BR401*pAIDS_LTFU_2004_2012)</f>
        <v>0</v>
      </c>
      <c r="BS402" s="219">
        <f t="shared" ref="BS402:BS408" si="2639">(BM401*pInt_LTFU_AIDS_LTFU_2004_2012)+(BS401*pAIDS_LTFU_2004_2012)</f>
        <v>0</v>
      </c>
      <c r="BT402" s="219">
        <f t="shared" ref="BT402:BT408" si="2640">(BE401*pAIDS_ART1ear_AIDS_LTFU_2004_2012)+(BT401*pAIDS_LTFU_2004_2012)</f>
        <v>0</v>
      </c>
      <c r="BU402" s="219">
        <f t="shared" ref="BU402:BU408" si="2641">(BF401*pAIDS_ART1late_AIDS_LTFU_2004_2012)+(BU401*pAIDS_LTFU_2004_2012)</f>
        <v>0</v>
      </c>
      <c r="BV402" s="219">
        <f t="shared" ref="BV402:BV408" si="2642">(BO401*pInt_LTFU_AIDS_LTFU_2004_2012)+(BV401*pAIDS_LTFU_2004_2012)</f>
        <v>0</v>
      </c>
      <c r="BW402" s="219">
        <f t="shared" ref="BW402:BW408" si="2643">(BG401*pAIDS_ART2_AIDS_LTFU_2004_2012)+(BW401*pAIDS_LTFU_2004_2012)</f>
        <v>0</v>
      </c>
      <c r="BX402" s="220">
        <f t="shared" ref="BX402:BX408" si="2644">(BP401*pInt_LTFU_AIDS_LTFU_2004_2012)+(BX401*pAIDS_LTFU_2004_2012)</f>
        <v>0</v>
      </c>
      <c r="BY402" s="195"/>
      <c r="BZ402" s="66">
        <v>2</v>
      </c>
      <c r="CA402" s="66">
        <v>2006</v>
      </c>
      <c r="CB402" s="218">
        <f>pAsympt_NoCare_Asympt_Dead_2004_2006*AS401</f>
        <v>0</v>
      </c>
      <c r="CC402" s="218">
        <f t="shared" si="2613"/>
        <v>0</v>
      </c>
      <c r="CD402" s="73">
        <f t="shared" si="2614"/>
        <v>0</v>
      </c>
      <c r="CE402" s="73">
        <f>pInt_NoCare_Int_Dead_2004_2006*AW401</f>
        <v>0</v>
      </c>
      <c r="CF402" s="73">
        <f t="shared" si="2615"/>
        <v>0</v>
      </c>
      <c r="CG402" s="73">
        <f t="shared" si="2616"/>
        <v>0</v>
      </c>
      <c r="CH402" s="73">
        <f t="shared" si="2617"/>
        <v>0</v>
      </c>
      <c r="CI402" s="73">
        <f t="shared" si="2618"/>
        <v>0</v>
      </c>
      <c r="CJ402" s="73">
        <f t="shared" si="2619"/>
        <v>0</v>
      </c>
      <c r="CK402" s="73">
        <f t="shared" si="2620"/>
        <v>0</v>
      </c>
      <c r="CL402" s="73">
        <f t="shared" si="2621"/>
        <v>0</v>
      </c>
      <c r="CM402" s="73">
        <f t="shared" si="2622"/>
        <v>0</v>
      </c>
      <c r="CN402" s="73">
        <f t="shared" si="2623"/>
        <v>0</v>
      </c>
      <c r="CO402" s="73">
        <f t="shared" si="2624"/>
        <v>0</v>
      </c>
      <c r="CP402" s="73">
        <f t="shared" si="2625"/>
        <v>0</v>
      </c>
      <c r="CQ402" s="73">
        <f t="shared" si="2626"/>
        <v>0</v>
      </c>
      <c r="CR402" s="73">
        <f t="shared" si="2627"/>
        <v>0</v>
      </c>
      <c r="CS402" s="73">
        <f t="shared" si="2628"/>
        <v>0</v>
      </c>
      <c r="CT402" s="73">
        <f t="shared" si="2629"/>
        <v>0</v>
      </c>
      <c r="CU402" s="73">
        <f t="shared" si="2630"/>
        <v>0</v>
      </c>
      <c r="CV402" s="73">
        <f t="shared" si="2631"/>
        <v>0</v>
      </c>
      <c r="CW402" s="73">
        <f t="shared" si="2632"/>
        <v>0</v>
      </c>
      <c r="CX402" s="73">
        <f t="shared" si="2633"/>
        <v>0</v>
      </c>
      <c r="CY402" s="73">
        <f t="shared" si="2634"/>
        <v>0</v>
      </c>
      <c r="CZ402" s="190"/>
      <c r="DA402" s="66">
        <v>2006</v>
      </c>
      <c r="DB402" s="218">
        <f t="shared" si="2603"/>
        <v>0</v>
      </c>
      <c r="DC402" s="218">
        <f t="shared" si="2604"/>
        <v>0</v>
      </c>
      <c r="DD402" s="73">
        <f t="shared" si="2605"/>
        <v>0</v>
      </c>
      <c r="DE402" s="73">
        <f t="shared" si="2606"/>
        <v>0</v>
      </c>
      <c r="DF402" s="73">
        <f t="shared" si="2607"/>
        <v>0</v>
      </c>
      <c r="DG402" s="73">
        <f t="shared" si="2608"/>
        <v>0</v>
      </c>
      <c r="DH402" s="72" t="e">
        <f t="shared" si="2635"/>
        <v>#DIV/0!</v>
      </c>
      <c r="DI402" s="72" t="e">
        <f t="shared" si="2636"/>
        <v>#DIV/0!</v>
      </c>
      <c r="DJ402" s="73">
        <f>SUM(AV400:AV402,BB400:BB402,BI400:BI402)</f>
        <v>0</v>
      </c>
      <c r="DK402" s="73">
        <v>0</v>
      </c>
      <c r="DL402" s="190"/>
    </row>
    <row r="403" spans="22:116" x14ac:dyDescent="0.25">
      <c r="V403" s="13"/>
      <c r="W403" s="66">
        <v>3</v>
      </c>
      <c r="X403" s="66">
        <v>2007</v>
      </c>
      <c r="Y403" s="69">
        <v>0</v>
      </c>
      <c r="Z403" s="69">
        <v>0</v>
      </c>
      <c r="AA403" s="69">
        <v>0</v>
      </c>
      <c r="AB403" s="69">
        <v>0</v>
      </c>
      <c r="AC403" s="69">
        <v>0</v>
      </c>
      <c r="AD403" s="69">
        <v>0</v>
      </c>
      <c r="AE403" s="69">
        <v>0</v>
      </c>
      <c r="AF403" s="69">
        <v>0</v>
      </c>
      <c r="AG403" s="69">
        <v>0</v>
      </c>
      <c r="AH403" s="69">
        <v>0</v>
      </c>
      <c r="AI403" s="69">
        <v>0</v>
      </c>
      <c r="AJ403" s="69">
        <v>0</v>
      </c>
      <c r="AK403" s="69">
        <v>0</v>
      </c>
      <c r="AL403" s="69">
        <v>0</v>
      </c>
      <c r="AM403" s="69">
        <v>0</v>
      </c>
      <c r="AN403" s="69">
        <v>0</v>
      </c>
      <c r="AO403" s="69">
        <v>0</v>
      </c>
      <c r="AP403" s="190"/>
      <c r="AQ403" s="66">
        <v>3</v>
      </c>
      <c r="AR403" s="66">
        <v>2007</v>
      </c>
      <c r="AS403" s="215">
        <f t="shared" si="2586"/>
        <v>0</v>
      </c>
      <c r="AT403" s="215">
        <f t="shared" si="2587"/>
        <v>0</v>
      </c>
      <c r="AU403" s="215">
        <f t="shared" si="2588"/>
        <v>0</v>
      </c>
      <c r="AV403" s="215">
        <f t="shared" si="2589"/>
        <v>0</v>
      </c>
      <c r="AW403" s="215">
        <f t="shared" si="2590"/>
        <v>0</v>
      </c>
      <c r="AX403" s="215">
        <f t="shared" si="2591"/>
        <v>0</v>
      </c>
      <c r="AY403" s="215">
        <f t="shared" si="2592"/>
        <v>0</v>
      </c>
      <c r="AZ403" s="215">
        <f t="shared" si="2593"/>
        <v>0</v>
      </c>
      <c r="BA403" s="215">
        <f t="shared" si="2594"/>
        <v>0</v>
      </c>
      <c r="BB403" s="215">
        <f t="shared" si="2595"/>
        <v>0</v>
      </c>
      <c r="BC403" s="215">
        <f t="shared" si="2596"/>
        <v>0</v>
      </c>
      <c r="BD403" s="215">
        <f t="shared" si="2597"/>
        <v>0</v>
      </c>
      <c r="BE403" s="215">
        <f t="shared" si="2598"/>
        <v>0</v>
      </c>
      <c r="BF403" s="215">
        <f t="shared" si="2599"/>
        <v>0</v>
      </c>
      <c r="BG403" s="215">
        <f t="shared" si="2600"/>
        <v>0</v>
      </c>
      <c r="BH403" s="215">
        <f t="shared" si="2601"/>
        <v>0</v>
      </c>
      <c r="BI403" s="215">
        <f t="shared" si="2602"/>
        <v>0</v>
      </c>
      <c r="BJ403" s="195"/>
      <c r="BK403" s="66">
        <v>3</v>
      </c>
      <c r="BL403" s="66">
        <v>2007</v>
      </c>
      <c r="BM403" s="215">
        <f t="shared" si="2609"/>
        <v>0</v>
      </c>
      <c r="BN403" s="219">
        <f t="shared" si="2610"/>
        <v>0</v>
      </c>
      <c r="BO403" s="219">
        <f t="shared" si="2611"/>
        <v>0</v>
      </c>
      <c r="BP403" s="219">
        <f t="shared" si="2637"/>
        <v>0</v>
      </c>
      <c r="BQ403" s="219">
        <f t="shared" si="2612"/>
        <v>0</v>
      </c>
      <c r="BR403" s="220">
        <f t="shared" si="2638"/>
        <v>0</v>
      </c>
      <c r="BS403" s="219">
        <f t="shared" si="2639"/>
        <v>0</v>
      </c>
      <c r="BT403" s="219">
        <f t="shared" si="2640"/>
        <v>0</v>
      </c>
      <c r="BU403" s="219">
        <f t="shared" si="2641"/>
        <v>0</v>
      </c>
      <c r="BV403" s="219">
        <f t="shared" si="2642"/>
        <v>0</v>
      </c>
      <c r="BW403" s="219">
        <f t="shared" si="2643"/>
        <v>0</v>
      </c>
      <c r="BX403" s="220">
        <f t="shared" si="2644"/>
        <v>0</v>
      </c>
      <c r="BY403" s="195"/>
      <c r="BZ403" s="66">
        <v>3</v>
      </c>
      <c r="CA403" s="66">
        <v>2007</v>
      </c>
      <c r="CB403" s="218">
        <f>pAsympt_NoCare_Asympt_Dead_2007_2009*AS402</f>
        <v>0</v>
      </c>
      <c r="CC403" s="218">
        <f t="shared" si="2613"/>
        <v>0</v>
      </c>
      <c r="CD403" s="73">
        <f t="shared" si="2614"/>
        <v>0</v>
      </c>
      <c r="CE403" s="73">
        <f>pInt_NoCare_Int_Dead_2007_2009*AW402</f>
        <v>0</v>
      </c>
      <c r="CF403" s="73">
        <f t="shared" si="2615"/>
        <v>0</v>
      </c>
      <c r="CG403" s="73">
        <f t="shared" si="2616"/>
        <v>0</v>
      </c>
      <c r="CH403" s="73">
        <f t="shared" si="2617"/>
        <v>0</v>
      </c>
      <c r="CI403" s="73">
        <f t="shared" si="2618"/>
        <v>0</v>
      </c>
      <c r="CJ403" s="73">
        <f t="shared" si="2619"/>
        <v>0</v>
      </c>
      <c r="CK403" s="73">
        <f t="shared" si="2620"/>
        <v>0</v>
      </c>
      <c r="CL403" s="73">
        <f t="shared" si="2621"/>
        <v>0</v>
      </c>
      <c r="CM403" s="73">
        <f>pAIDS_NoCare_AIDS_Dead_2007_2009*BC402</f>
        <v>0</v>
      </c>
      <c r="CN403" s="73">
        <f t="shared" si="2623"/>
        <v>0</v>
      </c>
      <c r="CO403" s="73">
        <f t="shared" si="2624"/>
        <v>0</v>
      </c>
      <c r="CP403" s="73">
        <f t="shared" si="2625"/>
        <v>0</v>
      </c>
      <c r="CQ403" s="73">
        <f t="shared" si="2626"/>
        <v>0</v>
      </c>
      <c r="CR403" s="73">
        <f t="shared" si="2627"/>
        <v>0</v>
      </c>
      <c r="CS403" s="73">
        <f t="shared" si="2628"/>
        <v>0</v>
      </c>
      <c r="CT403" s="73">
        <f t="shared" si="2629"/>
        <v>0</v>
      </c>
      <c r="CU403" s="73">
        <f t="shared" si="2630"/>
        <v>0</v>
      </c>
      <c r="CV403" s="73">
        <f t="shared" si="2631"/>
        <v>0</v>
      </c>
      <c r="CW403" s="73">
        <f t="shared" si="2632"/>
        <v>0</v>
      </c>
      <c r="CX403" s="73">
        <f t="shared" si="2633"/>
        <v>0</v>
      </c>
      <c r="CY403" s="73">
        <f t="shared" si="2634"/>
        <v>0</v>
      </c>
      <c r="CZ403" s="190"/>
      <c r="DA403" s="66">
        <v>2007</v>
      </c>
      <c r="DB403" s="218">
        <f t="shared" si="2603"/>
        <v>0</v>
      </c>
      <c r="DC403" s="218">
        <f t="shared" si="2604"/>
        <v>0</v>
      </c>
      <c r="DD403" s="73">
        <f t="shared" si="2605"/>
        <v>0</v>
      </c>
      <c r="DE403" s="73">
        <f t="shared" si="2606"/>
        <v>0</v>
      </c>
      <c r="DF403" s="73">
        <f t="shared" si="2607"/>
        <v>0</v>
      </c>
      <c r="DG403" s="73">
        <f t="shared" si="2608"/>
        <v>0</v>
      </c>
      <c r="DH403" s="72" t="e">
        <f t="shared" si="2635"/>
        <v>#DIV/0!</v>
      </c>
      <c r="DI403" s="72" t="e">
        <f t="shared" si="2636"/>
        <v>#DIV/0!</v>
      </c>
      <c r="DJ403" s="73">
        <f>SUM(AV400:AV403,BB400:BB403,BI400:BI403)</f>
        <v>0</v>
      </c>
      <c r="DK403" s="218">
        <v>0</v>
      </c>
      <c r="DL403" s="190"/>
    </row>
    <row r="404" spans="22:116" x14ac:dyDescent="0.25">
      <c r="V404" s="13"/>
      <c r="W404" s="66">
        <v>4</v>
      </c>
      <c r="X404" s="66">
        <v>2008</v>
      </c>
      <c r="Y404" s="69">
        <v>0</v>
      </c>
      <c r="Z404" s="69">
        <v>0</v>
      </c>
      <c r="AA404" s="69">
        <v>0</v>
      </c>
      <c r="AB404" s="69">
        <v>0</v>
      </c>
      <c r="AC404" s="69">
        <v>0</v>
      </c>
      <c r="AD404" s="69">
        <v>0</v>
      </c>
      <c r="AE404" s="69">
        <v>0</v>
      </c>
      <c r="AF404" s="69">
        <v>0</v>
      </c>
      <c r="AG404" s="69">
        <v>0</v>
      </c>
      <c r="AH404" s="69">
        <v>0</v>
      </c>
      <c r="AI404" s="69">
        <v>0</v>
      </c>
      <c r="AJ404" s="69">
        <v>0</v>
      </c>
      <c r="AK404" s="69">
        <v>0</v>
      </c>
      <c r="AL404" s="69">
        <v>0</v>
      </c>
      <c r="AM404" s="69">
        <v>0</v>
      </c>
      <c r="AN404" s="69">
        <v>0</v>
      </c>
      <c r="AO404" s="69">
        <v>0</v>
      </c>
      <c r="AP404" s="190"/>
      <c r="AQ404" s="66">
        <v>4</v>
      </c>
      <c r="AR404" s="66">
        <v>2008</v>
      </c>
      <c r="AS404" s="215">
        <f t="shared" si="2586"/>
        <v>0</v>
      </c>
      <c r="AT404" s="215">
        <f t="shared" si="2587"/>
        <v>0</v>
      </c>
      <c r="AU404" s="215">
        <f t="shared" si="2588"/>
        <v>0</v>
      </c>
      <c r="AV404" s="215">
        <f t="shared" si="2589"/>
        <v>0</v>
      </c>
      <c r="AW404" s="215">
        <f t="shared" si="2590"/>
        <v>0</v>
      </c>
      <c r="AX404" s="215">
        <f t="shared" si="2591"/>
        <v>0</v>
      </c>
      <c r="AY404" s="215">
        <f t="shared" si="2592"/>
        <v>0</v>
      </c>
      <c r="AZ404" s="215">
        <f t="shared" si="2593"/>
        <v>0</v>
      </c>
      <c r="BA404" s="215">
        <f t="shared" si="2594"/>
        <v>0</v>
      </c>
      <c r="BB404" s="215">
        <f t="shared" si="2595"/>
        <v>0</v>
      </c>
      <c r="BC404" s="215">
        <f t="shared" si="2596"/>
        <v>0</v>
      </c>
      <c r="BD404" s="215">
        <f t="shared" si="2597"/>
        <v>0</v>
      </c>
      <c r="BE404" s="215">
        <f t="shared" si="2598"/>
        <v>0</v>
      </c>
      <c r="BF404" s="215">
        <f t="shared" si="2599"/>
        <v>0</v>
      </c>
      <c r="BG404" s="215">
        <f t="shared" si="2600"/>
        <v>0</v>
      </c>
      <c r="BH404" s="215">
        <f t="shared" si="2601"/>
        <v>0</v>
      </c>
      <c r="BI404" s="215">
        <f t="shared" si="2602"/>
        <v>0</v>
      </c>
      <c r="BJ404" s="195"/>
      <c r="BK404" s="66">
        <v>4</v>
      </c>
      <c r="BL404" s="66">
        <v>2008</v>
      </c>
      <c r="BM404" s="215">
        <f t="shared" si="2609"/>
        <v>0</v>
      </c>
      <c r="BN404" s="219">
        <f t="shared" si="2610"/>
        <v>0</v>
      </c>
      <c r="BO404" s="219">
        <f t="shared" si="2611"/>
        <v>0</v>
      </c>
      <c r="BP404" s="219">
        <f t="shared" si="2637"/>
        <v>0</v>
      </c>
      <c r="BQ404" s="219">
        <f t="shared" si="2612"/>
        <v>0</v>
      </c>
      <c r="BR404" s="220">
        <f t="shared" si="2638"/>
        <v>0</v>
      </c>
      <c r="BS404" s="219">
        <f t="shared" si="2639"/>
        <v>0</v>
      </c>
      <c r="BT404" s="219">
        <f t="shared" si="2640"/>
        <v>0</v>
      </c>
      <c r="BU404" s="219">
        <f t="shared" si="2641"/>
        <v>0</v>
      </c>
      <c r="BV404" s="219">
        <f t="shared" si="2642"/>
        <v>0</v>
      </c>
      <c r="BW404" s="219">
        <f t="shared" si="2643"/>
        <v>0</v>
      </c>
      <c r="BX404" s="220">
        <f t="shared" si="2644"/>
        <v>0</v>
      </c>
      <c r="BY404" s="195"/>
      <c r="BZ404" s="66">
        <v>4</v>
      </c>
      <c r="CA404" s="66">
        <v>2008</v>
      </c>
      <c r="CB404" s="218">
        <f>pAsympt_NoCare_Asympt_Dead_2007_2009*AS403</f>
        <v>0</v>
      </c>
      <c r="CC404" s="218">
        <f t="shared" si="2613"/>
        <v>0</v>
      </c>
      <c r="CD404" s="73">
        <f t="shared" si="2614"/>
        <v>0</v>
      </c>
      <c r="CE404" s="73">
        <f>pInt_NoCare_Int_Dead_2007_2009*AW403</f>
        <v>0</v>
      </c>
      <c r="CF404" s="73">
        <f t="shared" si="2615"/>
        <v>0</v>
      </c>
      <c r="CG404" s="73">
        <f t="shared" si="2616"/>
        <v>0</v>
      </c>
      <c r="CH404" s="73">
        <f t="shared" si="2617"/>
        <v>0</v>
      </c>
      <c r="CI404" s="73">
        <f t="shared" si="2618"/>
        <v>0</v>
      </c>
      <c r="CJ404" s="73">
        <f t="shared" si="2619"/>
        <v>0</v>
      </c>
      <c r="CK404" s="73">
        <f t="shared" si="2620"/>
        <v>0</v>
      </c>
      <c r="CL404" s="73">
        <f t="shared" si="2621"/>
        <v>0</v>
      </c>
      <c r="CM404" s="73">
        <f>pAIDS_NoCare_AIDS_Dead_2007_2009*BC403</f>
        <v>0</v>
      </c>
      <c r="CN404" s="73">
        <f t="shared" si="2623"/>
        <v>0</v>
      </c>
      <c r="CO404" s="73">
        <f t="shared" si="2624"/>
        <v>0</v>
      </c>
      <c r="CP404" s="73">
        <f t="shared" si="2625"/>
        <v>0</v>
      </c>
      <c r="CQ404" s="73">
        <f t="shared" si="2626"/>
        <v>0</v>
      </c>
      <c r="CR404" s="73">
        <f t="shared" si="2627"/>
        <v>0</v>
      </c>
      <c r="CS404" s="73">
        <f t="shared" si="2628"/>
        <v>0</v>
      </c>
      <c r="CT404" s="73">
        <f t="shared" si="2629"/>
        <v>0</v>
      </c>
      <c r="CU404" s="73">
        <f t="shared" si="2630"/>
        <v>0</v>
      </c>
      <c r="CV404" s="73">
        <f t="shared" si="2631"/>
        <v>0</v>
      </c>
      <c r="CW404" s="73">
        <f t="shared" si="2632"/>
        <v>0</v>
      </c>
      <c r="CX404" s="73">
        <f t="shared" si="2633"/>
        <v>0</v>
      </c>
      <c r="CY404" s="73">
        <f t="shared" si="2634"/>
        <v>0</v>
      </c>
      <c r="CZ404" s="190"/>
      <c r="DA404" s="66">
        <v>2008</v>
      </c>
      <c r="DB404" s="218">
        <f t="shared" si="2603"/>
        <v>0</v>
      </c>
      <c r="DC404" s="218">
        <f t="shared" si="2604"/>
        <v>0</v>
      </c>
      <c r="DD404" s="73">
        <f t="shared" si="2605"/>
        <v>0</v>
      </c>
      <c r="DE404" s="73">
        <f t="shared" si="2606"/>
        <v>0</v>
      </c>
      <c r="DF404" s="73">
        <f t="shared" si="2607"/>
        <v>0</v>
      </c>
      <c r="DG404" s="73">
        <f t="shared" si="2608"/>
        <v>0</v>
      </c>
      <c r="DH404" s="72" t="e">
        <f t="shared" si="2635"/>
        <v>#DIV/0!</v>
      </c>
      <c r="DI404" s="72" t="e">
        <f t="shared" si="2636"/>
        <v>#DIV/0!</v>
      </c>
      <c r="DJ404" s="73">
        <f>SUM(AV400:AV404,BB400:BB404,BI400:BI404)</f>
        <v>0</v>
      </c>
      <c r="DK404" s="218">
        <v>0</v>
      </c>
      <c r="DL404" s="190"/>
    </row>
    <row r="405" spans="22:116" x14ac:dyDescent="0.25">
      <c r="V405" s="13"/>
      <c r="W405" s="66">
        <v>5</v>
      </c>
      <c r="X405" s="66">
        <v>2009</v>
      </c>
      <c r="Y405" s="69">
        <v>0</v>
      </c>
      <c r="Z405" s="69">
        <v>0</v>
      </c>
      <c r="AA405" s="69">
        <v>0</v>
      </c>
      <c r="AB405" s="69">
        <v>0</v>
      </c>
      <c r="AC405" s="69">
        <v>0</v>
      </c>
      <c r="AD405" s="69">
        <v>0</v>
      </c>
      <c r="AE405" s="69">
        <v>0</v>
      </c>
      <c r="AF405" s="69">
        <v>0</v>
      </c>
      <c r="AG405" s="69">
        <v>0</v>
      </c>
      <c r="AH405" s="69">
        <v>0</v>
      </c>
      <c r="AI405" s="69">
        <v>0</v>
      </c>
      <c r="AJ405" s="69">
        <v>0</v>
      </c>
      <c r="AK405" s="69">
        <v>0</v>
      </c>
      <c r="AL405" s="69">
        <v>0</v>
      </c>
      <c r="AM405" s="69">
        <v>0</v>
      </c>
      <c r="AN405" s="69">
        <v>0</v>
      </c>
      <c r="AO405" s="69">
        <v>0</v>
      </c>
      <c r="AP405" s="190"/>
      <c r="AQ405" s="66">
        <v>5</v>
      </c>
      <c r="AR405" s="66">
        <v>2009</v>
      </c>
      <c r="AS405" s="215">
        <f t="shared" si="2586"/>
        <v>0</v>
      </c>
      <c r="AT405" s="215">
        <f t="shared" si="2587"/>
        <v>0</v>
      </c>
      <c r="AU405" s="215">
        <f t="shared" si="2588"/>
        <v>0</v>
      </c>
      <c r="AV405" s="215">
        <f t="shared" si="2589"/>
        <v>0</v>
      </c>
      <c r="AW405" s="215">
        <f t="shared" si="2590"/>
        <v>0</v>
      </c>
      <c r="AX405" s="215">
        <f t="shared" si="2591"/>
        <v>0</v>
      </c>
      <c r="AY405" s="215">
        <f t="shared" si="2592"/>
        <v>0</v>
      </c>
      <c r="AZ405" s="215">
        <f t="shared" si="2593"/>
        <v>0</v>
      </c>
      <c r="BA405" s="215">
        <f t="shared" si="2594"/>
        <v>0</v>
      </c>
      <c r="BB405" s="215">
        <f t="shared" si="2595"/>
        <v>0</v>
      </c>
      <c r="BC405" s="215">
        <f t="shared" si="2596"/>
        <v>0</v>
      </c>
      <c r="BD405" s="215">
        <f t="shared" si="2597"/>
        <v>0</v>
      </c>
      <c r="BE405" s="215">
        <f t="shared" si="2598"/>
        <v>0</v>
      </c>
      <c r="BF405" s="215">
        <f t="shared" si="2599"/>
        <v>0</v>
      </c>
      <c r="BG405" s="215">
        <f t="shared" si="2600"/>
        <v>0</v>
      </c>
      <c r="BH405" s="215">
        <f t="shared" si="2601"/>
        <v>0</v>
      </c>
      <c r="BI405" s="215">
        <f t="shared" si="2602"/>
        <v>0</v>
      </c>
      <c r="BJ405" s="195"/>
      <c r="BK405" s="66">
        <v>5</v>
      </c>
      <c r="BL405" s="66">
        <v>2009</v>
      </c>
      <c r="BM405" s="215">
        <f t="shared" si="2609"/>
        <v>0</v>
      </c>
      <c r="BN405" s="219">
        <f t="shared" si="2610"/>
        <v>0</v>
      </c>
      <c r="BO405" s="219">
        <f t="shared" si="2611"/>
        <v>0</v>
      </c>
      <c r="BP405" s="219">
        <f t="shared" si="2637"/>
        <v>0</v>
      </c>
      <c r="BQ405" s="219">
        <f t="shared" si="2612"/>
        <v>0</v>
      </c>
      <c r="BR405" s="220">
        <f t="shared" si="2638"/>
        <v>0</v>
      </c>
      <c r="BS405" s="219">
        <f t="shared" si="2639"/>
        <v>0</v>
      </c>
      <c r="BT405" s="219">
        <f t="shared" si="2640"/>
        <v>0</v>
      </c>
      <c r="BU405" s="219">
        <f t="shared" si="2641"/>
        <v>0</v>
      </c>
      <c r="BV405" s="219">
        <f t="shared" si="2642"/>
        <v>0</v>
      </c>
      <c r="BW405" s="219">
        <f t="shared" si="2643"/>
        <v>0</v>
      </c>
      <c r="BX405" s="220">
        <f t="shared" si="2644"/>
        <v>0</v>
      </c>
      <c r="BY405" s="195"/>
      <c r="BZ405" s="66">
        <v>5</v>
      </c>
      <c r="CA405" s="66">
        <v>2009</v>
      </c>
      <c r="CB405" s="218">
        <f>pAsympt_NoCare_Asympt_Dead_2007_2009*AS404</f>
        <v>0</v>
      </c>
      <c r="CC405" s="218">
        <f t="shared" si="2613"/>
        <v>0</v>
      </c>
      <c r="CD405" s="73">
        <f t="shared" si="2614"/>
        <v>0</v>
      </c>
      <c r="CE405" s="73">
        <f>pInt_NoCare_Int_Dead_2007_2009*AW404</f>
        <v>0</v>
      </c>
      <c r="CF405" s="73">
        <f t="shared" si="2615"/>
        <v>0</v>
      </c>
      <c r="CG405" s="73">
        <f t="shared" si="2616"/>
        <v>0</v>
      </c>
      <c r="CH405" s="73">
        <f t="shared" si="2617"/>
        <v>0</v>
      </c>
      <c r="CI405" s="73">
        <f t="shared" si="2618"/>
        <v>0</v>
      </c>
      <c r="CJ405" s="73">
        <f t="shared" si="2619"/>
        <v>0</v>
      </c>
      <c r="CK405" s="73">
        <f t="shared" si="2620"/>
        <v>0</v>
      </c>
      <c r="CL405" s="73">
        <f t="shared" si="2621"/>
        <v>0</v>
      </c>
      <c r="CM405" s="73">
        <f>pAIDS_NoCare_AIDS_Dead_2007_2009*BC404</f>
        <v>0</v>
      </c>
      <c r="CN405" s="73">
        <f t="shared" si="2623"/>
        <v>0</v>
      </c>
      <c r="CO405" s="73">
        <f t="shared" si="2624"/>
        <v>0</v>
      </c>
      <c r="CP405" s="73">
        <f t="shared" si="2625"/>
        <v>0</v>
      </c>
      <c r="CQ405" s="73">
        <f t="shared" si="2626"/>
        <v>0</v>
      </c>
      <c r="CR405" s="73">
        <f t="shared" si="2627"/>
        <v>0</v>
      </c>
      <c r="CS405" s="73">
        <f t="shared" si="2628"/>
        <v>0</v>
      </c>
      <c r="CT405" s="73">
        <f t="shared" si="2629"/>
        <v>0</v>
      </c>
      <c r="CU405" s="73">
        <f t="shared" si="2630"/>
        <v>0</v>
      </c>
      <c r="CV405" s="73">
        <f t="shared" si="2631"/>
        <v>0</v>
      </c>
      <c r="CW405" s="73">
        <f t="shared" si="2632"/>
        <v>0</v>
      </c>
      <c r="CX405" s="73">
        <f t="shared" si="2633"/>
        <v>0</v>
      </c>
      <c r="CY405" s="73">
        <f t="shared" si="2634"/>
        <v>0</v>
      </c>
      <c r="CZ405" s="190"/>
      <c r="DA405" s="66">
        <v>2009</v>
      </c>
      <c r="DB405" s="218">
        <f t="shared" si="2603"/>
        <v>0</v>
      </c>
      <c r="DC405" s="218">
        <f t="shared" si="2604"/>
        <v>0</v>
      </c>
      <c r="DD405" s="73">
        <f t="shared" si="2605"/>
        <v>0</v>
      </c>
      <c r="DE405" s="73">
        <f t="shared" si="2606"/>
        <v>0</v>
      </c>
      <c r="DF405" s="73">
        <f t="shared" si="2607"/>
        <v>0</v>
      </c>
      <c r="DG405" s="73">
        <f t="shared" si="2608"/>
        <v>0</v>
      </c>
      <c r="DH405" s="72" t="e">
        <f t="shared" si="2635"/>
        <v>#DIV/0!</v>
      </c>
      <c r="DI405" s="72" t="e">
        <f t="shared" si="2636"/>
        <v>#DIV/0!</v>
      </c>
      <c r="DJ405" s="73">
        <f>SUM(AV400:AV405,BB400:BB405,BI400:BI405)</f>
        <v>0</v>
      </c>
      <c r="DK405" s="218">
        <v>0</v>
      </c>
      <c r="DL405" s="190"/>
    </row>
    <row r="406" spans="22:116" x14ac:dyDescent="0.25">
      <c r="V406" s="13"/>
      <c r="W406" s="66">
        <v>6</v>
      </c>
      <c r="X406" s="66">
        <v>2010</v>
      </c>
      <c r="Y406" s="69">
        <v>0</v>
      </c>
      <c r="Z406" s="69">
        <v>0</v>
      </c>
      <c r="AA406" s="69">
        <v>0</v>
      </c>
      <c r="AB406" s="69">
        <v>0</v>
      </c>
      <c r="AC406" s="69">
        <v>0</v>
      </c>
      <c r="AD406" s="69">
        <v>0</v>
      </c>
      <c r="AE406" s="69">
        <v>0</v>
      </c>
      <c r="AF406" s="69">
        <v>0</v>
      </c>
      <c r="AG406" s="69">
        <v>0</v>
      </c>
      <c r="AH406" s="69">
        <v>0</v>
      </c>
      <c r="AI406" s="69">
        <v>0</v>
      </c>
      <c r="AJ406" s="69">
        <v>0</v>
      </c>
      <c r="AK406" s="69">
        <v>0</v>
      </c>
      <c r="AL406" s="69">
        <v>0</v>
      </c>
      <c r="AM406" s="69">
        <v>0</v>
      </c>
      <c r="AN406" s="69">
        <v>0</v>
      </c>
      <c r="AO406" s="69">
        <v>0</v>
      </c>
      <c r="AP406" s="190"/>
      <c r="AQ406" s="66">
        <v>6</v>
      </c>
      <c r="AR406" s="66">
        <v>2010</v>
      </c>
      <c r="AS406" s="215">
        <f t="shared" si="2586"/>
        <v>0</v>
      </c>
      <c r="AT406" s="215">
        <f t="shared" si="2587"/>
        <v>0</v>
      </c>
      <c r="AU406" s="215">
        <f t="shared" si="2588"/>
        <v>0</v>
      </c>
      <c r="AV406" s="215">
        <f t="shared" si="2589"/>
        <v>0</v>
      </c>
      <c r="AW406" s="215">
        <f t="shared" si="2590"/>
        <v>0</v>
      </c>
      <c r="AX406" s="215">
        <f t="shared" si="2591"/>
        <v>0</v>
      </c>
      <c r="AY406" s="215">
        <f t="shared" si="2592"/>
        <v>0</v>
      </c>
      <c r="AZ406" s="215">
        <f t="shared" si="2593"/>
        <v>0</v>
      </c>
      <c r="BA406" s="215">
        <f t="shared" si="2594"/>
        <v>0</v>
      </c>
      <c r="BB406" s="215">
        <f t="shared" si="2595"/>
        <v>0</v>
      </c>
      <c r="BC406" s="215">
        <f t="shared" si="2596"/>
        <v>0</v>
      </c>
      <c r="BD406" s="215">
        <f t="shared" si="2597"/>
        <v>0</v>
      </c>
      <c r="BE406" s="215">
        <f t="shared" si="2598"/>
        <v>0</v>
      </c>
      <c r="BF406" s="215">
        <f t="shared" si="2599"/>
        <v>0</v>
      </c>
      <c r="BG406" s="215">
        <f t="shared" si="2600"/>
        <v>0</v>
      </c>
      <c r="BH406" s="215">
        <f t="shared" si="2601"/>
        <v>0</v>
      </c>
      <c r="BI406" s="215">
        <f t="shared" si="2602"/>
        <v>0</v>
      </c>
      <c r="BJ406" s="195"/>
      <c r="BK406" s="66">
        <v>6</v>
      </c>
      <c r="BL406" s="66">
        <v>2010</v>
      </c>
      <c r="BM406" s="215">
        <f t="shared" si="2609"/>
        <v>0</v>
      </c>
      <c r="BN406" s="219">
        <f t="shared" si="2610"/>
        <v>0</v>
      </c>
      <c r="BO406" s="219">
        <f t="shared" si="2611"/>
        <v>0</v>
      </c>
      <c r="BP406" s="219">
        <f t="shared" si="2637"/>
        <v>0</v>
      </c>
      <c r="BQ406" s="219">
        <f t="shared" si="2612"/>
        <v>0</v>
      </c>
      <c r="BR406" s="220">
        <f t="shared" si="2638"/>
        <v>0</v>
      </c>
      <c r="BS406" s="219">
        <f t="shared" si="2639"/>
        <v>0</v>
      </c>
      <c r="BT406" s="219">
        <f t="shared" si="2640"/>
        <v>0</v>
      </c>
      <c r="BU406" s="219">
        <f t="shared" si="2641"/>
        <v>0</v>
      </c>
      <c r="BV406" s="219">
        <f t="shared" si="2642"/>
        <v>0</v>
      </c>
      <c r="BW406" s="219">
        <f t="shared" si="2643"/>
        <v>0</v>
      </c>
      <c r="BX406" s="220">
        <f t="shared" si="2644"/>
        <v>0</v>
      </c>
      <c r="BY406" s="195"/>
      <c r="BZ406" s="66">
        <v>6</v>
      </c>
      <c r="CA406" s="66">
        <v>2010</v>
      </c>
      <c r="CB406" s="218">
        <f>pAsympt_NoCare_Asympt_Dead_2010_2012*AS405</f>
        <v>0</v>
      </c>
      <c r="CC406" s="218">
        <f t="shared" si="2613"/>
        <v>0</v>
      </c>
      <c r="CD406" s="73">
        <f t="shared" si="2614"/>
        <v>0</v>
      </c>
      <c r="CE406" s="73">
        <f>pInt_NoCare_Int_Dead_2010_2012*AW405</f>
        <v>0</v>
      </c>
      <c r="CF406" s="73">
        <f t="shared" si="2615"/>
        <v>0</v>
      </c>
      <c r="CG406" s="73">
        <f t="shared" si="2616"/>
        <v>0</v>
      </c>
      <c r="CH406" s="73">
        <f t="shared" si="2617"/>
        <v>0</v>
      </c>
      <c r="CI406" s="73">
        <f t="shared" si="2618"/>
        <v>0</v>
      </c>
      <c r="CJ406" s="73">
        <f t="shared" si="2619"/>
        <v>0</v>
      </c>
      <c r="CK406" s="73">
        <f t="shared" si="2620"/>
        <v>0</v>
      </c>
      <c r="CL406" s="73">
        <f t="shared" si="2621"/>
        <v>0</v>
      </c>
      <c r="CM406" s="73">
        <f>pAIDS_NoCare_AIDS_Dead_2010_2012*BC405</f>
        <v>0</v>
      </c>
      <c r="CN406" s="73">
        <f t="shared" si="2623"/>
        <v>0</v>
      </c>
      <c r="CO406" s="73">
        <f t="shared" si="2624"/>
        <v>0</v>
      </c>
      <c r="CP406" s="73">
        <f t="shared" si="2625"/>
        <v>0</v>
      </c>
      <c r="CQ406" s="73">
        <f t="shared" si="2626"/>
        <v>0</v>
      </c>
      <c r="CR406" s="73">
        <f t="shared" si="2627"/>
        <v>0</v>
      </c>
      <c r="CS406" s="73">
        <f t="shared" si="2628"/>
        <v>0</v>
      </c>
      <c r="CT406" s="73">
        <f t="shared" si="2629"/>
        <v>0</v>
      </c>
      <c r="CU406" s="73">
        <f t="shared" si="2630"/>
        <v>0</v>
      </c>
      <c r="CV406" s="73">
        <f t="shared" si="2631"/>
        <v>0</v>
      </c>
      <c r="CW406" s="73">
        <f t="shared" si="2632"/>
        <v>0</v>
      </c>
      <c r="CX406" s="73">
        <f t="shared" si="2633"/>
        <v>0</v>
      </c>
      <c r="CY406" s="73">
        <f t="shared" si="2634"/>
        <v>0</v>
      </c>
      <c r="CZ406" s="190"/>
      <c r="DA406" s="66">
        <v>2010</v>
      </c>
      <c r="DB406" s="218">
        <f t="shared" si="2603"/>
        <v>0</v>
      </c>
      <c r="DC406" s="218">
        <f t="shared" si="2604"/>
        <v>0</v>
      </c>
      <c r="DD406" s="73">
        <f t="shared" si="2605"/>
        <v>0</v>
      </c>
      <c r="DE406" s="73">
        <f t="shared" si="2606"/>
        <v>0</v>
      </c>
      <c r="DF406" s="73">
        <f t="shared" si="2607"/>
        <v>0</v>
      </c>
      <c r="DG406" s="73">
        <f t="shared" si="2608"/>
        <v>0</v>
      </c>
      <c r="DH406" s="72" t="e">
        <f t="shared" si="2635"/>
        <v>#DIV/0!</v>
      </c>
      <c r="DI406" s="72" t="e">
        <f t="shared" si="2636"/>
        <v>#DIV/0!</v>
      </c>
      <c r="DJ406" s="73">
        <f>SUM(AV400:AV406,BB400:BB406,BI400:BI406)</f>
        <v>0</v>
      </c>
      <c r="DK406" s="218">
        <f>SUM(AV406,BB406,BI406)</f>
        <v>0</v>
      </c>
      <c r="DL406" s="190"/>
    </row>
    <row r="407" spans="22:116" x14ac:dyDescent="0.25">
      <c r="V407" s="13"/>
      <c r="W407" s="66">
        <v>7</v>
      </c>
      <c r="X407" s="66">
        <v>2011</v>
      </c>
      <c r="Y407" s="69">
        <v>0</v>
      </c>
      <c r="Z407" s="69">
        <v>0</v>
      </c>
      <c r="AA407" s="69">
        <v>0</v>
      </c>
      <c r="AB407" s="69">
        <v>0</v>
      </c>
      <c r="AC407" s="69">
        <v>0</v>
      </c>
      <c r="AD407" s="69">
        <v>0</v>
      </c>
      <c r="AE407" s="69">
        <v>0</v>
      </c>
      <c r="AF407" s="69">
        <v>0</v>
      </c>
      <c r="AG407" s="69">
        <v>0</v>
      </c>
      <c r="AH407" s="69">
        <v>0</v>
      </c>
      <c r="AI407" s="69">
        <v>0</v>
      </c>
      <c r="AJ407" s="69">
        <v>0</v>
      </c>
      <c r="AK407" s="69">
        <v>0</v>
      </c>
      <c r="AL407" s="69">
        <v>0</v>
      </c>
      <c r="AM407" s="69">
        <v>0</v>
      </c>
      <c r="AN407" s="69">
        <v>0</v>
      </c>
      <c r="AO407" s="69">
        <v>0</v>
      </c>
      <c r="AP407" s="190"/>
      <c r="AQ407" s="66">
        <v>7</v>
      </c>
      <c r="AR407" s="66">
        <v>2011</v>
      </c>
      <c r="AS407" s="215">
        <f t="shared" si="2586"/>
        <v>0</v>
      </c>
      <c r="AT407" s="215">
        <f t="shared" si="2587"/>
        <v>0</v>
      </c>
      <c r="AU407" s="215">
        <f t="shared" si="2588"/>
        <v>0</v>
      </c>
      <c r="AV407" s="215">
        <f t="shared" si="2589"/>
        <v>0</v>
      </c>
      <c r="AW407" s="215">
        <f t="shared" si="2590"/>
        <v>0</v>
      </c>
      <c r="AX407" s="215">
        <f t="shared" si="2591"/>
        <v>0</v>
      </c>
      <c r="AY407" s="215">
        <f t="shared" si="2592"/>
        <v>0</v>
      </c>
      <c r="AZ407" s="215">
        <f t="shared" si="2593"/>
        <v>0</v>
      </c>
      <c r="BA407" s="215">
        <f t="shared" si="2594"/>
        <v>0</v>
      </c>
      <c r="BB407" s="215">
        <f t="shared" si="2595"/>
        <v>0</v>
      </c>
      <c r="BC407" s="215">
        <f t="shared" si="2596"/>
        <v>0</v>
      </c>
      <c r="BD407" s="215">
        <f t="shared" si="2597"/>
        <v>0</v>
      </c>
      <c r="BE407" s="215">
        <f t="shared" si="2598"/>
        <v>0</v>
      </c>
      <c r="BF407" s="215">
        <f t="shared" si="2599"/>
        <v>0</v>
      </c>
      <c r="BG407" s="215">
        <f t="shared" si="2600"/>
        <v>0</v>
      </c>
      <c r="BH407" s="215">
        <f t="shared" si="2601"/>
        <v>0</v>
      </c>
      <c r="BI407" s="215">
        <f t="shared" si="2602"/>
        <v>0</v>
      </c>
      <c r="BJ407" s="195"/>
      <c r="BK407" s="66">
        <v>7</v>
      </c>
      <c r="BL407" s="66">
        <v>2011</v>
      </c>
      <c r="BM407" s="215">
        <f t="shared" si="2609"/>
        <v>0</v>
      </c>
      <c r="BN407" s="219">
        <f t="shared" si="2610"/>
        <v>0</v>
      </c>
      <c r="BO407" s="219">
        <f t="shared" si="2611"/>
        <v>0</v>
      </c>
      <c r="BP407" s="219">
        <f t="shared" si="2637"/>
        <v>0</v>
      </c>
      <c r="BQ407" s="219">
        <f t="shared" si="2612"/>
        <v>0</v>
      </c>
      <c r="BR407" s="220">
        <f t="shared" si="2638"/>
        <v>0</v>
      </c>
      <c r="BS407" s="219">
        <f t="shared" si="2639"/>
        <v>0</v>
      </c>
      <c r="BT407" s="219">
        <f t="shared" si="2640"/>
        <v>0</v>
      </c>
      <c r="BU407" s="219">
        <f t="shared" si="2641"/>
        <v>0</v>
      </c>
      <c r="BV407" s="219">
        <f t="shared" si="2642"/>
        <v>0</v>
      </c>
      <c r="BW407" s="219">
        <f t="shared" si="2643"/>
        <v>0</v>
      </c>
      <c r="BX407" s="220">
        <f t="shared" si="2644"/>
        <v>0</v>
      </c>
      <c r="BY407" s="195"/>
      <c r="BZ407" s="66">
        <v>7</v>
      </c>
      <c r="CA407" s="66">
        <v>2011</v>
      </c>
      <c r="CB407" s="218">
        <f>pAsympt_NoCare_Asympt_Dead_2010_2012*AS406</f>
        <v>0</v>
      </c>
      <c r="CC407" s="218">
        <f t="shared" si="2613"/>
        <v>0</v>
      </c>
      <c r="CD407" s="73">
        <f t="shared" si="2614"/>
        <v>0</v>
      </c>
      <c r="CE407" s="73">
        <f>pInt_NoCare_Int_Dead_2010_2012*AW406</f>
        <v>0</v>
      </c>
      <c r="CF407" s="73">
        <f t="shared" si="2615"/>
        <v>0</v>
      </c>
      <c r="CG407" s="73">
        <f t="shared" si="2616"/>
        <v>0</v>
      </c>
      <c r="CH407" s="73">
        <f t="shared" si="2617"/>
        <v>0</v>
      </c>
      <c r="CI407" s="73">
        <f t="shared" si="2618"/>
        <v>0</v>
      </c>
      <c r="CJ407" s="73">
        <f t="shared" si="2619"/>
        <v>0</v>
      </c>
      <c r="CK407" s="73">
        <f t="shared" si="2620"/>
        <v>0</v>
      </c>
      <c r="CL407" s="73">
        <f t="shared" si="2621"/>
        <v>0</v>
      </c>
      <c r="CM407" s="73">
        <f>pAIDS_NoCare_AIDS_Dead_2010_2012*BC406</f>
        <v>0</v>
      </c>
      <c r="CN407" s="73">
        <f t="shared" si="2623"/>
        <v>0</v>
      </c>
      <c r="CO407" s="73">
        <f t="shared" si="2624"/>
        <v>0</v>
      </c>
      <c r="CP407" s="73">
        <f t="shared" si="2625"/>
        <v>0</v>
      </c>
      <c r="CQ407" s="73">
        <f t="shared" si="2626"/>
        <v>0</v>
      </c>
      <c r="CR407" s="73">
        <f t="shared" si="2627"/>
        <v>0</v>
      </c>
      <c r="CS407" s="73">
        <f t="shared" si="2628"/>
        <v>0</v>
      </c>
      <c r="CT407" s="73">
        <f t="shared" si="2629"/>
        <v>0</v>
      </c>
      <c r="CU407" s="73">
        <f t="shared" si="2630"/>
        <v>0</v>
      </c>
      <c r="CV407" s="73">
        <f t="shared" si="2631"/>
        <v>0</v>
      </c>
      <c r="CW407" s="73">
        <f t="shared" si="2632"/>
        <v>0</v>
      </c>
      <c r="CX407" s="73">
        <f t="shared" si="2633"/>
        <v>0</v>
      </c>
      <c r="CY407" s="73">
        <f t="shared" si="2634"/>
        <v>0</v>
      </c>
      <c r="CZ407" s="190"/>
      <c r="DA407" s="66">
        <v>2011</v>
      </c>
      <c r="DB407" s="218">
        <f t="shared" si="2603"/>
        <v>0</v>
      </c>
      <c r="DC407" s="218">
        <f t="shared" si="2604"/>
        <v>0</v>
      </c>
      <c r="DD407" s="73">
        <f t="shared" si="2605"/>
        <v>0</v>
      </c>
      <c r="DE407" s="73">
        <f t="shared" si="2606"/>
        <v>0</v>
      </c>
      <c r="DF407" s="73">
        <f t="shared" si="2607"/>
        <v>0</v>
      </c>
      <c r="DG407" s="73">
        <f t="shared" si="2608"/>
        <v>0</v>
      </c>
      <c r="DH407" s="72" t="e">
        <f t="shared" si="2635"/>
        <v>#DIV/0!</v>
      </c>
      <c r="DI407" s="72" t="e">
        <f t="shared" si="2636"/>
        <v>#DIV/0!</v>
      </c>
      <c r="DJ407" s="73">
        <f>SUM(AV400:AV407,BB400:BB407,BI400:BI407)</f>
        <v>0</v>
      </c>
      <c r="DK407" s="218">
        <f>SUM(AV406:AV407,BB406:BB407,BI406:BI407)</f>
        <v>0</v>
      </c>
      <c r="DL407" s="190"/>
    </row>
    <row r="408" spans="22:116" x14ac:dyDescent="0.25">
      <c r="V408" s="13"/>
      <c r="W408" s="66">
        <v>8</v>
      </c>
      <c r="X408" s="66">
        <v>2012</v>
      </c>
      <c r="Y408" s="69">
        <v>0</v>
      </c>
      <c r="Z408" s="69">
        <v>0</v>
      </c>
      <c r="AA408" s="69">
        <v>0</v>
      </c>
      <c r="AB408" s="69">
        <v>0</v>
      </c>
      <c r="AC408" s="69">
        <v>0</v>
      </c>
      <c r="AD408" s="69">
        <v>0</v>
      </c>
      <c r="AE408" s="69">
        <v>0</v>
      </c>
      <c r="AF408" s="69">
        <v>0</v>
      </c>
      <c r="AG408" s="69">
        <v>0</v>
      </c>
      <c r="AH408" s="69">
        <v>0</v>
      </c>
      <c r="AI408" s="69">
        <v>0</v>
      </c>
      <c r="AJ408" s="69">
        <v>0</v>
      </c>
      <c r="AK408" s="69">
        <v>0</v>
      </c>
      <c r="AL408" s="69">
        <v>0</v>
      </c>
      <c r="AM408" s="69">
        <v>0</v>
      </c>
      <c r="AN408" s="69">
        <v>0</v>
      </c>
      <c r="AO408" s="69">
        <v>0</v>
      </c>
      <c r="AP408" s="190"/>
      <c r="AQ408" s="66">
        <v>8</v>
      </c>
      <c r="AR408" s="66">
        <v>2012</v>
      </c>
      <c r="AS408" s="215">
        <f t="shared" si="2586"/>
        <v>0</v>
      </c>
      <c r="AT408" s="215">
        <f t="shared" si="2587"/>
        <v>0</v>
      </c>
      <c r="AU408" s="215">
        <f t="shared" si="2588"/>
        <v>0</v>
      </c>
      <c r="AV408" s="215">
        <f t="shared" si="2589"/>
        <v>0</v>
      </c>
      <c r="AW408" s="215">
        <f t="shared" si="2590"/>
        <v>0</v>
      </c>
      <c r="AX408" s="215">
        <f t="shared" si="2591"/>
        <v>0</v>
      </c>
      <c r="AY408" s="215">
        <f t="shared" si="2592"/>
        <v>0</v>
      </c>
      <c r="AZ408" s="215">
        <f t="shared" si="2593"/>
        <v>0</v>
      </c>
      <c r="BA408" s="215">
        <f t="shared" si="2594"/>
        <v>0</v>
      </c>
      <c r="BB408" s="215">
        <f t="shared" si="2595"/>
        <v>0</v>
      </c>
      <c r="BC408" s="215">
        <f t="shared" si="2596"/>
        <v>0</v>
      </c>
      <c r="BD408" s="215">
        <f t="shared" si="2597"/>
        <v>0</v>
      </c>
      <c r="BE408" s="215">
        <f t="shared" si="2598"/>
        <v>0</v>
      </c>
      <c r="BF408" s="215">
        <f t="shared" si="2599"/>
        <v>0</v>
      </c>
      <c r="BG408" s="215">
        <f t="shared" si="2600"/>
        <v>0</v>
      </c>
      <c r="BH408" s="215">
        <f t="shared" si="2601"/>
        <v>0</v>
      </c>
      <c r="BI408" s="215">
        <f t="shared" si="2602"/>
        <v>0</v>
      </c>
      <c r="BJ408" s="195"/>
      <c r="BK408" s="66">
        <v>8</v>
      </c>
      <c r="BL408" s="66">
        <v>2012</v>
      </c>
      <c r="BM408" s="215">
        <f t="shared" si="2609"/>
        <v>0</v>
      </c>
      <c r="BN408" s="219">
        <f t="shared" si="2610"/>
        <v>0</v>
      </c>
      <c r="BO408" s="219">
        <f t="shared" si="2611"/>
        <v>0</v>
      </c>
      <c r="BP408" s="219">
        <f t="shared" si="2637"/>
        <v>0</v>
      </c>
      <c r="BQ408" s="219">
        <f t="shared" si="2612"/>
        <v>0</v>
      </c>
      <c r="BR408" s="220">
        <f t="shared" si="2638"/>
        <v>0</v>
      </c>
      <c r="BS408" s="219">
        <f t="shared" si="2639"/>
        <v>0</v>
      </c>
      <c r="BT408" s="219">
        <f t="shared" si="2640"/>
        <v>0</v>
      </c>
      <c r="BU408" s="219">
        <f t="shared" si="2641"/>
        <v>0</v>
      </c>
      <c r="BV408" s="219">
        <f t="shared" si="2642"/>
        <v>0</v>
      </c>
      <c r="BW408" s="219">
        <f t="shared" si="2643"/>
        <v>0</v>
      </c>
      <c r="BX408" s="220">
        <f t="shared" si="2644"/>
        <v>0</v>
      </c>
      <c r="BY408" s="195"/>
      <c r="BZ408" s="66">
        <v>8</v>
      </c>
      <c r="CA408" s="66">
        <v>2012</v>
      </c>
      <c r="CB408" s="218">
        <f>pAsympt_NoCare_Asympt_Dead_2010_2012*AS407</f>
        <v>0</v>
      </c>
      <c r="CC408" s="218">
        <f t="shared" si="2613"/>
        <v>0</v>
      </c>
      <c r="CD408" s="73">
        <f t="shared" si="2614"/>
        <v>0</v>
      </c>
      <c r="CE408" s="73">
        <f>pInt_NoCare_Int_Dead_2010_2012*AW407</f>
        <v>0</v>
      </c>
      <c r="CF408" s="73">
        <f t="shared" si="2615"/>
        <v>0</v>
      </c>
      <c r="CG408" s="73">
        <f t="shared" si="2616"/>
        <v>0</v>
      </c>
      <c r="CH408" s="73">
        <f t="shared" si="2617"/>
        <v>0</v>
      </c>
      <c r="CI408" s="73">
        <f t="shared" si="2618"/>
        <v>0</v>
      </c>
      <c r="CJ408" s="73">
        <f t="shared" si="2619"/>
        <v>0</v>
      </c>
      <c r="CK408" s="73">
        <f t="shared" si="2620"/>
        <v>0</v>
      </c>
      <c r="CL408" s="73">
        <f t="shared" si="2621"/>
        <v>0</v>
      </c>
      <c r="CM408" s="73">
        <f>pAIDS_NoCare_AIDS_Dead_2010_2012*BC407</f>
        <v>0</v>
      </c>
      <c r="CN408" s="73">
        <f t="shared" si="2623"/>
        <v>0</v>
      </c>
      <c r="CO408" s="73">
        <f t="shared" si="2624"/>
        <v>0</v>
      </c>
      <c r="CP408" s="73">
        <f t="shared" si="2625"/>
        <v>0</v>
      </c>
      <c r="CQ408" s="73">
        <f t="shared" si="2626"/>
        <v>0</v>
      </c>
      <c r="CR408" s="73">
        <f t="shared" si="2627"/>
        <v>0</v>
      </c>
      <c r="CS408" s="73">
        <f t="shared" si="2628"/>
        <v>0</v>
      </c>
      <c r="CT408" s="73">
        <f t="shared" si="2629"/>
        <v>0</v>
      </c>
      <c r="CU408" s="73">
        <f t="shared" si="2630"/>
        <v>0</v>
      </c>
      <c r="CV408" s="73">
        <f t="shared" si="2631"/>
        <v>0</v>
      </c>
      <c r="CW408" s="73">
        <f t="shared" si="2632"/>
        <v>0</v>
      </c>
      <c r="CX408" s="73">
        <f t="shared" si="2633"/>
        <v>0</v>
      </c>
      <c r="CY408" s="73">
        <f t="shared" si="2634"/>
        <v>0</v>
      </c>
      <c r="CZ408" s="190"/>
      <c r="DA408" s="66">
        <v>2012</v>
      </c>
      <c r="DB408" s="218">
        <f t="shared" si="2603"/>
        <v>0</v>
      </c>
      <c r="DC408" s="218">
        <f t="shared" si="2604"/>
        <v>0</v>
      </c>
      <c r="DD408" s="73">
        <f t="shared" si="2605"/>
        <v>0</v>
      </c>
      <c r="DE408" s="73">
        <f t="shared" si="2606"/>
        <v>0</v>
      </c>
      <c r="DF408" s="73">
        <f t="shared" si="2607"/>
        <v>0</v>
      </c>
      <c r="DG408" s="73">
        <f t="shared" si="2608"/>
        <v>0</v>
      </c>
      <c r="DH408" s="72" t="e">
        <f t="shared" si="2635"/>
        <v>#DIV/0!</v>
      </c>
      <c r="DI408" s="72" t="e">
        <f t="shared" si="2636"/>
        <v>#DIV/0!</v>
      </c>
      <c r="DJ408" s="73">
        <f>SUM(AV400:AV408,BB400:BB408,BI400:BI408)</f>
        <v>0</v>
      </c>
      <c r="DK408" s="73">
        <f>SUM(AV406:AV408,BB406:BB408,BI406:BI408)</f>
        <v>0</v>
      </c>
      <c r="DL408" s="190"/>
    </row>
    <row r="409" spans="22:116" x14ac:dyDescent="0.25">
      <c r="V409" s="13"/>
      <c r="W409" s="66">
        <v>9</v>
      </c>
      <c r="X409" s="66">
        <v>2013</v>
      </c>
      <c r="Y409" s="69">
        <v>0</v>
      </c>
      <c r="Z409" s="69">
        <v>0</v>
      </c>
      <c r="AA409" s="69">
        <v>0</v>
      </c>
      <c r="AB409" s="69">
        <v>0</v>
      </c>
      <c r="AC409" s="69">
        <v>0</v>
      </c>
      <c r="AD409" s="69">
        <v>0</v>
      </c>
      <c r="AE409" s="69">
        <v>0</v>
      </c>
      <c r="AF409" s="69">
        <v>0</v>
      </c>
      <c r="AG409" s="69">
        <v>0</v>
      </c>
      <c r="AH409" s="69">
        <v>0</v>
      </c>
      <c r="AI409" s="69">
        <v>0</v>
      </c>
      <c r="AJ409" s="69">
        <v>0</v>
      </c>
      <c r="AK409" s="69">
        <v>0</v>
      </c>
      <c r="AL409" s="69">
        <v>0</v>
      </c>
      <c r="AM409" s="69">
        <v>0</v>
      </c>
      <c r="AN409" s="69">
        <v>0</v>
      </c>
      <c r="AO409" s="69">
        <v>0</v>
      </c>
      <c r="AP409" s="190"/>
      <c r="AQ409" s="66">
        <v>9</v>
      </c>
      <c r="AR409" s="66">
        <v>2013</v>
      </c>
      <c r="AS409" s="215">
        <f t="shared" si="2586"/>
        <v>0</v>
      </c>
      <c r="AT409" s="215">
        <f t="shared" si="2587"/>
        <v>0</v>
      </c>
      <c r="AU409" s="215">
        <f t="shared" si="2588"/>
        <v>0</v>
      </c>
      <c r="AV409" s="215">
        <f t="shared" si="2589"/>
        <v>0</v>
      </c>
      <c r="AW409" s="215">
        <f t="shared" si="2590"/>
        <v>0</v>
      </c>
      <c r="AX409" s="215">
        <f t="shared" si="2591"/>
        <v>0</v>
      </c>
      <c r="AY409" s="215">
        <f t="shared" si="2592"/>
        <v>0</v>
      </c>
      <c r="AZ409" s="215">
        <f t="shared" si="2593"/>
        <v>0</v>
      </c>
      <c r="BA409" s="215">
        <f t="shared" si="2594"/>
        <v>0</v>
      </c>
      <c r="BB409" s="215">
        <f t="shared" si="2595"/>
        <v>0</v>
      </c>
      <c r="BC409" s="215">
        <f t="shared" si="2596"/>
        <v>0</v>
      </c>
      <c r="BD409" s="215">
        <f t="shared" si="2597"/>
        <v>0</v>
      </c>
      <c r="BE409" s="215">
        <f t="shared" si="2598"/>
        <v>0</v>
      </c>
      <c r="BF409" s="215">
        <f t="shared" si="2599"/>
        <v>0</v>
      </c>
      <c r="BG409" s="215">
        <f t="shared" si="2600"/>
        <v>0</v>
      </c>
      <c r="BH409" s="215">
        <f t="shared" si="2601"/>
        <v>0</v>
      </c>
      <c r="BI409" s="215">
        <f t="shared" si="2602"/>
        <v>0</v>
      </c>
      <c r="BJ409" s="195"/>
      <c r="BK409" s="66">
        <v>9</v>
      </c>
      <c r="BL409" s="66">
        <v>2013</v>
      </c>
      <c r="BM409" s="215">
        <f t="shared" ref="BM409:BM419" si="2645">(AX408*pInt_InCare_Int_LTFU_2013plus_u)+(BM408*pInt_LTFU_2013plus_u)</f>
        <v>0</v>
      </c>
      <c r="BN409" s="219">
        <f t="shared" ref="BN409:BN419" si="2646">(AU408*pAsympt_LTFU_Int_LTFU_2013plus_u)+(BN408*pInt_LTFU_2013plus_u)</f>
        <v>0</v>
      </c>
      <c r="BO409" s="219">
        <f t="shared" ref="BO409:BO419" si="2647">(AY408*pInt_ART1_Int_LTFU_2013plus_u)+(BO408*pInt_LTFU_2013plus_u)</f>
        <v>0</v>
      </c>
      <c r="BP409" s="219">
        <f t="shared" ref="BP409:BP419" si="2648">(AZ408*pInt_ART2_Int_LTFU_2013plus_u)+(BP408*pInt_LTFU_2013plus_u)</f>
        <v>0</v>
      </c>
      <c r="BQ409" s="219">
        <f t="shared" ref="BQ409:BQ419" si="2649">(BD408*pAIDS_InCare_AIDS_LTFU_2013plus_u)+(BQ408*pAIDS_LTFU_2013plus_u)</f>
        <v>0</v>
      </c>
      <c r="BR409" s="220">
        <f t="shared" ref="BR409:BR419" si="2650">(BN408*pInt_LTFU_AIDS_LTFU_2013plus_u)+(BR408*pAIDS_LTFU_2013plus_u)</f>
        <v>0</v>
      </c>
      <c r="BS409" s="219">
        <f t="shared" ref="BS409:BS419" si="2651">(BM408*pInt_LTFU_AIDS_LTFU_2013plus_u)+(BS408*pAIDS_LTFU_2013plus_u)</f>
        <v>0</v>
      </c>
      <c r="BT409" s="219">
        <f t="shared" ref="BT409:BT419" si="2652">(BE408*pAIDS_ART1ear_AIDS_LTFU_2013plus_u)+(BT408*pAIDS_LTFU_2013plus_u)</f>
        <v>0</v>
      </c>
      <c r="BU409" s="219">
        <f t="shared" ref="BU409:BU419" si="2653">(BF408*pAIDS_ART1late_AIDS_LTFU_2013plus_u)+(BU408*pAIDS_LTFU_2013plus_u)</f>
        <v>0</v>
      </c>
      <c r="BV409" s="219">
        <f t="shared" ref="BV409:BV419" si="2654">(BO408*pInt_LTFU_AIDS_LTFU_2013plus_u)+(BV408*pAIDS_LTFU_2013plus_u)</f>
        <v>0</v>
      </c>
      <c r="BW409" s="219">
        <f t="shared" ref="BW409:BW419" si="2655">(BG408*pAIDS_ART2_AIDS_LTFU_2013plus_u)+(BW408*pAIDS_LTFU_2013plus_u)</f>
        <v>0</v>
      </c>
      <c r="BX409" s="220">
        <f t="shared" ref="BX409:BX419" si="2656">(BP408*pInt_LTFU_AIDS_LTFU_2013plus_u)+(BX408*pAIDS_LTFU_2013plus_u)</f>
        <v>0</v>
      </c>
      <c r="BY409" s="195"/>
      <c r="BZ409" s="66">
        <v>9</v>
      </c>
      <c r="CA409" s="66">
        <v>2013</v>
      </c>
      <c r="CB409" s="218">
        <f t="shared" ref="CB409:CB419" si="2657">pAsympt_NoCare_Asympt_Dead_2013plus_u*AS408</f>
        <v>0</v>
      </c>
      <c r="CC409" s="218">
        <f t="shared" ref="CC409:CC419" si="2658">pAsympt_InCare_Asympt_Dead_2013plus_u*AT408</f>
        <v>0</v>
      </c>
      <c r="CD409" s="73">
        <f t="shared" ref="CD409:CD419" si="2659">pAsympt_LTFU_Asympt_Dead_2013plus_u*AU408</f>
        <v>0</v>
      </c>
      <c r="CE409" s="73">
        <f t="shared" ref="CE409:CE419" si="2660">pInt_NoCare_Int_Dead_2013plus_u*AW408</f>
        <v>0</v>
      </c>
      <c r="CF409" s="73">
        <f t="shared" ref="CF409:CF419" si="2661">pInt_InCare_Int_Dead_2013plus_u*AX408</f>
        <v>0</v>
      </c>
      <c r="CG409" s="73">
        <f t="shared" ref="CG409:CG419" si="2662">pInt_ART1_Int_Dead_2013plus_u*AY408</f>
        <v>0</v>
      </c>
      <c r="CH409" s="73">
        <f t="shared" ref="CH409:CH419" si="2663">pInt_ART2_Int_Dead_2013plus_u*AZ408</f>
        <v>0</v>
      </c>
      <c r="CI409" s="73">
        <f t="shared" ref="CI409:CI419" si="2664">(BM408*pInt_LTFU_Int_Dead_2013plus_u)</f>
        <v>0</v>
      </c>
      <c r="CJ409" s="73">
        <f t="shared" ref="CJ409:CJ419" si="2665">(BN408*pInt_LTFU_Int_Dead_2013plus_u)</f>
        <v>0</v>
      </c>
      <c r="CK409" s="73">
        <f t="shared" ref="CK409:CK419" si="2666">(BO408*pInt_LTFU_Int_Dead_2013plus_u)</f>
        <v>0</v>
      </c>
      <c r="CL409" s="73">
        <f t="shared" ref="CL409:CL419" si="2667">(BP408*pInt_LTFU_Int_Dead_2013plus_u)</f>
        <v>0</v>
      </c>
      <c r="CM409" s="73">
        <f t="shared" ref="CM409:CM419" si="2668">pAIDS_NoCare_AIDS_Dead_2013plus_u*BC408</f>
        <v>0</v>
      </c>
      <c r="CN409" s="73">
        <f t="shared" ref="CN409:CN419" si="2669">pAIDS_InCare_AIDS_Dead_2013plus_u*BD408</f>
        <v>0</v>
      </c>
      <c r="CO409" s="73">
        <f t="shared" ref="CO409:CO419" si="2670">pAIDS_ART1ear_AIDS_Dead_2013plus_u*BE408</f>
        <v>0</v>
      </c>
      <c r="CP409" s="73">
        <f t="shared" ref="CP409:CP419" si="2671">pAIDS_ART1late_AIDS_Dead_2013plus_u*BF408</f>
        <v>0</v>
      </c>
      <c r="CQ409" s="73">
        <f t="shared" ref="CQ409:CQ419" si="2672">pAIDS_ART2_AIDS_Dead_2013plus_u*BG408</f>
        <v>0</v>
      </c>
      <c r="CR409" s="73">
        <f t="shared" ref="CR409:CR419" si="2673">(BQ408*pAIDS_LTFU_AIDS_Dead_2013plus_u)</f>
        <v>0</v>
      </c>
      <c r="CS409" s="73">
        <f t="shared" ref="CS409:CS419" si="2674">(BR408*pAIDS_LTFU_AIDS_Dead_2013plus_u)</f>
        <v>0</v>
      </c>
      <c r="CT409" s="73">
        <f t="shared" ref="CT409:CT419" si="2675">(BS408*pAIDS_LTFU_AIDS_Dead_2013plus_u)</f>
        <v>0</v>
      </c>
      <c r="CU409" s="73">
        <f t="shared" ref="CU409:CU419" si="2676">(BT408*pAIDS_LTFU_AIDS_Dead_2013plus_u)</f>
        <v>0</v>
      </c>
      <c r="CV409" s="73">
        <f t="shared" ref="CV409:CV419" si="2677">(BU408*pAIDS_LTFU_AIDS_Dead_2013plus_u)</f>
        <v>0</v>
      </c>
      <c r="CW409" s="73">
        <f t="shared" ref="CW409:CW419" si="2678">(BV408*pAIDS_LTFU_AIDS_Dead_2013plus_u)</f>
        <v>0</v>
      </c>
      <c r="CX409" s="73">
        <f t="shared" ref="CX409:CX419" si="2679">(BW408*pAIDS_LTFU_AIDS_Dead_2013plus_u)</f>
        <v>0</v>
      </c>
      <c r="CY409" s="73">
        <f t="shared" ref="CY409:CY419" si="2680">(BX408*pAIDS_LTFU_AIDS_Dead_2013plus_u)</f>
        <v>0</v>
      </c>
      <c r="CZ409" s="190"/>
      <c r="DA409" s="66">
        <v>2013</v>
      </c>
      <c r="DB409" s="218">
        <f t="shared" si="2603"/>
        <v>0</v>
      </c>
      <c r="DC409" s="218">
        <f t="shared" si="2604"/>
        <v>0</v>
      </c>
      <c r="DD409" s="73">
        <f t="shared" si="2605"/>
        <v>0</v>
      </c>
      <c r="DE409" s="73">
        <f t="shared" si="2606"/>
        <v>0</v>
      </c>
      <c r="DF409" s="73">
        <f t="shared" si="2607"/>
        <v>0</v>
      </c>
      <c r="DG409" s="73">
        <f t="shared" si="2608"/>
        <v>0</v>
      </c>
      <c r="DH409" s="72" t="e">
        <f t="shared" si="2635"/>
        <v>#DIV/0!</v>
      </c>
      <c r="DI409" s="72" t="e">
        <f t="shared" si="2636"/>
        <v>#DIV/0!</v>
      </c>
      <c r="DJ409" s="73">
        <f>SUM(AV400:AV409,BB400:BB409,BI400:BI409)</f>
        <v>0</v>
      </c>
      <c r="DK409" s="73">
        <f>SUM(AV406:AV409,BB406:BB409,BI406:BI409)</f>
        <v>0</v>
      </c>
      <c r="DL409" s="190"/>
    </row>
    <row r="410" spans="22:116" x14ac:dyDescent="0.25">
      <c r="V410" s="13"/>
      <c r="W410" s="66">
        <v>10</v>
      </c>
      <c r="X410" s="66">
        <v>2014</v>
      </c>
      <c r="Y410" s="69">
        <v>0</v>
      </c>
      <c r="Z410" s="69">
        <v>0</v>
      </c>
      <c r="AA410" s="69">
        <v>0</v>
      </c>
      <c r="AB410" s="69">
        <v>0</v>
      </c>
      <c r="AC410" s="69">
        <v>0</v>
      </c>
      <c r="AD410" s="69">
        <v>0</v>
      </c>
      <c r="AE410" s="69">
        <v>0</v>
      </c>
      <c r="AF410" s="69">
        <v>0</v>
      </c>
      <c r="AG410" s="69">
        <v>0</v>
      </c>
      <c r="AH410" s="69">
        <v>0</v>
      </c>
      <c r="AI410" s="69">
        <v>0</v>
      </c>
      <c r="AJ410" s="69">
        <v>0</v>
      </c>
      <c r="AK410" s="69">
        <v>0</v>
      </c>
      <c r="AL410" s="69">
        <v>0</v>
      </c>
      <c r="AM410" s="69">
        <v>0</v>
      </c>
      <c r="AN410" s="69">
        <v>0</v>
      </c>
      <c r="AO410" s="69">
        <v>0</v>
      </c>
      <c r="AP410" s="190"/>
      <c r="AQ410" s="66">
        <v>10</v>
      </c>
      <c r="AR410" s="66">
        <v>2014</v>
      </c>
      <c r="AS410" s="215">
        <f t="shared" si="2586"/>
        <v>0</v>
      </c>
      <c r="AT410" s="215">
        <f t="shared" si="2587"/>
        <v>0</v>
      </c>
      <c r="AU410" s="215">
        <f t="shared" si="2588"/>
        <v>0</v>
      </c>
      <c r="AV410" s="215">
        <f t="shared" si="2589"/>
        <v>0</v>
      </c>
      <c r="AW410" s="215">
        <f t="shared" si="2590"/>
        <v>0</v>
      </c>
      <c r="AX410" s="215">
        <f t="shared" si="2591"/>
        <v>0</v>
      </c>
      <c r="AY410" s="215">
        <f t="shared" si="2592"/>
        <v>0</v>
      </c>
      <c r="AZ410" s="215">
        <f t="shared" si="2593"/>
        <v>0</v>
      </c>
      <c r="BA410" s="215">
        <f t="shared" si="2594"/>
        <v>0</v>
      </c>
      <c r="BB410" s="215">
        <f t="shared" si="2595"/>
        <v>0</v>
      </c>
      <c r="BC410" s="215">
        <f t="shared" si="2596"/>
        <v>0</v>
      </c>
      <c r="BD410" s="215">
        <f t="shared" si="2597"/>
        <v>0</v>
      </c>
      <c r="BE410" s="215">
        <f t="shared" si="2598"/>
        <v>0</v>
      </c>
      <c r="BF410" s="215">
        <f t="shared" si="2599"/>
        <v>0</v>
      </c>
      <c r="BG410" s="215">
        <f t="shared" si="2600"/>
        <v>0</v>
      </c>
      <c r="BH410" s="215">
        <f t="shared" si="2601"/>
        <v>0</v>
      </c>
      <c r="BI410" s="215">
        <f t="shared" si="2602"/>
        <v>0</v>
      </c>
      <c r="BJ410" s="195"/>
      <c r="BK410" s="66">
        <v>10</v>
      </c>
      <c r="BL410" s="66">
        <v>2014</v>
      </c>
      <c r="BM410" s="215">
        <f t="shared" si="2645"/>
        <v>0</v>
      </c>
      <c r="BN410" s="219">
        <f t="shared" si="2646"/>
        <v>0</v>
      </c>
      <c r="BO410" s="219">
        <f t="shared" si="2647"/>
        <v>0</v>
      </c>
      <c r="BP410" s="219">
        <f t="shared" si="2648"/>
        <v>0</v>
      </c>
      <c r="BQ410" s="219">
        <f t="shared" si="2649"/>
        <v>0</v>
      </c>
      <c r="BR410" s="220">
        <f t="shared" si="2650"/>
        <v>0</v>
      </c>
      <c r="BS410" s="219">
        <f t="shared" si="2651"/>
        <v>0</v>
      </c>
      <c r="BT410" s="219">
        <f t="shared" si="2652"/>
        <v>0</v>
      </c>
      <c r="BU410" s="219">
        <f t="shared" si="2653"/>
        <v>0</v>
      </c>
      <c r="BV410" s="219">
        <f t="shared" si="2654"/>
        <v>0</v>
      </c>
      <c r="BW410" s="219">
        <f t="shared" si="2655"/>
        <v>0</v>
      </c>
      <c r="BX410" s="220">
        <f t="shared" si="2656"/>
        <v>0</v>
      </c>
      <c r="BY410" s="195"/>
      <c r="BZ410" s="66">
        <v>10</v>
      </c>
      <c r="CA410" s="66">
        <v>2014</v>
      </c>
      <c r="CB410" s="218">
        <f t="shared" si="2657"/>
        <v>0</v>
      </c>
      <c r="CC410" s="218">
        <f t="shared" si="2658"/>
        <v>0</v>
      </c>
      <c r="CD410" s="73">
        <f t="shared" si="2659"/>
        <v>0</v>
      </c>
      <c r="CE410" s="73">
        <f t="shared" si="2660"/>
        <v>0</v>
      </c>
      <c r="CF410" s="73">
        <f t="shared" si="2661"/>
        <v>0</v>
      </c>
      <c r="CG410" s="73">
        <f t="shared" si="2662"/>
        <v>0</v>
      </c>
      <c r="CH410" s="73">
        <f t="shared" si="2663"/>
        <v>0</v>
      </c>
      <c r="CI410" s="73">
        <f t="shared" si="2664"/>
        <v>0</v>
      </c>
      <c r="CJ410" s="73">
        <f t="shared" si="2665"/>
        <v>0</v>
      </c>
      <c r="CK410" s="73">
        <f t="shared" si="2666"/>
        <v>0</v>
      </c>
      <c r="CL410" s="73">
        <f t="shared" si="2667"/>
        <v>0</v>
      </c>
      <c r="CM410" s="73">
        <f t="shared" si="2668"/>
        <v>0</v>
      </c>
      <c r="CN410" s="73">
        <f t="shared" si="2669"/>
        <v>0</v>
      </c>
      <c r="CO410" s="73">
        <f t="shared" si="2670"/>
        <v>0</v>
      </c>
      <c r="CP410" s="73">
        <f t="shared" si="2671"/>
        <v>0</v>
      </c>
      <c r="CQ410" s="73">
        <f t="shared" si="2672"/>
        <v>0</v>
      </c>
      <c r="CR410" s="73">
        <f t="shared" si="2673"/>
        <v>0</v>
      </c>
      <c r="CS410" s="73">
        <f t="shared" si="2674"/>
        <v>0</v>
      </c>
      <c r="CT410" s="73">
        <f t="shared" si="2675"/>
        <v>0</v>
      </c>
      <c r="CU410" s="73">
        <f t="shared" si="2676"/>
        <v>0</v>
      </c>
      <c r="CV410" s="73">
        <f t="shared" si="2677"/>
        <v>0</v>
      </c>
      <c r="CW410" s="73">
        <f t="shared" si="2678"/>
        <v>0</v>
      </c>
      <c r="CX410" s="73">
        <f t="shared" si="2679"/>
        <v>0</v>
      </c>
      <c r="CY410" s="73">
        <f t="shared" si="2680"/>
        <v>0</v>
      </c>
      <c r="CZ410" s="190"/>
      <c r="DA410" s="66">
        <v>2014</v>
      </c>
      <c r="DB410" s="218">
        <f t="shared" si="2603"/>
        <v>0</v>
      </c>
      <c r="DC410" s="218">
        <f t="shared" si="2604"/>
        <v>0</v>
      </c>
      <c r="DD410" s="73">
        <f t="shared" si="2605"/>
        <v>0</v>
      </c>
      <c r="DE410" s="73">
        <f t="shared" si="2606"/>
        <v>0</v>
      </c>
      <c r="DF410" s="73">
        <f t="shared" si="2607"/>
        <v>0</v>
      </c>
      <c r="DG410" s="73">
        <f t="shared" si="2608"/>
        <v>0</v>
      </c>
      <c r="DH410" s="72" t="e">
        <f t="shared" si="2635"/>
        <v>#DIV/0!</v>
      </c>
      <c r="DI410" s="72" t="e">
        <f t="shared" si="2636"/>
        <v>#DIV/0!</v>
      </c>
      <c r="DJ410" s="73">
        <f>SUM(AV400:AV410,BB400:BB410,BI400:BI410)</f>
        <v>0</v>
      </c>
      <c r="DK410" s="73">
        <f>SUM(AV406:AV410,BB406:BB410,BI406:BI410)</f>
        <v>0</v>
      </c>
      <c r="DL410" s="190"/>
    </row>
    <row r="411" spans="22:116" x14ac:dyDescent="0.25">
      <c r="V411" s="13"/>
      <c r="W411" s="66">
        <v>11</v>
      </c>
      <c r="X411" s="66">
        <v>2015</v>
      </c>
      <c r="Y411" s="69">
        <v>0</v>
      </c>
      <c r="Z411" s="69">
        <v>0</v>
      </c>
      <c r="AA411" s="69">
        <v>0</v>
      </c>
      <c r="AB411" s="69">
        <v>0</v>
      </c>
      <c r="AC411" s="69">
        <v>0</v>
      </c>
      <c r="AD411" s="69">
        <v>0</v>
      </c>
      <c r="AE411" s="69">
        <v>0</v>
      </c>
      <c r="AF411" s="69">
        <v>0</v>
      </c>
      <c r="AG411" s="69">
        <v>0</v>
      </c>
      <c r="AH411" s="69">
        <v>0</v>
      </c>
      <c r="AI411" s="69">
        <v>0</v>
      </c>
      <c r="AJ411" s="69">
        <v>0</v>
      </c>
      <c r="AK411" s="69">
        <v>0</v>
      </c>
      <c r="AL411" s="69">
        <v>0</v>
      </c>
      <c r="AM411" s="69">
        <v>0</v>
      </c>
      <c r="AN411" s="69">
        <v>0</v>
      </c>
      <c r="AO411" s="69">
        <v>0</v>
      </c>
      <c r="AP411" s="190"/>
      <c r="AQ411" s="66">
        <v>11</v>
      </c>
      <c r="AR411" s="66">
        <v>2015</v>
      </c>
      <c r="AS411" s="215">
        <f t="shared" si="2586"/>
        <v>0</v>
      </c>
      <c r="AT411" s="215">
        <f t="shared" si="2587"/>
        <v>0</v>
      </c>
      <c r="AU411" s="215">
        <f t="shared" si="2588"/>
        <v>0</v>
      </c>
      <c r="AV411" s="215">
        <f t="shared" si="2589"/>
        <v>0</v>
      </c>
      <c r="AW411" s="215">
        <f t="shared" si="2590"/>
        <v>0</v>
      </c>
      <c r="AX411" s="215">
        <f t="shared" si="2591"/>
        <v>0</v>
      </c>
      <c r="AY411" s="215">
        <f t="shared" si="2592"/>
        <v>0</v>
      </c>
      <c r="AZ411" s="215">
        <f t="shared" si="2593"/>
        <v>0</v>
      </c>
      <c r="BA411" s="215">
        <f t="shared" si="2594"/>
        <v>0</v>
      </c>
      <c r="BB411" s="215">
        <f t="shared" si="2595"/>
        <v>0</v>
      </c>
      <c r="BC411" s="215">
        <f t="shared" si="2596"/>
        <v>0</v>
      </c>
      <c r="BD411" s="215">
        <f t="shared" si="2597"/>
        <v>0</v>
      </c>
      <c r="BE411" s="215">
        <f t="shared" si="2598"/>
        <v>0</v>
      </c>
      <c r="BF411" s="215">
        <f t="shared" si="2599"/>
        <v>0</v>
      </c>
      <c r="BG411" s="215">
        <f t="shared" si="2600"/>
        <v>0</v>
      </c>
      <c r="BH411" s="215">
        <f t="shared" si="2601"/>
        <v>0</v>
      </c>
      <c r="BI411" s="215">
        <f t="shared" si="2602"/>
        <v>0</v>
      </c>
      <c r="BJ411" s="195"/>
      <c r="BK411" s="66">
        <v>11</v>
      </c>
      <c r="BL411" s="66">
        <v>2015</v>
      </c>
      <c r="BM411" s="215">
        <f t="shared" si="2645"/>
        <v>0</v>
      </c>
      <c r="BN411" s="219">
        <f t="shared" si="2646"/>
        <v>0</v>
      </c>
      <c r="BO411" s="219">
        <f t="shared" si="2647"/>
        <v>0</v>
      </c>
      <c r="BP411" s="219">
        <f t="shared" si="2648"/>
        <v>0</v>
      </c>
      <c r="BQ411" s="219">
        <f t="shared" si="2649"/>
        <v>0</v>
      </c>
      <c r="BR411" s="220">
        <f t="shared" si="2650"/>
        <v>0</v>
      </c>
      <c r="BS411" s="219">
        <f t="shared" si="2651"/>
        <v>0</v>
      </c>
      <c r="BT411" s="219">
        <f t="shared" si="2652"/>
        <v>0</v>
      </c>
      <c r="BU411" s="219">
        <f t="shared" si="2653"/>
        <v>0</v>
      </c>
      <c r="BV411" s="219">
        <f t="shared" si="2654"/>
        <v>0</v>
      </c>
      <c r="BW411" s="219">
        <f t="shared" si="2655"/>
        <v>0</v>
      </c>
      <c r="BX411" s="220">
        <f t="shared" si="2656"/>
        <v>0</v>
      </c>
      <c r="BY411" s="195"/>
      <c r="BZ411" s="66">
        <v>11</v>
      </c>
      <c r="CA411" s="66">
        <v>2015</v>
      </c>
      <c r="CB411" s="218">
        <f t="shared" si="2657"/>
        <v>0</v>
      </c>
      <c r="CC411" s="218">
        <f t="shared" si="2658"/>
        <v>0</v>
      </c>
      <c r="CD411" s="73">
        <f t="shared" si="2659"/>
        <v>0</v>
      </c>
      <c r="CE411" s="73">
        <f t="shared" si="2660"/>
        <v>0</v>
      </c>
      <c r="CF411" s="73">
        <f t="shared" si="2661"/>
        <v>0</v>
      </c>
      <c r="CG411" s="73">
        <f t="shared" si="2662"/>
        <v>0</v>
      </c>
      <c r="CH411" s="73">
        <f t="shared" si="2663"/>
        <v>0</v>
      </c>
      <c r="CI411" s="73">
        <f t="shared" si="2664"/>
        <v>0</v>
      </c>
      <c r="CJ411" s="73">
        <f t="shared" si="2665"/>
        <v>0</v>
      </c>
      <c r="CK411" s="73">
        <f t="shared" si="2666"/>
        <v>0</v>
      </c>
      <c r="CL411" s="73">
        <f t="shared" si="2667"/>
        <v>0</v>
      </c>
      <c r="CM411" s="73">
        <f t="shared" si="2668"/>
        <v>0</v>
      </c>
      <c r="CN411" s="73">
        <f t="shared" si="2669"/>
        <v>0</v>
      </c>
      <c r="CO411" s="73">
        <f t="shared" si="2670"/>
        <v>0</v>
      </c>
      <c r="CP411" s="73">
        <f t="shared" si="2671"/>
        <v>0</v>
      </c>
      <c r="CQ411" s="73">
        <f t="shared" si="2672"/>
        <v>0</v>
      </c>
      <c r="CR411" s="73">
        <f t="shared" si="2673"/>
        <v>0</v>
      </c>
      <c r="CS411" s="73">
        <f t="shared" si="2674"/>
        <v>0</v>
      </c>
      <c r="CT411" s="73">
        <f t="shared" si="2675"/>
        <v>0</v>
      </c>
      <c r="CU411" s="73">
        <f t="shared" si="2676"/>
        <v>0</v>
      </c>
      <c r="CV411" s="73">
        <f t="shared" si="2677"/>
        <v>0</v>
      </c>
      <c r="CW411" s="73">
        <f t="shared" si="2678"/>
        <v>0</v>
      </c>
      <c r="CX411" s="73">
        <f t="shared" si="2679"/>
        <v>0</v>
      </c>
      <c r="CY411" s="73">
        <f t="shared" si="2680"/>
        <v>0</v>
      </c>
      <c r="CZ411" s="190"/>
      <c r="DA411" s="66">
        <v>2015</v>
      </c>
      <c r="DB411" s="218">
        <f t="shared" si="2603"/>
        <v>0</v>
      </c>
      <c r="DC411" s="218">
        <f t="shared" si="2604"/>
        <v>0</v>
      </c>
      <c r="DD411" s="73">
        <f t="shared" si="2605"/>
        <v>0</v>
      </c>
      <c r="DE411" s="73">
        <f t="shared" si="2606"/>
        <v>0</v>
      </c>
      <c r="DF411" s="73">
        <f t="shared" si="2607"/>
        <v>0</v>
      </c>
      <c r="DG411" s="73">
        <f t="shared" si="2608"/>
        <v>0</v>
      </c>
      <c r="DH411" s="72" t="e">
        <f t="shared" si="2635"/>
        <v>#DIV/0!</v>
      </c>
      <c r="DI411" s="72" t="e">
        <f t="shared" si="2636"/>
        <v>#DIV/0!</v>
      </c>
      <c r="DJ411" s="73">
        <f>SUM(AV400:AV411,BB400:BB411,BI400:BI411)</f>
        <v>0</v>
      </c>
      <c r="DK411" s="73">
        <f>SUM(AV406:AV411,BB406:BB411,BI406:BI411)</f>
        <v>0</v>
      </c>
      <c r="DL411" s="190"/>
    </row>
    <row r="412" spans="22:116" x14ac:dyDescent="0.25">
      <c r="V412" s="13"/>
      <c r="W412" s="66">
        <v>12</v>
      </c>
      <c r="X412" s="66">
        <v>2016</v>
      </c>
      <c r="Y412" s="69">
        <v>0</v>
      </c>
      <c r="Z412" s="69">
        <v>0</v>
      </c>
      <c r="AA412" s="69">
        <v>0</v>
      </c>
      <c r="AB412" s="69">
        <v>0</v>
      </c>
      <c r="AC412" s="69">
        <v>0</v>
      </c>
      <c r="AD412" s="69">
        <v>0</v>
      </c>
      <c r="AE412" s="69">
        <v>0</v>
      </c>
      <c r="AF412" s="69">
        <v>0</v>
      </c>
      <c r="AG412" s="69">
        <v>0</v>
      </c>
      <c r="AH412" s="69">
        <v>0</v>
      </c>
      <c r="AI412" s="69">
        <v>0</v>
      </c>
      <c r="AJ412" s="69">
        <v>0</v>
      </c>
      <c r="AK412" s="69">
        <v>0</v>
      </c>
      <c r="AL412" s="69">
        <v>0</v>
      </c>
      <c r="AM412" s="69">
        <v>0</v>
      </c>
      <c r="AN412" s="69">
        <v>0</v>
      </c>
      <c r="AO412" s="69">
        <v>0</v>
      </c>
      <c r="AP412" s="190"/>
      <c r="AQ412" s="66">
        <v>12</v>
      </c>
      <c r="AR412" s="66">
        <v>2016</v>
      </c>
      <c r="AS412" s="215">
        <f t="shared" si="2586"/>
        <v>0</v>
      </c>
      <c r="AT412" s="215">
        <f t="shared" si="2587"/>
        <v>0</v>
      </c>
      <c r="AU412" s="215">
        <f t="shared" si="2588"/>
        <v>0</v>
      </c>
      <c r="AV412" s="215">
        <f t="shared" si="2589"/>
        <v>0</v>
      </c>
      <c r="AW412" s="215">
        <f t="shared" si="2590"/>
        <v>0</v>
      </c>
      <c r="AX412" s="215">
        <f t="shared" si="2591"/>
        <v>0</v>
      </c>
      <c r="AY412" s="215">
        <f t="shared" si="2592"/>
        <v>0</v>
      </c>
      <c r="AZ412" s="215">
        <f t="shared" si="2593"/>
        <v>0</v>
      </c>
      <c r="BA412" s="215">
        <f t="shared" si="2594"/>
        <v>0</v>
      </c>
      <c r="BB412" s="215">
        <f t="shared" si="2595"/>
        <v>0</v>
      </c>
      <c r="BC412" s="215">
        <f t="shared" si="2596"/>
        <v>0</v>
      </c>
      <c r="BD412" s="215">
        <f t="shared" si="2597"/>
        <v>0</v>
      </c>
      <c r="BE412" s="215">
        <f t="shared" si="2598"/>
        <v>0</v>
      </c>
      <c r="BF412" s="215">
        <f t="shared" si="2599"/>
        <v>0</v>
      </c>
      <c r="BG412" s="215">
        <f t="shared" si="2600"/>
        <v>0</v>
      </c>
      <c r="BH412" s="215">
        <f t="shared" si="2601"/>
        <v>0</v>
      </c>
      <c r="BI412" s="215">
        <f t="shared" si="2602"/>
        <v>0</v>
      </c>
      <c r="BJ412" s="195"/>
      <c r="BK412" s="66">
        <v>12</v>
      </c>
      <c r="BL412" s="66">
        <v>2016</v>
      </c>
      <c r="BM412" s="215">
        <f t="shared" si="2645"/>
        <v>0</v>
      </c>
      <c r="BN412" s="219">
        <f t="shared" si="2646"/>
        <v>0</v>
      </c>
      <c r="BO412" s="219">
        <f t="shared" si="2647"/>
        <v>0</v>
      </c>
      <c r="BP412" s="219">
        <f t="shared" si="2648"/>
        <v>0</v>
      </c>
      <c r="BQ412" s="219">
        <f t="shared" si="2649"/>
        <v>0</v>
      </c>
      <c r="BR412" s="220">
        <f t="shared" si="2650"/>
        <v>0</v>
      </c>
      <c r="BS412" s="219">
        <f t="shared" si="2651"/>
        <v>0</v>
      </c>
      <c r="BT412" s="219">
        <f t="shared" si="2652"/>
        <v>0</v>
      </c>
      <c r="BU412" s="219">
        <f t="shared" si="2653"/>
        <v>0</v>
      </c>
      <c r="BV412" s="219">
        <f t="shared" si="2654"/>
        <v>0</v>
      </c>
      <c r="BW412" s="219">
        <f t="shared" si="2655"/>
        <v>0</v>
      </c>
      <c r="BX412" s="220">
        <f t="shared" si="2656"/>
        <v>0</v>
      </c>
      <c r="BY412" s="195"/>
      <c r="BZ412" s="66">
        <v>12</v>
      </c>
      <c r="CA412" s="66">
        <v>2016</v>
      </c>
      <c r="CB412" s="218">
        <f t="shared" si="2657"/>
        <v>0</v>
      </c>
      <c r="CC412" s="218">
        <f t="shared" si="2658"/>
        <v>0</v>
      </c>
      <c r="CD412" s="73">
        <f t="shared" si="2659"/>
        <v>0</v>
      </c>
      <c r="CE412" s="73">
        <f t="shared" si="2660"/>
        <v>0</v>
      </c>
      <c r="CF412" s="73">
        <f t="shared" si="2661"/>
        <v>0</v>
      </c>
      <c r="CG412" s="73">
        <f t="shared" si="2662"/>
        <v>0</v>
      </c>
      <c r="CH412" s="73">
        <f t="shared" si="2663"/>
        <v>0</v>
      </c>
      <c r="CI412" s="73">
        <f t="shared" si="2664"/>
        <v>0</v>
      </c>
      <c r="CJ412" s="73">
        <f t="shared" si="2665"/>
        <v>0</v>
      </c>
      <c r="CK412" s="73">
        <f t="shared" si="2666"/>
        <v>0</v>
      </c>
      <c r="CL412" s="73">
        <f t="shared" si="2667"/>
        <v>0</v>
      </c>
      <c r="CM412" s="73">
        <f t="shared" si="2668"/>
        <v>0</v>
      </c>
      <c r="CN412" s="73">
        <f t="shared" si="2669"/>
        <v>0</v>
      </c>
      <c r="CO412" s="73">
        <f t="shared" si="2670"/>
        <v>0</v>
      </c>
      <c r="CP412" s="73">
        <f t="shared" si="2671"/>
        <v>0</v>
      </c>
      <c r="CQ412" s="73">
        <f t="shared" si="2672"/>
        <v>0</v>
      </c>
      <c r="CR412" s="73">
        <f t="shared" si="2673"/>
        <v>0</v>
      </c>
      <c r="CS412" s="73">
        <f t="shared" si="2674"/>
        <v>0</v>
      </c>
      <c r="CT412" s="73">
        <f t="shared" si="2675"/>
        <v>0</v>
      </c>
      <c r="CU412" s="73">
        <f t="shared" si="2676"/>
        <v>0</v>
      </c>
      <c r="CV412" s="73">
        <f t="shared" si="2677"/>
        <v>0</v>
      </c>
      <c r="CW412" s="73">
        <f t="shared" si="2678"/>
        <v>0</v>
      </c>
      <c r="CX412" s="73">
        <f t="shared" si="2679"/>
        <v>0</v>
      </c>
      <c r="CY412" s="73">
        <f t="shared" si="2680"/>
        <v>0</v>
      </c>
      <c r="CZ412" s="190"/>
      <c r="DA412" s="66">
        <v>2016</v>
      </c>
      <c r="DB412" s="218">
        <f t="shared" si="2603"/>
        <v>0</v>
      </c>
      <c r="DC412" s="218">
        <f t="shared" si="2604"/>
        <v>0</v>
      </c>
      <c r="DD412" s="73">
        <f t="shared" si="2605"/>
        <v>0</v>
      </c>
      <c r="DE412" s="73">
        <f t="shared" si="2606"/>
        <v>0</v>
      </c>
      <c r="DF412" s="73">
        <f t="shared" si="2607"/>
        <v>0</v>
      </c>
      <c r="DG412" s="73">
        <f t="shared" si="2608"/>
        <v>0</v>
      </c>
      <c r="DH412" s="72" t="e">
        <f t="shared" si="2635"/>
        <v>#DIV/0!</v>
      </c>
      <c r="DI412" s="72" t="e">
        <f t="shared" si="2636"/>
        <v>#DIV/0!</v>
      </c>
      <c r="DJ412" s="73">
        <f>SUM(AV400:AV412,BB400:BB412,BI400:BI412)</f>
        <v>0</v>
      </c>
      <c r="DK412" s="73">
        <f>SUM(AV406:AV412,BB406:BB412,BI406:BI412)</f>
        <v>0</v>
      </c>
      <c r="DL412" s="190"/>
    </row>
    <row r="413" spans="22:116" x14ac:dyDescent="0.25">
      <c r="V413" s="13"/>
      <c r="W413" s="66">
        <v>13</v>
      </c>
      <c r="X413" s="66">
        <v>2017</v>
      </c>
      <c r="Y413" s="69">
        <v>0</v>
      </c>
      <c r="Z413" s="69">
        <v>0</v>
      </c>
      <c r="AA413" s="69">
        <v>0</v>
      </c>
      <c r="AB413" s="69">
        <v>0</v>
      </c>
      <c r="AC413" s="69">
        <v>0</v>
      </c>
      <c r="AD413" s="69">
        <v>0</v>
      </c>
      <c r="AE413" s="69">
        <v>0</v>
      </c>
      <c r="AF413" s="69">
        <v>0</v>
      </c>
      <c r="AG413" s="69">
        <v>0</v>
      </c>
      <c r="AH413" s="69">
        <v>0</v>
      </c>
      <c r="AI413" s="69">
        <v>0</v>
      </c>
      <c r="AJ413" s="69">
        <v>0</v>
      </c>
      <c r="AK413" s="69">
        <v>0</v>
      </c>
      <c r="AL413" s="69">
        <v>0</v>
      </c>
      <c r="AM413" s="69">
        <v>0</v>
      </c>
      <c r="AN413" s="69">
        <v>0</v>
      </c>
      <c r="AO413" s="69">
        <v>0</v>
      </c>
      <c r="AP413" s="190"/>
      <c r="AQ413" s="66">
        <v>13</v>
      </c>
      <c r="AR413" s="66">
        <v>2017</v>
      </c>
      <c r="AS413" s="215">
        <f t="shared" si="2586"/>
        <v>0</v>
      </c>
      <c r="AT413" s="215">
        <f t="shared" si="2587"/>
        <v>0</v>
      </c>
      <c r="AU413" s="215">
        <f t="shared" si="2588"/>
        <v>0</v>
      </c>
      <c r="AV413" s="215">
        <f t="shared" si="2589"/>
        <v>0</v>
      </c>
      <c r="AW413" s="215">
        <f t="shared" si="2590"/>
        <v>0</v>
      </c>
      <c r="AX413" s="215">
        <f t="shared" si="2591"/>
        <v>0</v>
      </c>
      <c r="AY413" s="215">
        <f t="shared" si="2592"/>
        <v>0</v>
      </c>
      <c r="AZ413" s="215">
        <f t="shared" si="2593"/>
        <v>0</v>
      </c>
      <c r="BA413" s="215">
        <f t="shared" si="2594"/>
        <v>0</v>
      </c>
      <c r="BB413" s="215">
        <f t="shared" si="2595"/>
        <v>0</v>
      </c>
      <c r="BC413" s="215">
        <f t="shared" si="2596"/>
        <v>0</v>
      </c>
      <c r="BD413" s="215">
        <f t="shared" si="2597"/>
        <v>0</v>
      </c>
      <c r="BE413" s="215">
        <f t="shared" si="2598"/>
        <v>0</v>
      </c>
      <c r="BF413" s="215">
        <f t="shared" si="2599"/>
        <v>0</v>
      </c>
      <c r="BG413" s="215">
        <f t="shared" si="2600"/>
        <v>0</v>
      </c>
      <c r="BH413" s="215">
        <f t="shared" si="2601"/>
        <v>0</v>
      </c>
      <c r="BI413" s="215">
        <f t="shared" si="2602"/>
        <v>0</v>
      </c>
      <c r="BJ413" s="195"/>
      <c r="BK413" s="66">
        <v>13</v>
      </c>
      <c r="BL413" s="66">
        <v>2017</v>
      </c>
      <c r="BM413" s="215">
        <f t="shared" si="2645"/>
        <v>0</v>
      </c>
      <c r="BN413" s="219">
        <f t="shared" si="2646"/>
        <v>0</v>
      </c>
      <c r="BO413" s="219">
        <f t="shared" si="2647"/>
        <v>0</v>
      </c>
      <c r="BP413" s="219">
        <f t="shared" si="2648"/>
        <v>0</v>
      </c>
      <c r="BQ413" s="219">
        <f t="shared" si="2649"/>
        <v>0</v>
      </c>
      <c r="BR413" s="220">
        <f t="shared" si="2650"/>
        <v>0</v>
      </c>
      <c r="BS413" s="219">
        <f t="shared" si="2651"/>
        <v>0</v>
      </c>
      <c r="BT413" s="219">
        <f t="shared" si="2652"/>
        <v>0</v>
      </c>
      <c r="BU413" s="219">
        <f t="shared" si="2653"/>
        <v>0</v>
      </c>
      <c r="BV413" s="219">
        <f t="shared" si="2654"/>
        <v>0</v>
      </c>
      <c r="BW413" s="219">
        <f t="shared" si="2655"/>
        <v>0</v>
      </c>
      <c r="BX413" s="220">
        <f t="shared" si="2656"/>
        <v>0</v>
      </c>
      <c r="BY413" s="195"/>
      <c r="BZ413" s="66">
        <v>13</v>
      </c>
      <c r="CA413" s="66">
        <v>2017</v>
      </c>
      <c r="CB413" s="218">
        <f t="shared" si="2657"/>
        <v>0</v>
      </c>
      <c r="CC413" s="218">
        <f t="shared" si="2658"/>
        <v>0</v>
      </c>
      <c r="CD413" s="73">
        <f t="shared" si="2659"/>
        <v>0</v>
      </c>
      <c r="CE413" s="73">
        <f t="shared" si="2660"/>
        <v>0</v>
      </c>
      <c r="CF413" s="73">
        <f t="shared" si="2661"/>
        <v>0</v>
      </c>
      <c r="CG413" s="73">
        <f t="shared" si="2662"/>
        <v>0</v>
      </c>
      <c r="CH413" s="73">
        <f t="shared" si="2663"/>
        <v>0</v>
      </c>
      <c r="CI413" s="73">
        <f t="shared" si="2664"/>
        <v>0</v>
      </c>
      <c r="CJ413" s="73">
        <f t="shared" si="2665"/>
        <v>0</v>
      </c>
      <c r="CK413" s="73">
        <f t="shared" si="2666"/>
        <v>0</v>
      </c>
      <c r="CL413" s="73">
        <f t="shared" si="2667"/>
        <v>0</v>
      </c>
      <c r="CM413" s="73">
        <f t="shared" si="2668"/>
        <v>0</v>
      </c>
      <c r="CN413" s="73">
        <f t="shared" si="2669"/>
        <v>0</v>
      </c>
      <c r="CO413" s="73">
        <f t="shared" si="2670"/>
        <v>0</v>
      </c>
      <c r="CP413" s="73">
        <f t="shared" si="2671"/>
        <v>0</v>
      </c>
      <c r="CQ413" s="73">
        <f t="shared" si="2672"/>
        <v>0</v>
      </c>
      <c r="CR413" s="73">
        <f t="shared" si="2673"/>
        <v>0</v>
      </c>
      <c r="CS413" s="73">
        <f t="shared" si="2674"/>
        <v>0</v>
      </c>
      <c r="CT413" s="73">
        <f t="shared" si="2675"/>
        <v>0</v>
      </c>
      <c r="CU413" s="73">
        <f t="shared" si="2676"/>
        <v>0</v>
      </c>
      <c r="CV413" s="73">
        <f t="shared" si="2677"/>
        <v>0</v>
      </c>
      <c r="CW413" s="73">
        <f t="shared" si="2678"/>
        <v>0</v>
      </c>
      <c r="CX413" s="73">
        <f t="shared" si="2679"/>
        <v>0</v>
      </c>
      <c r="CY413" s="73">
        <f t="shared" si="2680"/>
        <v>0</v>
      </c>
      <c r="CZ413" s="190"/>
      <c r="DA413" s="66">
        <v>2017</v>
      </c>
      <c r="DB413" s="218">
        <f t="shared" si="2603"/>
        <v>0</v>
      </c>
      <c r="DC413" s="218">
        <f t="shared" si="2604"/>
        <v>0</v>
      </c>
      <c r="DD413" s="73">
        <f t="shared" si="2605"/>
        <v>0</v>
      </c>
      <c r="DE413" s="73">
        <f t="shared" si="2606"/>
        <v>0</v>
      </c>
      <c r="DF413" s="73">
        <f t="shared" si="2607"/>
        <v>0</v>
      </c>
      <c r="DG413" s="73">
        <f t="shared" si="2608"/>
        <v>0</v>
      </c>
      <c r="DH413" s="72" t="e">
        <f t="shared" si="2635"/>
        <v>#DIV/0!</v>
      </c>
      <c r="DI413" s="72" t="e">
        <f t="shared" si="2636"/>
        <v>#DIV/0!</v>
      </c>
      <c r="DJ413" s="73">
        <f>SUM(AV400:AV413,BB400:BB413,BI400:BI413)</f>
        <v>0</v>
      </c>
      <c r="DK413" s="73">
        <f>SUM(AV406:AV413,BB406:BB413,BI406:BI413)</f>
        <v>0</v>
      </c>
      <c r="DL413" s="190"/>
    </row>
    <row r="414" spans="22:116" x14ac:dyDescent="0.25">
      <c r="V414" s="13"/>
      <c r="W414" s="66">
        <v>14</v>
      </c>
      <c r="X414" s="66">
        <v>2018</v>
      </c>
      <c r="Y414" s="69">
        <v>0</v>
      </c>
      <c r="Z414" s="69">
        <v>0</v>
      </c>
      <c r="AA414" s="69">
        <v>0</v>
      </c>
      <c r="AB414" s="69">
        <v>0</v>
      </c>
      <c r="AC414" s="69">
        <v>0</v>
      </c>
      <c r="AD414" s="69">
        <v>0</v>
      </c>
      <c r="AE414" s="69">
        <v>0</v>
      </c>
      <c r="AF414" s="69">
        <v>0</v>
      </c>
      <c r="AG414" s="69">
        <v>0</v>
      </c>
      <c r="AH414" s="69">
        <v>0</v>
      </c>
      <c r="AI414" s="69">
        <v>0</v>
      </c>
      <c r="AJ414" s="69">
        <v>0</v>
      </c>
      <c r="AK414" s="69">
        <v>0</v>
      </c>
      <c r="AL414" s="69">
        <v>0</v>
      </c>
      <c r="AM414" s="69">
        <v>0</v>
      </c>
      <c r="AN414" s="69">
        <v>0</v>
      </c>
      <c r="AO414" s="69">
        <v>0</v>
      </c>
      <c r="AP414" s="190"/>
      <c r="AQ414" s="66">
        <v>14</v>
      </c>
      <c r="AR414" s="66">
        <v>2018</v>
      </c>
      <c r="AS414" s="215">
        <f t="shared" si="2586"/>
        <v>0</v>
      </c>
      <c r="AT414" s="215">
        <f t="shared" si="2587"/>
        <v>0</v>
      </c>
      <c r="AU414" s="215">
        <f t="shared" si="2588"/>
        <v>0</v>
      </c>
      <c r="AV414" s="215">
        <f t="shared" si="2589"/>
        <v>0</v>
      </c>
      <c r="AW414" s="215">
        <f t="shared" si="2590"/>
        <v>0</v>
      </c>
      <c r="AX414" s="215">
        <f t="shared" si="2591"/>
        <v>0</v>
      </c>
      <c r="AY414" s="215">
        <f t="shared" si="2592"/>
        <v>0</v>
      </c>
      <c r="AZ414" s="215">
        <f t="shared" si="2593"/>
        <v>0</v>
      </c>
      <c r="BA414" s="215">
        <f t="shared" si="2594"/>
        <v>0</v>
      </c>
      <c r="BB414" s="215">
        <f t="shared" si="2595"/>
        <v>0</v>
      </c>
      <c r="BC414" s="215">
        <f t="shared" si="2596"/>
        <v>0</v>
      </c>
      <c r="BD414" s="215">
        <f t="shared" si="2597"/>
        <v>0</v>
      </c>
      <c r="BE414" s="215">
        <f t="shared" si="2598"/>
        <v>0</v>
      </c>
      <c r="BF414" s="215">
        <f t="shared" si="2599"/>
        <v>0</v>
      </c>
      <c r="BG414" s="215">
        <f t="shared" si="2600"/>
        <v>0</v>
      </c>
      <c r="BH414" s="215">
        <f t="shared" si="2601"/>
        <v>0</v>
      </c>
      <c r="BI414" s="215">
        <f t="shared" si="2602"/>
        <v>0</v>
      </c>
      <c r="BJ414" s="195"/>
      <c r="BK414" s="66">
        <v>14</v>
      </c>
      <c r="BL414" s="66">
        <v>2018</v>
      </c>
      <c r="BM414" s="215">
        <f t="shared" si="2645"/>
        <v>0</v>
      </c>
      <c r="BN414" s="219">
        <f t="shared" si="2646"/>
        <v>0</v>
      </c>
      <c r="BO414" s="219">
        <f t="shared" si="2647"/>
        <v>0</v>
      </c>
      <c r="BP414" s="219">
        <f t="shared" si="2648"/>
        <v>0</v>
      </c>
      <c r="BQ414" s="219">
        <f t="shared" si="2649"/>
        <v>0</v>
      </c>
      <c r="BR414" s="220">
        <f t="shared" si="2650"/>
        <v>0</v>
      </c>
      <c r="BS414" s="219">
        <f t="shared" si="2651"/>
        <v>0</v>
      </c>
      <c r="BT414" s="219">
        <f t="shared" si="2652"/>
        <v>0</v>
      </c>
      <c r="BU414" s="219">
        <f t="shared" si="2653"/>
        <v>0</v>
      </c>
      <c r="BV414" s="219">
        <f t="shared" si="2654"/>
        <v>0</v>
      </c>
      <c r="BW414" s="219">
        <f t="shared" si="2655"/>
        <v>0</v>
      </c>
      <c r="BX414" s="220">
        <f t="shared" si="2656"/>
        <v>0</v>
      </c>
      <c r="BY414" s="195"/>
      <c r="BZ414" s="66">
        <v>14</v>
      </c>
      <c r="CA414" s="66">
        <v>2018</v>
      </c>
      <c r="CB414" s="218">
        <f t="shared" si="2657"/>
        <v>0</v>
      </c>
      <c r="CC414" s="218">
        <f t="shared" si="2658"/>
        <v>0</v>
      </c>
      <c r="CD414" s="73">
        <f t="shared" si="2659"/>
        <v>0</v>
      </c>
      <c r="CE414" s="73">
        <f t="shared" si="2660"/>
        <v>0</v>
      </c>
      <c r="CF414" s="73">
        <f t="shared" si="2661"/>
        <v>0</v>
      </c>
      <c r="CG414" s="73">
        <f t="shared" si="2662"/>
        <v>0</v>
      </c>
      <c r="CH414" s="73">
        <f t="shared" si="2663"/>
        <v>0</v>
      </c>
      <c r="CI414" s="73">
        <f t="shared" si="2664"/>
        <v>0</v>
      </c>
      <c r="CJ414" s="73">
        <f t="shared" si="2665"/>
        <v>0</v>
      </c>
      <c r="CK414" s="73">
        <f t="shared" si="2666"/>
        <v>0</v>
      </c>
      <c r="CL414" s="73">
        <f t="shared" si="2667"/>
        <v>0</v>
      </c>
      <c r="CM414" s="73">
        <f t="shared" si="2668"/>
        <v>0</v>
      </c>
      <c r="CN414" s="73">
        <f t="shared" si="2669"/>
        <v>0</v>
      </c>
      <c r="CO414" s="73">
        <f t="shared" si="2670"/>
        <v>0</v>
      </c>
      <c r="CP414" s="73">
        <f t="shared" si="2671"/>
        <v>0</v>
      </c>
      <c r="CQ414" s="73">
        <f t="shared" si="2672"/>
        <v>0</v>
      </c>
      <c r="CR414" s="73">
        <f t="shared" si="2673"/>
        <v>0</v>
      </c>
      <c r="CS414" s="73">
        <f t="shared" si="2674"/>
        <v>0</v>
      </c>
      <c r="CT414" s="73">
        <f t="shared" si="2675"/>
        <v>0</v>
      </c>
      <c r="CU414" s="73">
        <f t="shared" si="2676"/>
        <v>0</v>
      </c>
      <c r="CV414" s="73">
        <f t="shared" si="2677"/>
        <v>0</v>
      </c>
      <c r="CW414" s="73">
        <f t="shared" si="2678"/>
        <v>0</v>
      </c>
      <c r="CX414" s="73">
        <f t="shared" si="2679"/>
        <v>0</v>
      </c>
      <c r="CY414" s="73">
        <f t="shared" si="2680"/>
        <v>0</v>
      </c>
      <c r="CZ414" s="190"/>
      <c r="DA414" s="66">
        <v>2018</v>
      </c>
      <c r="DB414" s="218">
        <f t="shared" si="2603"/>
        <v>0</v>
      </c>
      <c r="DC414" s="218">
        <f t="shared" si="2604"/>
        <v>0</v>
      </c>
      <c r="DD414" s="73">
        <f t="shared" si="2605"/>
        <v>0</v>
      </c>
      <c r="DE414" s="73">
        <f t="shared" si="2606"/>
        <v>0</v>
      </c>
      <c r="DF414" s="73">
        <f t="shared" si="2607"/>
        <v>0</v>
      </c>
      <c r="DG414" s="73">
        <f t="shared" si="2608"/>
        <v>0</v>
      </c>
      <c r="DH414" s="72" t="e">
        <f t="shared" si="2635"/>
        <v>#DIV/0!</v>
      </c>
      <c r="DI414" s="72" t="e">
        <f t="shared" si="2636"/>
        <v>#DIV/0!</v>
      </c>
      <c r="DJ414" s="73">
        <f>SUM(AV400:AV414,BB400:BB414,BI400:BI414)</f>
        <v>0</v>
      </c>
      <c r="DK414" s="73">
        <f>SUM(AV406:AV414,BB406:BB414,BI406:BI414)</f>
        <v>0</v>
      </c>
      <c r="DL414" s="190"/>
    </row>
    <row r="415" spans="22:116" x14ac:dyDescent="0.25">
      <c r="V415" s="13"/>
      <c r="W415" s="66">
        <v>15</v>
      </c>
      <c r="X415" s="66">
        <v>2019</v>
      </c>
      <c r="Y415" s="69">
        <v>0</v>
      </c>
      <c r="Z415" s="69">
        <v>0</v>
      </c>
      <c r="AA415" s="69">
        <v>0</v>
      </c>
      <c r="AB415" s="69">
        <v>0</v>
      </c>
      <c r="AC415" s="69">
        <v>0</v>
      </c>
      <c r="AD415" s="69">
        <v>0</v>
      </c>
      <c r="AE415" s="69">
        <v>0</v>
      </c>
      <c r="AF415" s="69">
        <v>0</v>
      </c>
      <c r="AG415" s="69">
        <v>0</v>
      </c>
      <c r="AH415" s="69">
        <v>0</v>
      </c>
      <c r="AI415" s="69">
        <v>0</v>
      </c>
      <c r="AJ415" s="69">
        <v>0</v>
      </c>
      <c r="AK415" s="69">
        <v>0</v>
      </c>
      <c r="AL415" s="69">
        <v>0</v>
      </c>
      <c r="AM415" s="69">
        <v>0</v>
      </c>
      <c r="AN415" s="69">
        <v>0</v>
      </c>
      <c r="AO415" s="69">
        <v>0</v>
      </c>
      <c r="AP415" s="190"/>
      <c r="AQ415" s="66">
        <v>15</v>
      </c>
      <c r="AR415" s="66">
        <v>2019</v>
      </c>
      <c r="AS415" s="215">
        <f t="shared" si="2586"/>
        <v>0</v>
      </c>
      <c r="AT415" s="215">
        <f t="shared" si="2587"/>
        <v>0</v>
      </c>
      <c r="AU415" s="215">
        <f t="shared" si="2588"/>
        <v>0</v>
      </c>
      <c r="AV415" s="215">
        <f t="shared" si="2589"/>
        <v>0</v>
      </c>
      <c r="AW415" s="215">
        <f t="shared" si="2590"/>
        <v>0</v>
      </c>
      <c r="AX415" s="215">
        <f t="shared" si="2591"/>
        <v>0</v>
      </c>
      <c r="AY415" s="215">
        <f t="shared" si="2592"/>
        <v>0</v>
      </c>
      <c r="AZ415" s="215">
        <f t="shared" si="2593"/>
        <v>0</v>
      </c>
      <c r="BA415" s="215">
        <f t="shared" si="2594"/>
        <v>0</v>
      </c>
      <c r="BB415" s="215">
        <f t="shared" si="2595"/>
        <v>0</v>
      </c>
      <c r="BC415" s="215">
        <f t="shared" si="2596"/>
        <v>0</v>
      </c>
      <c r="BD415" s="215">
        <f t="shared" si="2597"/>
        <v>0</v>
      </c>
      <c r="BE415" s="215">
        <f t="shared" si="2598"/>
        <v>0</v>
      </c>
      <c r="BF415" s="215">
        <f t="shared" si="2599"/>
        <v>0</v>
      </c>
      <c r="BG415" s="215">
        <f t="shared" si="2600"/>
        <v>0</v>
      </c>
      <c r="BH415" s="215">
        <f t="shared" si="2601"/>
        <v>0</v>
      </c>
      <c r="BI415" s="215">
        <f t="shared" si="2602"/>
        <v>0</v>
      </c>
      <c r="BJ415" s="195"/>
      <c r="BK415" s="66">
        <v>15</v>
      </c>
      <c r="BL415" s="66">
        <v>2019</v>
      </c>
      <c r="BM415" s="215">
        <f t="shared" si="2645"/>
        <v>0</v>
      </c>
      <c r="BN415" s="219">
        <f t="shared" si="2646"/>
        <v>0</v>
      </c>
      <c r="BO415" s="219">
        <f t="shared" si="2647"/>
        <v>0</v>
      </c>
      <c r="BP415" s="219">
        <f t="shared" si="2648"/>
        <v>0</v>
      </c>
      <c r="BQ415" s="219">
        <f t="shared" si="2649"/>
        <v>0</v>
      </c>
      <c r="BR415" s="220">
        <f t="shared" si="2650"/>
        <v>0</v>
      </c>
      <c r="BS415" s="219">
        <f t="shared" si="2651"/>
        <v>0</v>
      </c>
      <c r="BT415" s="219">
        <f t="shared" si="2652"/>
        <v>0</v>
      </c>
      <c r="BU415" s="219">
        <f t="shared" si="2653"/>
        <v>0</v>
      </c>
      <c r="BV415" s="219">
        <f t="shared" si="2654"/>
        <v>0</v>
      </c>
      <c r="BW415" s="219">
        <f t="shared" si="2655"/>
        <v>0</v>
      </c>
      <c r="BX415" s="220">
        <f t="shared" si="2656"/>
        <v>0</v>
      </c>
      <c r="BY415" s="195"/>
      <c r="BZ415" s="66">
        <v>15</v>
      </c>
      <c r="CA415" s="66">
        <v>2019</v>
      </c>
      <c r="CB415" s="218">
        <f t="shared" si="2657"/>
        <v>0</v>
      </c>
      <c r="CC415" s="218">
        <f t="shared" si="2658"/>
        <v>0</v>
      </c>
      <c r="CD415" s="73">
        <f t="shared" si="2659"/>
        <v>0</v>
      </c>
      <c r="CE415" s="73">
        <f t="shared" si="2660"/>
        <v>0</v>
      </c>
      <c r="CF415" s="73">
        <f t="shared" si="2661"/>
        <v>0</v>
      </c>
      <c r="CG415" s="73">
        <f t="shared" si="2662"/>
        <v>0</v>
      </c>
      <c r="CH415" s="73">
        <f t="shared" si="2663"/>
        <v>0</v>
      </c>
      <c r="CI415" s="73">
        <f t="shared" si="2664"/>
        <v>0</v>
      </c>
      <c r="CJ415" s="73">
        <f t="shared" si="2665"/>
        <v>0</v>
      </c>
      <c r="CK415" s="73">
        <f t="shared" si="2666"/>
        <v>0</v>
      </c>
      <c r="CL415" s="73">
        <f t="shared" si="2667"/>
        <v>0</v>
      </c>
      <c r="CM415" s="73">
        <f t="shared" si="2668"/>
        <v>0</v>
      </c>
      <c r="CN415" s="73">
        <f t="shared" si="2669"/>
        <v>0</v>
      </c>
      <c r="CO415" s="73">
        <f t="shared" si="2670"/>
        <v>0</v>
      </c>
      <c r="CP415" s="73">
        <f t="shared" si="2671"/>
        <v>0</v>
      </c>
      <c r="CQ415" s="73">
        <f t="shared" si="2672"/>
        <v>0</v>
      </c>
      <c r="CR415" s="73">
        <f t="shared" si="2673"/>
        <v>0</v>
      </c>
      <c r="CS415" s="73">
        <f t="shared" si="2674"/>
        <v>0</v>
      </c>
      <c r="CT415" s="73">
        <f t="shared" si="2675"/>
        <v>0</v>
      </c>
      <c r="CU415" s="73">
        <f t="shared" si="2676"/>
        <v>0</v>
      </c>
      <c r="CV415" s="73">
        <f t="shared" si="2677"/>
        <v>0</v>
      </c>
      <c r="CW415" s="73">
        <f t="shared" si="2678"/>
        <v>0</v>
      </c>
      <c r="CX415" s="73">
        <f t="shared" si="2679"/>
        <v>0</v>
      </c>
      <c r="CY415" s="73">
        <f t="shared" si="2680"/>
        <v>0</v>
      </c>
      <c r="CZ415" s="190"/>
      <c r="DA415" s="66">
        <v>2019</v>
      </c>
      <c r="DB415" s="218">
        <f t="shared" si="2603"/>
        <v>0</v>
      </c>
      <c r="DC415" s="218">
        <f t="shared" si="2604"/>
        <v>0</v>
      </c>
      <c r="DD415" s="73">
        <f t="shared" si="2605"/>
        <v>0</v>
      </c>
      <c r="DE415" s="73">
        <f t="shared" si="2606"/>
        <v>0</v>
      </c>
      <c r="DF415" s="73">
        <f t="shared" si="2607"/>
        <v>0</v>
      </c>
      <c r="DG415" s="73">
        <f t="shared" si="2608"/>
        <v>0</v>
      </c>
      <c r="DH415" s="72" t="e">
        <f t="shared" si="2635"/>
        <v>#DIV/0!</v>
      </c>
      <c r="DI415" s="72" t="e">
        <f t="shared" si="2636"/>
        <v>#DIV/0!</v>
      </c>
      <c r="DJ415" s="73">
        <f>SUM(AV400:AV415,BB400:BB415,BI400:BI415)</f>
        <v>0</v>
      </c>
      <c r="DK415" s="73">
        <f>SUM(AV406:AV415,BB406:BB415,BI406:BI415)</f>
        <v>0</v>
      </c>
      <c r="DL415" s="190"/>
    </row>
    <row r="416" spans="22:116" x14ac:dyDescent="0.25">
      <c r="V416" s="13"/>
      <c r="W416" s="66">
        <v>16</v>
      </c>
      <c r="X416" s="66">
        <v>2020</v>
      </c>
      <c r="Y416" s="69">
        <v>0</v>
      </c>
      <c r="Z416" s="69">
        <v>0</v>
      </c>
      <c r="AA416" s="69">
        <v>0</v>
      </c>
      <c r="AB416" s="69">
        <v>0</v>
      </c>
      <c r="AC416" s="69">
        <v>0</v>
      </c>
      <c r="AD416" s="69">
        <v>0</v>
      </c>
      <c r="AE416" s="69">
        <v>0</v>
      </c>
      <c r="AF416" s="69">
        <v>0</v>
      </c>
      <c r="AG416" s="69">
        <v>0</v>
      </c>
      <c r="AH416" s="69">
        <v>0</v>
      </c>
      <c r="AI416" s="69">
        <v>0</v>
      </c>
      <c r="AJ416" s="69">
        <v>0</v>
      </c>
      <c r="AK416" s="69">
        <v>0</v>
      </c>
      <c r="AL416" s="69">
        <v>0</v>
      </c>
      <c r="AM416" s="69">
        <v>0</v>
      </c>
      <c r="AN416" s="69">
        <v>0</v>
      </c>
      <c r="AO416" s="69">
        <v>0</v>
      </c>
      <c r="AP416" s="190"/>
      <c r="AQ416" s="66">
        <v>16</v>
      </c>
      <c r="AR416" s="66">
        <v>2020</v>
      </c>
      <c r="AS416" s="215">
        <f t="shared" si="2586"/>
        <v>0</v>
      </c>
      <c r="AT416" s="215">
        <f t="shared" si="2587"/>
        <v>0</v>
      </c>
      <c r="AU416" s="215">
        <f t="shared" si="2588"/>
        <v>0</v>
      </c>
      <c r="AV416" s="215">
        <f t="shared" si="2589"/>
        <v>0</v>
      </c>
      <c r="AW416" s="215">
        <f t="shared" si="2590"/>
        <v>0</v>
      </c>
      <c r="AX416" s="215">
        <f t="shared" si="2591"/>
        <v>0</v>
      </c>
      <c r="AY416" s="215">
        <f t="shared" si="2592"/>
        <v>0</v>
      </c>
      <c r="AZ416" s="215">
        <f t="shared" si="2593"/>
        <v>0</v>
      </c>
      <c r="BA416" s="215">
        <f t="shared" si="2594"/>
        <v>0</v>
      </c>
      <c r="BB416" s="215">
        <f t="shared" si="2595"/>
        <v>0</v>
      </c>
      <c r="BC416" s="215">
        <f t="shared" si="2596"/>
        <v>0</v>
      </c>
      <c r="BD416" s="215">
        <f t="shared" si="2597"/>
        <v>0</v>
      </c>
      <c r="BE416" s="215">
        <f t="shared" si="2598"/>
        <v>0</v>
      </c>
      <c r="BF416" s="215">
        <f t="shared" si="2599"/>
        <v>0</v>
      </c>
      <c r="BG416" s="215">
        <f t="shared" si="2600"/>
        <v>0</v>
      </c>
      <c r="BH416" s="215">
        <f t="shared" si="2601"/>
        <v>0</v>
      </c>
      <c r="BI416" s="215">
        <f t="shared" si="2602"/>
        <v>0</v>
      </c>
      <c r="BJ416" s="195"/>
      <c r="BK416" s="66">
        <v>16</v>
      </c>
      <c r="BL416" s="66">
        <v>2020</v>
      </c>
      <c r="BM416" s="215">
        <f t="shared" si="2645"/>
        <v>0</v>
      </c>
      <c r="BN416" s="219">
        <f t="shared" si="2646"/>
        <v>0</v>
      </c>
      <c r="BO416" s="219">
        <f t="shared" si="2647"/>
        <v>0</v>
      </c>
      <c r="BP416" s="219">
        <f t="shared" si="2648"/>
        <v>0</v>
      </c>
      <c r="BQ416" s="219">
        <f t="shared" si="2649"/>
        <v>0</v>
      </c>
      <c r="BR416" s="220">
        <f t="shared" si="2650"/>
        <v>0</v>
      </c>
      <c r="BS416" s="219">
        <f t="shared" si="2651"/>
        <v>0</v>
      </c>
      <c r="BT416" s="219">
        <f t="shared" si="2652"/>
        <v>0</v>
      </c>
      <c r="BU416" s="219">
        <f t="shared" si="2653"/>
        <v>0</v>
      </c>
      <c r="BV416" s="219">
        <f t="shared" si="2654"/>
        <v>0</v>
      </c>
      <c r="BW416" s="219">
        <f t="shared" si="2655"/>
        <v>0</v>
      </c>
      <c r="BX416" s="220">
        <f t="shared" si="2656"/>
        <v>0</v>
      </c>
      <c r="BY416" s="195"/>
      <c r="BZ416" s="66">
        <v>16</v>
      </c>
      <c r="CA416" s="66">
        <v>2020</v>
      </c>
      <c r="CB416" s="218">
        <f t="shared" si="2657"/>
        <v>0</v>
      </c>
      <c r="CC416" s="218">
        <f t="shared" si="2658"/>
        <v>0</v>
      </c>
      <c r="CD416" s="73">
        <f t="shared" si="2659"/>
        <v>0</v>
      </c>
      <c r="CE416" s="73">
        <f t="shared" si="2660"/>
        <v>0</v>
      </c>
      <c r="CF416" s="73">
        <f t="shared" si="2661"/>
        <v>0</v>
      </c>
      <c r="CG416" s="73">
        <f t="shared" si="2662"/>
        <v>0</v>
      </c>
      <c r="CH416" s="73">
        <f t="shared" si="2663"/>
        <v>0</v>
      </c>
      <c r="CI416" s="73">
        <f t="shared" si="2664"/>
        <v>0</v>
      </c>
      <c r="CJ416" s="73">
        <f t="shared" si="2665"/>
        <v>0</v>
      </c>
      <c r="CK416" s="73">
        <f t="shared" si="2666"/>
        <v>0</v>
      </c>
      <c r="CL416" s="73">
        <f t="shared" si="2667"/>
        <v>0</v>
      </c>
      <c r="CM416" s="73">
        <f t="shared" si="2668"/>
        <v>0</v>
      </c>
      <c r="CN416" s="73">
        <f t="shared" si="2669"/>
        <v>0</v>
      </c>
      <c r="CO416" s="73">
        <f t="shared" si="2670"/>
        <v>0</v>
      </c>
      <c r="CP416" s="73">
        <f t="shared" si="2671"/>
        <v>0</v>
      </c>
      <c r="CQ416" s="73">
        <f t="shared" si="2672"/>
        <v>0</v>
      </c>
      <c r="CR416" s="73">
        <f t="shared" si="2673"/>
        <v>0</v>
      </c>
      <c r="CS416" s="73">
        <f t="shared" si="2674"/>
        <v>0</v>
      </c>
      <c r="CT416" s="73">
        <f t="shared" si="2675"/>
        <v>0</v>
      </c>
      <c r="CU416" s="73">
        <f t="shared" si="2676"/>
        <v>0</v>
      </c>
      <c r="CV416" s="73">
        <f t="shared" si="2677"/>
        <v>0</v>
      </c>
      <c r="CW416" s="73">
        <f t="shared" si="2678"/>
        <v>0</v>
      </c>
      <c r="CX416" s="73">
        <f t="shared" si="2679"/>
        <v>0</v>
      </c>
      <c r="CY416" s="73">
        <f t="shared" si="2680"/>
        <v>0</v>
      </c>
      <c r="CZ416" s="190"/>
      <c r="DA416" s="66">
        <v>2020</v>
      </c>
      <c r="DB416" s="218">
        <f t="shared" si="2603"/>
        <v>0</v>
      </c>
      <c r="DC416" s="218">
        <f t="shared" si="2604"/>
        <v>0</v>
      </c>
      <c r="DD416" s="73">
        <f t="shared" si="2605"/>
        <v>0</v>
      </c>
      <c r="DE416" s="73">
        <f t="shared" si="2606"/>
        <v>0</v>
      </c>
      <c r="DF416" s="73">
        <f t="shared" si="2607"/>
        <v>0</v>
      </c>
      <c r="DG416" s="73">
        <f t="shared" si="2608"/>
        <v>0</v>
      </c>
      <c r="DH416" s="72" t="e">
        <f t="shared" si="2635"/>
        <v>#DIV/0!</v>
      </c>
      <c r="DI416" s="72" t="e">
        <f t="shared" si="2636"/>
        <v>#DIV/0!</v>
      </c>
      <c r="DJ416" s="73">
        <f>SUM(AV400:AV416,BB400:BB416,BI400:BI416)</f>
        <v>0</v>
      </c>
      <c r="DK416" s="73">
        <f>SUM(AV406:AV416,BB406:BB416,BI406:BI416)</f>
        <v>0</v>
      </c>
      <c r="DL416" s="190"/>
    </row>
    <row r="417" spans="22:116" x14ac:dyDescent="0.25">
      <c r="V417" s="63"/>
      <c r="W417" s="66">
        <v>17</v>
      </c>
      <c r="X417" s="66">
        <v>2021</v>
      </c>
      <c r="Y417" s="69">
        <v>0</v>
      </c>
      <c r="Z417" s="69">
        <v>0</v>
      </c>
      <c r="AA417" s="69">
        <v>0</v>
      </c>
      <c r="AB417" s="69">
        <v>0</v>
      </c>
      <c r="AC417" s="69">
        <v>0</v>
      </c>
      <c r="AD417" s="69">
        <v>0</v>
      </c>
      <c r="AE417" s="69">
        <v>0</v>
      </c>
      <c r="AF417" s="69">
        <v>0</v>
      </c>
      <c r="AG417" s="69">
        <v>0</v>
      </c>
      <c r="AH417" s="69">
        <v>0</v>
      </c>
      <c r="AI417" s="69">
        <v>0</v>
      </c>
      <c r="AJ417" s="69">
        <v>0</v>
      </c>
      <c r="AK417" s="69">
        <v>0</v>
      </c>
      <c r="AL417" s="69">
        <v>0</v>
      </c>
      <c r="AM417" s="69">
        <v>0</v>
      </c>
      <c r="AN417" s="69">
        <v>0</v>
      </c>
      <c r="AO417" s="69">
        <v>0</v>
      </c>
      <c r="AP417" s="190"/>
      <c r="AQ417" s="66">
        <v>17</v>
      </c>
      <c r="AR417" s="66">
        <v>2021</v>
      </c>
      <c r="AS417" s="215">
        <f t="shared" si="2586"/>
        <v>0</v>
      </c>
      <c r="AT417" s="215">
        <f t="shared" si="2587"/>
        <v>0</v>
      </c>
      <c r="AU417" s="215">
        <f t="shared" si="2588"/>
        <v>0</v>
      </c>
      <c r="AV417" s="215">
        <f t="shared" si="2589"/>
        <v>0</v>
      </c>
      <c r="AW417" s="215">
        <f t="shared" si="2590"/>
        <v>0</v>
      </c>
      <c r="AX417" s="215">
        <f t="shared" si="2591"/>
        <v>0</v>
      </c>
      <c r="AY417" s="215">
        <f t="shared" si="2592"/>
        <v>0</v>
      </c>
      <c r="AZ417" s="215">
        <f t="shared" si="2593"/>
        <v>0</v>
      </c>
      <c r="BA417" s="215">
        <f t="shared" si="2594"/>
        <v>0</v>
      </c>
      <c r="BB417" s="215">
        <f t="shared" si="2595"/>
        <v>0</v>
      </c>
      <c r="BC417" s="215">
        <f t="shared" si="2596"/>
        <v>0</v>
      </c>
      <c r="BD417" s="215">
        <f t="shared" si="2597"/>
        <v>0</v>
      </c>
      <c r="BE417" s="215">
        <f t="shared" si="2598"/>
        <v>0</v>
      </c>
      <c r="BF417" s="215">
        <f t="shared" si="2599"/>
        <v>0</v>
      </c>
      <c r="BG417" s="215">
        <f t="shared" si="2600"/>
        <v>0</v>
      </c>
      <c r="BH417" s="215">
        <f t="shared" si="2601"/>
        <v>0</v>
      </c>
      <c r="BI417" s="215">
        <f t="shared" si="2602"/>
        <v>0</v>
      </c>
      <c r="BJ417" s="195"/>
      <c r="BK417" s="66">
        <v>17</v>
      </c>
      <c r="BL417" s="66">
        <v>2021</v>
      </c>
      <c r="BM417" s="215">
        <f t="shared" si="2645"/>
        <v>0</v>
      </c>
      <c r="BN417" s="219">
        <f t="shared" si="2646"/>
        <v>0</v>
      </c>
      <c r="BO417" s="219">
        <f t="shared" si="2647"/>
        <v>0</v>
      </c>
      <c r="BP417" s="219">
        <f t="shared" si="2648"/>
        <v>0</v>
      </c>
      <c r="BQ417" s="219">
        <f t="shared" si="2649"/>
        <v>0</v>
      </c>
      <c r="BR417" s="220">
        <f t="shared" si="2650"/>
        <v>0</v>
      </c>
      <c r="BS417" s="219">
        <f t="shared" si="2651"/>
        <v>0</v>
      </c>
      <c r="BT417" s="219">
        <f t="shared" si="2652"/>
        <v>0</v>
      </c>
      <c r="BU417" s="219">
        <f t="shared" si="2653"/>
        <v>0</v>
      </c>
      <c r="BV417" s="219">
        <f t="shared" si="2654"/>
        <v>0</v>
      </c>
      <c r="BW417" s="219">
        <f t="shared" si="2655"/>
        <v>0</v>
      </c>
      <c r="BX417" s="220">
        <f t="shared" si="2656"/>
        <v>0</v>
      </c>
      <c r="BY417" s="195"/>
      <c r="BZ417" s="66">
        <v>17</v>
      </c>
      <c r="CA417" s="66">
        <v>2021</v>
      </c>
      <c r="CB417" s="218">
        <f t="shared" si="2657"/>
        <v>0</v>
      </c>
      <c r="CC417" s="218">
        <f t="shared" si="2658"/>
        <v>0</v>
      </c>
      <c r="CD417" s="73">
        <f t="shared" si="2659"/>
        <v>0</v>
      </c>
      <c r="CE417" s="73">
        <f t="shared" si="2660"/>
        <v>0</v>
      </c>
      <c r="CF417" s="73">
        <f t="shared" si="2661"/>
        <v>0</v>
      </c>
      <c r="CG417" s="73">
        <f t="shared" si="2662"/>
        <v>0</v>
      </c>
      <c r="CH417" s="73">
        <f t="shared" si="2663"/>
        <v>0</v>
      </c>
      <c r="CI417" s="73">
        <f t="shared" si="2664"/>
        <v>0</v>
      </c>
      <c r="CJ417" s="73">
        <f t="shared" si="2665"/>
        <v>0</v>
      </c>
      <c r="CK417" s="73">
        <f t="shared" si="2666"/>
        <v>0</v>
      </c>
      <c r="CL417" s="73">
        <f t="shared" si="2667"/>
        <v>0</v>
      </c>
      <c r="CM417" s="73">
        <f t="shared" si="2668"/>
        <v>0</v>
      </c>
      <c r="CN417" s="73">
        <f t="shared" si="2669"/>
        <v>0</v>
      </c>
      <c r="CO417" s="73">
        <f t="shared" si="2670"/>
        <v>0</v>
      </c>
      <c r="CP417" s="73">
        <f t="shared" si="2671"/>
        <v>0</v>
      </c>
      <c r="CQ417" s="73">
        <f t="shared" si="2672"/>
        <v>0</v>
      </c>
      <c r="CR417" s="73">
        <f t="shared" si="2673"/>
        <v>0</v>
      </c>
      <c r="CS417" s="73">
        <f t="shared" si="2674"/>
        <v>0</v>
      </c>
      <c r="CT417" s="73">
        <f t="shared" si="2675"/>
        <v>0</v>
      </c>
      <c r="CU417" s="73">
        <f t="shared" si="2676"/>
        <v>0</v>
      </c>
      <c r="CV417" s="73">
        <f t="shared" si="2677"/>
        <v>0</v>
      </c>
      <c r="CW417" s="73">
        <f t="shared" si="2678"/>
        <v>0</v>
      </c>
      <c r="CX417" s="73">
        <f t="shared" si="2679"/>
        <v>0</v>
      </c>
      <c r="CY417" s="73">
        <f t="shared" si="2680"/>
        <v>0</v>
      </c>
      <c r="CZ417" s="190"/>
      <c r="DA417" s="66">
        <v>2021</v>
      </c>
      <c r="DB417" s="218">
        <f t="shared" si="2603"/>
        <v>0</v>
      </c>
      <c r="DC417" s="218">
        <f t="shared" si="2604"/>
        <v>0</v>
      </c>
      <c r="DD417" s="73">
        <f t="shared" si="2605"/>
        <v>0</v>
      </c>
      <c r="DE417" s="73">
        <f t="shared" si="2606"/>
        <v>0</v>
      </c>
      <c r="DF417" s="73">
        <f t="shared" si="2607"/>
        <v>0</v>
      </c>
      <c r="DG417" s="73">
        <f t="shared" si="2608"/>
        <v>0</v>
      </c>
      <c r="DH417" s="72" t="e">
        <f t="shared" si="2635"/>
        <v>#DIV/0!</v>
      </c>
      <c r="DI417" s="72" t="e">
        <f t="shared" si="2636"/>
        <v>#DIV/0!</v>
      </c>
      <c r="DJ417" s="73">
        <f>SUM(AV400:AV417,BB400:BB417,BI400:BI417)</f>
        <v>0</v>
      </c>
      <c r="DK417" s="73">
        <f>SUM(AV406:AV417,BB406:BB417,BI406:BI417)</f>
        <v>0</v>
      </c>
      <c r="DL417" s="190"/>
    </row>
    <row r="418" spans="22:116" x14ac:dyDescent="0.25">
      <c r="V418" s="63"/>
      <c r="W418" s="66">
        <v>18</v>
      </c>
      <c r="X418" s="66">
        <v>2022</v>
      </c>
      <c r="Y418" s="69">
        <v>1</v>
      </c>
      <c r="Z418" s="69">
        <v>0</v>
      </c>
      <c r="AA418" s="69">
        <v>0</v>
      </c>
      <c r="AB418" s="69">
        <v>0</v>
      </c>
      <c r="AC418" s="69">
        <v>0</v>
      </c>
      <c r="AD418" s="69">
        <v>0</v>
      </c>
      <c r="AE418" s="69">
        <v>0</v>
      </c>
      <c r="AF418" s="69">
        <v>0</v>
      </c>
      <c r="AG418" s="69">
        <v>0</v>
      </c>
      <c r="AH418" s="69">
        <v>0</v>
      </c>
      <c r="AI418" s="69">
        <v>0</v>
      </c>
      <c r="AJ418" s="69">
        <v>0</v>
      </c>
      <c r="AK418" s="69">
        <v>0</v>
      </c>
      <c r="AL418" s="69">
        <v>0</v>
      </c>
      <c r="AM418" s="69">
        <v>0</v>
      </c>
      <c r="AN418" s="69">
        <v>0</v>
      </c>
      <c r="AO418" s="69">
        <v>0</v>
      </c>
      <c r="AP418" s="190"/>
      <c r="AQ418" s="66">
        <v>18</v>
      </c>
      <c r="AR418" s="66">
        <v>2022</v>
      </c>
      <c r="AS418" s="215">
        <f t="shared" si="2586"/>
        <v>8588.0400000000009</v>
      </c>
      <c r="AT418" s="215">
        <f t="shared" si="2587"/>
        <v>0</v>
      </c>
      <c r="AU418" s="215">
        <f t="shared" si="2588"/>
        <v>0</v>
      </c>
      <c r="AV418" s="215">
        <f t="shared" si="2589"/>
        <v>0</v>
      </c>
      <c r="AW418" s="215">
        <f t="shared" si="2590"/>
        <v>0</v>
      </c>
      <c r="AX418" s="215">
        <f t="shared" si="2591"/>
        <v>0</v>
      </c>
      <c r="AY418" s="215">
        <f t="shared" si="2592"/>
        <v>0</v>
      </c>
      <c r="AZ418" s="215">
        <f t="shared" si="2593"/>
        <v>0</v>
      </c>
      <c r="BA418" s="215">
        <f t="shared" si="2594"/>
        <v>0</v>
      </c>
      <c r="BB418" s="215">
        <f t="shared" si="2595"/>
        <v>0</v>
      </c>
      <c r="BC418" s="215">
        <f t="shared" si="2596"/>
        <v>0</v>
      </c>
      <c r="BD418" s="215">
        <f t="shared" si="2597"/>
        <v>0</v>
      </c>
      <c r="BE418" s="215">
        <f t="shared" si="2598"/>
        <v>0</v>
      </c>
      <c r="BF418" s="215">
        <f t="shared" si="2599"/>
        <v>0</v>
      </c>
      <c r="BG418" s="215">
        <f t="shared" si="2600"/>
        <v>0</v>
      </c>
      <c r="BH418" s="215">
        <f t="shared" si="2601"/>
        <v>0</v>
      </c>
      <c r="BI418" s="215">
        <f t="shared" si="2602"/>
        <v>0</v>
      </c>
      <c r="BJ418" s="195"/>
      <c r="BK418" s="66">
        <v>18</v>
      </c>
      <c r="BL418" s="66">
        <v>2022</v>
      </c>
      <c r="BM418" s="215">
        <f t="shared" si="2645"/>
        <v>0</v>
      </c>
      <c r="BN418" s="219">
        <f t="shared" si="2646"/>
        <v>0</v>
      </c>
      <c r="BO418" s="219">
        <f t="shared" si="2647"/>
        <v>0</v>
      </c>
      <c r="BP418" s="219">
        <f t="shared" si="2648"/>
        <v>0</v>
      </c>
      <c r="BQ418" s="219">
        <f t="shared" si="2649"/>
        <v>0</v>
      </c>
      <c r="BR418" s="220">
        <f t="shared" si="2650"/>
        <v>0</v>
      </c>
      <c r="BS418" s="219">
        <f t="shared" si="2651"/>
        <v>0</v>
      </c>
      <c r="BT418" s="219">
        <f t="shared" si="2652"/>
        <v>0</v>
      </c>
      <c r="BU418" s="219">
        <f t="shared" si="2653"/>
        <v>0</v>
      </c>
      <c r="BV418" s="219">
        <f t="shared" si="2654"/>
        <v>0</v>
      </c>
      <c r="BW418" s="219">
        <f t="shared" si="2655"/>
        <v>0</v>
      </c>
      <c r="BX418" s="220">
        <f t="shared" si="2656"/>
        <v>0</v>
      </c>
      <c r="BY418" s="195"/>
      <c r="BZ418" s="66">
        <v>18</v>
      </c>
      <c r="CA418" s="66">
        <v>2022</v>
      </c>
      <c r="CB418" s="218">
        <f t="shared" si="2657"/>
        <v>0</v>
      </c>
      <c r="CC418" s="218">
        <f t="shared" si="2658"/>
        <v>0</v>
      </c>
      <c r="CD418" s="73">
        <f t="shared" si="2659"/>
        <v>0</v>
      </c>
      <c r="CE418" s="73">
        <f t="shared" si="2660"/>
        <v>0</v>
      </c>
      <c r="CF418" s="73">
        <f t="shared" si="2661"/>
        <v>0</v>
      </c>
      <c r="CG418" s="73">
        <f t="shared" si="2662"/>
        <v>0</v>
      </c>
      <c r="CH418" s="73">
        <f t="shared" si="2663"/>
        <v>0</v>
      </c>
      <c r="CI418" s="73">
        <f t="shared" si="2664"/>
        <v>0</v>
      </c>
      <c r="CJ418" s="73">
        <f t="shared" si="2665"/>
        <v>0</v>
      </c>
      <c r="CK418" s="73">
        <f t="shared" si="2666"/>
        <v>0</v>
      </c>
      <c r="CL418" s="73">
        <f t="shared" si="2667"/>
        <v>0</v>
      </c>
      <c r="CM418" s="73">
        <f t="shared" si="2668"/>
        <v>0</v>
      </c>
      <c r="CN418" s="73">
        <f t="shared" si="2669"/>
        <v>0</v>
      </c>
      <c r="CO418" s="73">
        <f t="shared" si="2670"/>
        <v>0</v>
      </c>
      <c r="CP418" s="73">
        <f t="shared" si="2671"/>
        <v>0</v>
      </c>
      <c r="CQ418" s="73">
        <f t="shared" si="2672"/>
        <v>0</v>
      </c>
      <c r="CR418" s="73">
        <f t="shared" si="2673"/>
        <v>0</v>
      </c>
      <c r="CS418" s="73">
        <f t="shared" si="2674"/>
        <v>0</v>
      </c>
      <c r="CT418" s="73">
        <f t="shared" si="2675"/>
        <v>0</v>
      </c>
      <c r="CU418" s="73">
        <f t="shared" si="2676"/>
        <v>0</v>
      </c>
      <c r="CV418" s="73">
        <f t="shared" si="2677"/>
        <v>0</v>
      </c>
      <c r="CW418" s="73">
        <f t="shared" si="2678"/>
        <v>0</v>
      </c>
      <c r="CX418" s="73">
        <f t="shared" si="2679"/>
        <v>0</v>
      </c>
      <c r="CY418" s="73">
        <f t="shared" si="2680"/>
        <v>0</v>
      </c>
      <c r="CZ418" s="190"/>
      <c r="DA418" s="66">
        <v>2022</v>
      </c>
      <c r="DB418" s="218">
        <f t="shared" si="2603"/>
        <v>0</v>
      </c>
      <c r="DC418" s="218">
        <f t="shared" si="2604"/>
        <v>8588.0400000000009</v>
      </c>
      <c r="DD418" s="73">
        <f t="shared" si="2605"/>
        <v>0</v>
      </c>
      <c r="DE418" s="73">
        <f t="shared" si="2606"/>
        <v>0</v>
      </c>
      <c r="DF418" s="73">
        <f t="shared" si="2607"/>
        <v>0</v>
      </c>
      <c r="DG418" s="73">
        <f t="shared" si="2608"/>
        <v>0</v>
      </c>
      <c r="DH418" s="72" t="e">
        <f t="shared" si="2635"/>
        <v>#DIV/0!</v>
      </c>
      <c r="DI418" s="72" t="e">
        <f t="shared" si="2636"/>
        <v>#DIV/0!</v>
      </c>
      <c r="DJ418" s="73">
        <f>SUM(AV400:AV418,BB400:BB418,BI400:BI418)</f>
        <v>0</v>
      </c>
      <c r="DK418" s="73">
        <f>SUM(AV406:AV418,BB406:BB418,BI406:BI418)</f>
        <v>0</v>
      </c>
      <c r="DL418" s="190"/>
    </row>
    <row r="419" spans="22:116" x14ac:dyDescent="0.25">
      <c r="V419" s="63"/>
      <c r="W419" s="66">
        <v>19</v>
      </c>
      <c r="X419" s="66">
        <v>2023</v>
      </c>
      <c r="Y419" s="70">
        <f t="shared" ref="Y419" si="2681">MMULT($Y418:$AO418,D$202:D$218)</f>
        <v>0.63376008575865694</v>
      </c>
      <c r="Z419" s="70">
        <f t="shared" ref="Z419" si="2682">MMULT($Y418:$AO418,E$202:E$218)</f>
        <v>7.4027434914144222E-2</v>
      </c>
      <c r="AA419" s="70">
        <f t="shared" ref="AA419" si="2683">MMULT($Y418:$AO418,F$202:F$218)</f>
        <v>0</v>
      </c>
      <c r="AB419" s="70">
        <f t="shared" ref="AB419" si="2684">MMULT($Y418:$AO418,G$202:G$218)</f>
        <v>1.818504441305463E-2</v>
      </c>
      <c r="AC419" s="70">
        <f t="shared" ref="AC419" si="2685">MMULT($Y418:$AO418,H$202:H$218)</f>
        <v>0.2</v>
      </c>
      <c r="AD419" s="70">
        <f t="shared" ref="AD419" si="2686">MMULT($Y418:$AO418,I$202:I$218)</f>
        <v>7.4027434914144222E-2</v>
      </c>
      <c r="AE419" s="70">
        <f t="shared" ref="AE419" si="2687">MMULT($Y418:$AO418,J$202:J$218)</f>
        <v>0</v>
      </c>
      <c r="AF419" s="70">
        <f t="shared" ref="AF419" si="2688">MMULT($Y418:$AO418,K$202:K$218)</f>
        <v>0</v>
      </c>
      <c r="AG419" s="70">
        <f t="shared" ref="AG419" si="2689">MMULT($Y418:$AO418,L$202:L$218)</f>
        <v>0</v>
      </c>
      <c r="AH419" s="70">
        <f t="shared" ref="AH419" si="2690">MMULT($Y418:$AO418,M$202:M$218)</f>
        <v>0</v>
      </c>
      <c r="AI419" s="70">
        <f t="shared" ref="AI419" si="2691">MMULT($Y418:$AO418,N$202:N$218)</f>
        <v>0</v>
      </c>
      <c r="AJ419" s="70">
        <f t="shared" ref="AJ419" si="2692">MMULT($Y418:$AO418,O$202:O$218)</f>
        <v>0</v>
      </c>
      <c r="AK419" s="70">
        <f t="shared" ref="AK419" si="2693">MMULT($Y418:$AO418,P$202:P$218)</f>
        <v>0</v>
      </c>
      <c r="AL419" s="70">
        <f t="shared" ref="AL419" si="2694">MMULT($Y418:$AO418,Q$202:Q$218)</f>
        <v>0</v>
      </c>
      <c r="AM419" s="70">
        <f t="shared" ref="AM419" si="2695">MMULT($Y418:$AO418,R$202:R$218)</f>
        <v>0</v>
      </c>
      <c r="AN419" s="70">
        <f t="shared" ref="AN419" si="2696">MMULT($Y418:$AO418,S$202:S$218)</f>
        <v>0</v>
      </c>
      <c r="AO419" s="70">
        <f t="shared" ref="AO419" si="2697">MMULT($Y418:$AO418,T$202:T$218)</f>
        <v>0</v>
      </c>
      <c r="AP419" s="190"/>
      <c r="AQ419" s="66">
        <v>19</v>
      </c>
      <c r="AR419" s="66">
        <v>2023</v>
      </c>
      <c r="AS419" s="215">
        <f t="shared" si="2586"/>
        <v>5442.7569668987771</v>
      </c>
      <c r="AT419" s="215">
        <f t="shared" si="2587"/>
        <v>635.75057214006722</v>
      </c>
      <c r="AU419" s="215">
        <f t="shared" si="2588"/>
        <v>0</v>
      </c>
      <c r="AV419" s="215">
        <f t="shared" si="2589"/>
        <v>156.17388882108969</v>
      </c>
      <c r="AW419" s="215">
        <f t="shared" si="2590"/>
        <v>1717.6080000000002</v>
      </c>
      <c r="AX419" s="215">
        <f t="shared" si="2591"/>
        <v>635.75057214006722</v>
      </c>
      <c r="AY419" s="215">
        <f t="shared" si="2592"/>
        <v>0</v>
      </c>
      <c r="AZ419" s="215">
        <f t="shared" si="2593"/>
        <v>0</v>
      </c>
      <c r="BA419" s="215">
        <f t="shared" si="2594"/>
        <v>0</v>
      </c>
      <c r="BB419" s="215">
        <f t="shared" si="2595"/>
        <v>0</v>
      </c>
      <c r="BC419" s="215">
        <f t="shared" si="2596"/>
        <v>0</v>
      </c>
      <c r="BD419" s="215">
        <f t="shared" si="2597"/>
        <v>0</v>
      </c>
      <c r="BE419" s="215">
        <f t="shared" si="2598"/>
        <v>0</v>
      </c>
      <c r="BF419" s="215">
        <f t="shared" si="2599"/>
        <v>0</v>
      </c>
      <c r="BG419" s="215">
        <f t="shared" si="2600"/>
        <v>0</v>
      </c>
      <c r="BH419" s="215">
        <f t="shared" si="2601"/>
        <v>0</v>
      </c>
      <c r="BI419" s="215">
        <f t="shared" si="2602"/>
        <v>0</v>
      </c>
      <c r="BJ419" s="195"/>
      <c r="BK419" s="66">
        <v>19</v>
      </c>
      <c r="BL419" s="66">
        <v>2023</v>
      </c>
      <c r="BM419" s="215">
        <f t="shared" si="2645"/>
        <v>0</v>
      </c>
      <c r="BN419" s="219">
        <f t="shared" si="2646"/>
        <v>0</v>
      </c>
      <c r="BO419" s="219">
        <f t="shared" si="2647"/>
        <v>0</v>
      </c>
      <c r="BP419" s="219">
        <f t="shared" si="2648"/>
        <v>0</v>
      </c>
      <c r="BQ419" s="219">
        <f t="shared" si="2649"/>
        <v>0</v>
      </c>
      <c r="BR419" s="220">
        <f t="shared" si="2650"/>
        <v>0</v>
      </c>
      <c r="BS419" s="219">
        <f t="shared" si="2651"/>
        <v>0</v>
      </c>
      <c r="BT419" s="219">
        <f t="shared" si="2652"/>
        <v>0</v>
      </c>
      <c r="BU419" s="219">
        <f t="shared" si="2653"/>
        <v>0</v>
      </c>
      <c r="BV419" s="219">
        <f t="shared" si="2654"/>
        <v>0</v>
      </c>
      <c r="BW419" s="219">
        <f t="shared" si="2655"/>
        <v>0</v>
      </c>
      <c r="BX419" s="220">
        <f t="shared" si="2656"/>
        <v>0</v>
      </c>
      <c r="BY419" s="195"/>
      <c r="BZ419" s="66">
        <v>19</v>
      </c>
      <c r="CA419" s="66">
        <v>2023</v>
      </c>
      <c r="CB419" s="218">
        <f t="shared" si="2657"/>
        <v>156.17388882108969</v>
      </c>
      <c r="CC419" s="218">
        <f t="shared" si="2658"/>
        <v>0</v>
      </c>
      <c r="CD419" s="73">
        <f t="shared" si="2659"/>
        <v>0</v>
      </c>
      <c r="CE419" s="73">
        <f t="shared" si="2660"/>
        <v>0</v>
      </c>
      <c r="CF419" s="73">
        <f t="shared" si="2661"/>
        <v>0</v>
      </c>
      <c r="CG419" s="73">
        <f t="shared" si="2662"/>
        <v>0</v>
      </c>
      <c r="CH419" s="73">
        <f t="shared" si="2663"/>
        <v>0</v>
      </c>
      <c r="CI419" s="73">
        <f t="shared" si="2664"/>
        <v>0</v>
      </c>
      <c r="CJ419" s="73">
        <f t="shared" si="2665"/>
        <v>0</v>
      </c>
      <c r="CK419" s="73">
        <f t="shared" si="2666"/>
        <v>0</v>
      </c>
      <c r="CL419" s="73">
        <f t="shared" si="2667"/>
        <v>0</v>
      </c>
      <c r="CM419" s="73">
        <f t="shared" si="2668"/>
        <v>0</v>
      </c>
      <c r="CN419" s="73">
        <f t="shared" si="2669"/>
        <v>0</v>
      </c>
      <c r="CO419" s="73">
        <f t="shared" si="2670"/>
        <v>0</v>
      </c>
      <c r="CP419" s="73">
        <f t="shared" si="2671"/>
        <v>0</v>
      </c>
      <c r="CQ419" s="73">
        <f t="shared" si="2672"/>
        <v>0</v>
      </c>
      <c r="CR419" s="73">
        <f t="shared" si="2673"/>
        <v>0</v>
      </c>
      <c r="CS419" s="73">
        <f t="shared" si="2674"/>
        <v>0</v>
      </c>
      <c r="CT419" s="73">
        <f t="shared" si="2675"/>
        <v>0</v>
      </c>
      <c r="CU419" s="73">
        <f t="shared" si="2676"/>
        <v>0</v>
      </c>
      <c r="CV419" s="73">
        <f t="shared" si="2677"/>
        <v>0</v>
      </c>
      <c r="CW419" s="73">
        <f t="shared" si="2678"/>
        <v>0</v>
      </c>
      <c r="CX419" s="73">
        <f t="shared" si="2679"/>
        <v>0</v>
      </c>
      <c r="CY419" s="73">
        <f t="shared" si="2680"/>
        <v>0</v>
      </c>
      <c r="CZ419" s="190"/>
      <c r="DA419" s="66">
        <v>2023</v>
      </c>
      <c r="DB419" s="218">
        <f t="shared" si="2603"/>
        <v>1271.5011442801344</v>
      </c>
      <c r="DC419" s="218">
        <f t="shared" si="2604"/>
        <v>8431.8661111789115</v>
      </c>
      <c r="DD419" s="73">
        <f t="shared" si="2605"/>
        <v>0</v>
      </c>
      <c r="DE419" s="73">
        <f t="shared" si="2606"/>
        <v>0</v>
      </c>
      <c r="DF419" s="73">
        <f t="shared" si="2607"/>
        <v>0</v>
      </c>
      <c r="DG419" s="73">
        <f t="shared" si="2608"/>
        <v>2353.3585721400673</v>
      </c>
      <c r="DH419" s="72">
        <f t="shared" si="2635"/>
        <v>0</v>
      </c>
      <c r="DI419" s="72" t="e">
        <f t="shared" si="2636"/>
        <v>#DIV/0!</v>
      </c>
      <c r="DJ419" s="73">
        <f>SUM(AV400:AV419,BB400:BB419,BI400:BI419)</f>
        <v>156.17388882108969</v>
      </c>
      <c r="DK419" s="73">
        <f>SUM(AV406:AV419,BB406:BB419,BI406:BI419)</f>
        <v>156.17388882108969</v>
      </c>
      <c r="DL419" s="190"/>
    </row>
    <row r="420" spans="22:116" x14ac:dyDescent="0.25">
      <c r="V420" s="13"/>
      <c r="W420" s="197" t="s">
        <v>594</v>
      </c>
      <c r="X420" s="190"/>
      <c r="Y420" s="190"/>
      <c r="Z420" s="190"/>
      <c r="AA420" s="190"/>
      <c r="AB420" s="190"/>
      <c r="AC420" s="190"/>
      <c r="AD420" s="190"/>
      <c r="AE420" s="190"/>
      <c r="AF420" s="190"/>
      <c r="AG420" s="190"/>
      <c r="AH420" s="190"/>
      <c r="AI420" s="190"/>
      <c r="AJ420" s="190"/>
      <c r="AK420" s="190"/>
      <c r="AL420" s="190"/>
      <c r="AM420" s="190"/>
      <c r="AN420" s="190"/>
      <c r="AO420" s="190"/>
      <c r="AP420" s="190"/>
      <c r="AQ420" s="193" t="s">
        <v>90</v>
      </c>
      <c r="AR420" s="25"/>
      <c r="AS420" s="213"/>
      <c r="AT420" s="213"/>
      <c r="AU420" s="213"/>
      <c r="AV420" s="213"/>
      <c r="AW420" s="213"/>
      <c r="AX420" s="213"/>
      <c r="AY420" s="213"/>
      <c r="AZ420" s="213"/>
      <c r="BA420" s="213"/>
      <c r="BB420" s="213"/>
      <c r="BC420" s="213"/>
      <c r="BD420" s="213"/>
      <c r="BE420" s="213"/>
      <c r="BF420" s="213"/>
      <c r="BG420" s="213"/>
      <c r="BH420" s="213"/>
      <c r="BI420" s="213"/>
      <c r="BJ420" s="25"/>
      <c r="BK420" s="25"/>
      <c r="BL420" s="25"/>
      <c r="BM420" s="348" t="s">
        <v>570</v>
      </c>
      <c r="BN420" s="349"/>
      <c r="BO420" s="349"/>
      <c r="BP420" s="349"/>
      <c r="BQ420" s="350" t="s">
        <v>570</v>
      </c>
      <c r="BR420" s="350"/>
      <c r="BS420" s="350"/>
      <c r="BT420" s="350"/>
      <c r="BU420" s="350"/>
      <c r="BV420" s="350"/>
      <c r="BW420" s="350"/>
      <c r="BX420" s="351"/>
      <c r="BY420" s="199"/>
      <c r="BZ420" s="25"/>
      <c r="CA420" s="25"/>
      <c r="CB420" s="350" t="s">
        <v>302</v>
      </c>
      <c r="CC420" s="350"/>
      <c r="CD420" s="350"/>
      <c r="CE420" s="350" t="s">
        <v>302</v>
      </c>
      <c r="CF420" s="350"/>
      <c r="CG420" s="350"/>
      <c r="CH420" s="350"/>
      <c r="CI420" s="350"/>
      <c r="CJ420" s="350"/>
      <c r="CK420" s="350"/>
      <c r="CL420" s="350"/>
      <c r="CM420" s="350" t="s">
        <v>302</v>
      </c>
      <c r="CN420" s="350"/>
      <c r="CO420" s="350"/>
      <c r="CP420" s="350"/>
      <c r="CQ420" s="350"/>
      <c r="CR420" s="350"/>
      <c r="CS420" s="350"/>
      <c r="CT420" s="350"/>
      <c r="CU420" s="350"/>
      <c r="CV420" s="350"/>
      <c r="CW420" s="350"/>
      <c r="CX420" s="350"/>
      <c r="CY420" s="350"/>
      <c r="CZ420" s="190"/>
      <c r="DA420" s="190" t="s">
        <v>100</v>
      </c>
      <c r="DB420" s="217"/>
      <c r="DC420" s="217"/>
      <c r="DD420" s="217"/>
      <c r="DE420" s="217"/>
      <c r="DF420" s="217"/>
      <c r="DG420" s="217"/>
      <c r="DH420" s="222"/>
      <c r="DI420" s="222"/>
      <c r="DJ420" s="217"/>
      <c r="DK420" s="217"/>
      <c r="DL420" s="190"/>
    </row>
    <row r="421" spans="22:116" x14ac:dyDescent="0.25">
      <c r="V421" s="13"/>
      <c r="W421" s="66" t="s">
        <v>88</v>
      </c>
      <c r="X421" s="66" t="s">
        <v>89</v>
      </c>
      <c r="Y421" s="61" t="s">
        <v>320</v>
      </c>
      <c r="Z421" s="61" t="s">
        <v>319</v>
      </c>
      <c r="AA421" s="61" t="s">
        <v>318</v>
      </c>
      <c r="AB421" s="61" t="s">
        <v>317</v>
      </c>
      <c r="AC421" s="61" t="s">
        <v>321</v>
      </c>
      <c r="AD421" s="61" t="s">
        <v>322</v>
      </c>
      <c r="AE421" s="61" t="s">
        <v>323</v>
      </c>
      <c r="AF421" s="61" t="s">
        <v>324</v>
      </c>
      <c r="AG421" s="61" t="s">
        <v>325</v>
      </c>
      <c r="AH421" s="61" t="s">
        <v>326</v>
      </c>
      <c r="AI421" s="61" t="s">
        <v>327</v>
      </c>
      <c r="AJ421" s="61" t="s">
        <v>328</v>
      </c>
      <c r="AK421" s="61" t="s">
        <v>329</v>
      </c>
      <c r="AL421" s="61" t="s">
        <v>330</v>
      </c>
      <c r="AM421" s="61" t="s">
        <v>331</v>
      </c>
      <c r="AN421" s="61" t="s">
        <v>332</v>
      </c>
      <c r="AO421" s="61" t="s">
        <v>333</v>
      </c>
      <c r="AP421" s="190"/>
      <c r="AQ421" s="66" t="s">
        <v>88</v>
      </c>
      <c r="AR421" s="66" t="s">
        <v>89</v>
      </c>
      <c r="AS421" s="214" t="s">
        <v>320</v>
      </c>
      <c r="AT421" s="214" t="s">
        <v>319</v>
      </c>
      <c r="AU421" s="214" t="s">
        <v>318</v>
      </c>
      <c r="AV421" s="214" t="s">
        <v>317</v>
      </c>
      <c r="AW421" s="214" t="s">
        <v>321</v>
      </c>
      <c r="AX421" s="214" t="s">
        <v>322</v>
      </c>
      <c r="AY421" s="214" t="s">
        <v>323</v>
      </c>
      <c r="AZ421" s="214" t="s">
        <v>324</v>
      </c>
      <c r="BA421" s="214" t="s">
        <v>325</v>
      </c>
      <c r="BB421" s="214" t="s">
        <v>326</v>
      </c>
      <c r="BC421" s="214" t="s">
        <v>327</v>
      </c>
      <c r="BD421" s="214" t="s">
        <v>328</v>
      </c>
      <c r="BE421" s="214" t="s">
        <v>329</v>
      </c>
      <c r="BF421" s="214" t="s">
        <v>330</v>
      </c>
      <c r="BG421" s="214" t="s">
        <v>331</v>
      </c>
      <c r="BH421" s="214" t="s">
        <v>332</v>
      </c>
      <c r="BI421" s="214" t="s">
        <v>333</v>
      </c>
      <c r="BJ421" s="182"/>
      <c r="BK421" s="66" t="s">
        <v>88</v>
      </c>
      <c r="BL421" s="66" t="s">
        <v>89</v>
      </c>
      <c r="BM421" s="122" t="s">
        <v>627</v>
      </c>
      <c r="BN421" s="122" t="s">
        <v>715</v>
      </c>
      <c r="BO421" s="122" t="s">
        <v>628</v>
      </c>
      <c r="BP421" s="122" t="s">
        <v>629</v>
      </c>
      <c r="BQ421" s="122" t="s">
        <v>627</v>
      </c>
      <c r="BR421" s="122" t="s">
        <v>716</v>
      </c>
      <c r="BS421" s="122" t="s">
        <v>717</v>
      </c>
      <c r="BT421" s="122" t="s">
        <v>721</v>
      </c>
      <c r="BU421" s="122" t="s">
        <v>720</v>
      </c>
      <c r="BV421" s="122" t="s">
        <v>719</v>
      </c>
      <c r="BW421" s="122" t="s">
        <v>629</v>
      </c>
      <c r="BX421" s="122" t="s">
        <v>722</v>
      </c>
      <c r="BY421" s="182"/>
      <c r="BZ421" s="192" t="s">
        <v>88</v>
      </c>
      <c r="CA421" s="66" t="s">
        <v>89</v>
      </c>
      <c r="CB421" s="218" t="s">
        <v>124</v>
      </c>
      <c r="CC421" s="218" t="s">
        <v>630</v>
      </c>
      <c r="CD421" s="218" t="s">
        <v>570</v>
      </c>
      <c r="CE421" s="218" t="s">
        <v>124</v>
      </c>
      <c r="CF421" s="218" t="s">
        <v>630</v>
      </c>
      <c r="CG421" s="218" t="s">
        <v>631</v>
      </c>
      <c r="CH421" s="218" t="s">
        <v>632</v>
      </c>
      <c r="CI421" s="227" t="s">
        <v>624</v>
      </c>
      <c r="CJ421" s="227" t="s">
        <v>725</v>
      </c>
      <c r="CK421" s="227" t="s">
        <v>625</v>
      </c>
      <c r="CL421" s="227" t="s">
        <v>626</v>
      </c>
      <c r="CM421" s="218" t="s">
        <v>124</v>
      </c>
      <c r="CN421" s="218" t="s">
        <v>633</v>
      </c>
      <c r="CO421" s="218" t="s">
        <v>634</v>
      </c>
      <c r="CP421" s="218" t="s">
        <v>635</v>
      </c>
      <c r="CQ421" s="218" t="s">
        <v>632</v>
      </c>
      <c r="CR421" s="122" t="s">
        <v>624</v>
      </c>
      <c r="CS421" s="122" t="s">
        <v>726</v>
      </c>
      <c r="CT421" s="122" t="s">
        <v>727</v>
      </c>
      <c r="CU421" s="122" t="s">
        <v>637</v>
      </c>
      <c r="CV421" s="122" t="s">
        <v>638</v>
      </c>
      <c r="CW421" s="122" t="s">
        <v>728</v>
      </c>
      <c r="CX421" s="122" t="s">
        <v>626</v>
      </c>
      <c r="CY421" s="122" t="s">
        <v>729</v>
      </c>
      <c r="CZ421" s="190"/>
      <c r="DA421" s="67" t="s">
        <v>89</v>
      </c>
      <c r="DB421" s="219" t="s">
        <v>91</v>
      </c>
      <c r="DC421" s="219" t="s">
        <v>99</v>
      </c>
      <c r="DD421" s="215" t="s">
        <v>92</v>
      </c>
      <c r="DE421" s="215" t="s">
        <v>97</v>
      </c>
      <c r="DF421" s="215" t="s">
        <v>93</v>
      </c>
      <c r="DG421" s="215" t="s">
        <v>94</v>
      </c>
      <c r="DH421" s="223" t="s">
        <v>96</v>
      </c>
      <c r="DI421" s="223" t="s">
        <v>98</v>
      </c>
      <c r="DJ421" s="219" t="s">
        <v>95</v>
      </c>
      <c r="DK421" s="219" t="s">
        <v>102</v>
      </c>
      <c r="DL421" s="190"/>
    </row>
    <row r="422" spans="22:116" x14ac:dyDescent="0.25">
      <c r="V422" s="13"/>
      <c r="W422" s="66">
        <v>0</v>
      </c>
      <c r="X422" s="66">
        <v>2004</v>
      </c>
      <c r="Y422" s="69">
        <v>0</v>
      </c>
      <c r="Z422" s="69">
        <v>0</v>
      </c>
      <c r="AA422" s="69">
        <v>0</v>
      </c>
      <c r="AB422" s="69">
        <v>0</v>
      </c>
      <c r="AC422" s="69">
        <v>0</v>
      </c>
      <c r="AD422" s="69">
        <v>0</v>
      </c>
      <c r="AE422" s="69">
        <v>0</v>
      </c>
      <c r="AF422" s="69">
        <v>0</v>
      </c>
      <c r="AG422" s="69">
        <v>0</v>
      </c>
      <c r="AH422" s="69">
        <v>0</v>
      </c>
      <c r="AI422" s="69">
        <v>0</v>
      </c>
      <c r="AJ422" s="69">
        <v>0</v>
      </c>
      <c r="AK422" s="69">
        <v>0</v>
      </c>
      <c r="AL422" s="69">
        <v>0</v>
      </c>
      <c r="AM422" s="69">
        <v>0</v>
      </c>
      <c r="AN422" s="69">
        <v>0</v>
      </c>
      <c r="AO422" s="69">
        <v>0</v>
      </c>
      <c r="AP422" s="190"/>
      <c r="AQ422" s="66">
        <v>0</v>
      </c>
      <c r="AR422" s="66">
        <v>2004</v>
      </c>
      <c r="AS422" s="215">
        <f t="shared" ref="AS422:AS441" si="2698">Inc_2023*Y422</f>
        <v>0</v>
      </c>
      <c r="AT422" s="215">
        <f t="shared" ref="AT422:AT441" si="2699">Inc_2023*Z422</f>
        <v>0</v>
      </c>
      <c r="AU422" s="215">
        <f t="shared" ref="AU422:AU441" si="2700">Inc_2023*AA422</f>
        <v>0</v>
      </c>
      <c r="AV422" s="215">
        <f t="shared" ref="AV422:AV441" si="2701">Inc_2023*AB422</f>
        <v>0</v>
      </c>
      <c r="AW422" s="215">
        <f t="shared" ref="AW422:AW441" si="2702">Inc_2023*AC422</f>
        <v>0</v>
      </c>
      <c r="AX422" s="215">
        <f t="shared" ref="AX422:AX441" si="2703">Inc_2023*AD422</f>
        <v>0</v>
      </c>
      <c r="AY422" s="215">
        <f t="shared" ref="AY422:AY441" si="2704">Inc_2023*AE422</f>
        <v>0</v>
      </c>
      <c r="AZ422" s="215">
        <f t="shared" ref="AZ422:AZ441" si="2705">Inc_2023*AF422</f>
        <v>0</v>
      </c>
      <c r="BA422" s="215">
        <f t="shared" ref="BA422:BA441" si="2706">Inc_2023*AG422</f>
        <v>0</v>
      </c>
      <c r="BB422" s="215">
        <f t="shared" ref="BB422:BB441" si="2707">Inc_2023*AH422</f>
        <v>0</v>
      </c>
      <c r="BC422" s="215">
        <f t="shared" ref="BC422:BC441" si="2708">Inc_2023*AI422</f>
        <v>0</v>
      </c>
      <c r="BD422" s="215">
        <f t="shared" ref="BD422:BD441" si="2709">Inc_2023*AJ422</f>
        <v>0</v>
      </c>
      <c r="BE422" s="215">
        <f t="shared" ref="BE422:BE441" si="2710">Inc_2023*AK422</f>
        <v>0</v>
      </c>
      <c r="BF422" s="215">
        <f t="shared" ref="BF422:BF441" si="2711">Inc_2023*AL422</f>
        <v>0</v>
      </c>
      <c r="BG422" s="215">
        <f t="shared" ref="BG422:BG441" si="2712">Inc_2023*AM422</f>
        <v>0</v>
      </c>
      <c r="BH422" s="215">
        <f t="shared" ref="BH422:BH441" si="2713">Inc_2023*AN422</f>
        <v>0</v>
      </c>
      <c r="BI422" s="215">
        <f t="shared" ref="BI422:BI441" si="2714">Inc_2023*AO422</f>
        <v>0</v>
      </c>
      <c r="BJ422" s="195"/>
      <c r="BK422" s="66">
        <v>0</v>
      </c>
      <c r="BL422" s="66">
        <v>2004</v>
      </c>
      <c r="BM422" s="215">
        <f>BA422</f>
        <v>0</v>
      </c>
      <c r="BN422" s="219">
        <v>0</v>
      </c>
      <c r="BO422" s="219">
        <v>0</v>
      </c>
      <c r="BP422" s="219">
        <v>0</v>
      </c>
      <c r="BQ422" s="219">
        <f>BH422</f>
        <v>0</v>
      </c>
      <c r="BR422" s="219">
        <v>0</v>
      </c>
      <c r="BS422" s="219">
        <v>0</v>
      </c>
      <c r="BT422" s="219">
        <v>0</v>
      </c>
      <c r="BU422" s="219">
        <v>0</v>
      </c>
      <c r="BV422" s="219">
        <v>0</v>
      </c>
      <c r="BW422" s="219">
        <v>0</v>
      </c>
      <c r="BX422" s="219">
        <v>0</v>
      </c>
      <c r="BY422" s="195"/>
      <c r="BZ422" s="66">
        <v>0</v>
      </c>
      <c r="CA422" s="66">
        <v>2004</v>
      </c>
      <c r="CB422" s="218">
        <v>0</v>
      </c>
      <c r="CC422" s="218">
        <v>0</v>
      </c>
      <c r="CD422" s="218">
        <v>0</v>
      </c>
      <c r="CE422" s="218">
        <v>0</v>
      </c>
      <c r="CF422" s="218">
        <v>0</v>
      </c>
      <c r="CG422" s="218">
        <v>0</v>
      </c>
      <c r="CH422" s="218">
        <v>0</v>
      </c>
      <c r="CI422" s="218">
        <v>0</v>
      </c>
      <c r="CJ422" s="218">
        <v>0</v>
      </c>
      <c r="CK422" s="218">
        <v>0</v>
      </c>
      <c r="CL422" s="218">
        <v>0</v>
      </c>
      <c r="CM422" s="218">
        <v>0</v>
      </c>
      <c r="CN422" s="218">
        <v>0</v>
      </c>
      <c r="CO422" s="218">
        <v>0</v>
      </c>
      <c r="CP422" s="218">
        <v>0</v>
      </c>
      <c r="CQ422" s="218">
        <v>0</v>
      </c>
      <c r="CR422" s="218">
        <v>0</v>
      </c>
      <c r="CS422" s="218">
        <v>0</v>
      </c>
      <c r="CT422" s="218">
        <v>0</v>
      </c>
      <c r="CU422" s="218">
        <v>0</v>
      </c>
      <c r="CV422" s="218">
        <v>0</v>
      </c>
      <c r="CW422" s="218">
        <v>0</v>
      </c>
      <c r="CX422" s="218">
        <v>0</v>
      </c>
      <c r="CY422" s="218">
        <v>0</v>
      </c>
      <c r="CZ422" s="190"/>
      <c r="DA422" s="67">
        <v>2004</v>
      </c>
      <c r="DB422" s="218">
        <f t="shared" ref="DB422:DB441" si="2715">SUM(AT422,AX422,BD422)</f>
        <v>0</v>
      </c>
      <c r="DC422" s="218">
        <f t="shared" ref="DC422:DC441" si="2716">SUM(AS422:AU422,AW422:BA422,BC422:BH422)</f>
        <v>0</v>
      </c>
      <c r="DD422" s="73">
        <f t="shared" ref="DD422:DD441" si="2717">SUM(AY422:AZ422,BE422:BG422)</f>
        <v>0</v>
      </c>
      <c r="DE422" s="73">
        <f t="shared" ref="DE422:DE441" si="2718">SUM(BE422:BG422)</f>
        <v>0</v>
      </c>
      <c r="DF422" s="73">
        <f t="shared" ref="DF422:DF441" si="2719">SUM(BC422,BD422,BH422)</f>
        <v>0</v>
      </c>
      <c r="DG422" s="73">
        <f t="shared" ref="DG422:DG441" si="2720">SUM(BC422,BD422,BH422,AW422,AX422,BA422)</f>
        <v>0</v>
      </c>
      <c r="DH422" s="72" t="e">
        <f>DD422/(DD422+DG422)</f>
        <v>#DIV/0!</v>
      </c>
      <c r="DI422" s="72" t="e">
        <f>DE422/(DE422+DF422)</f>
        <v>#DIV/0!</v>
      </c>
      <c r="DJ422" s="73">
        <f>SUM(AV422,BB422,BI422)</f>
        <v>0</v>
      </c>
      <c r="DK422" s="73">
        <v>0</v>
      </c>
      <c r="DL422" s="190"/>
    </row>
    <row r="423" spans="22:116" x14ac:dyDescent="0.25">
      <c r="V423" s="13"/>
      <c r="W423" s="66">
        <v>1</v>
      </c>
      <c r="X423" s="66">
        <v>2005</v>
      </c>
      <c r="Y423" s="69">
        <v>0</v>
      </c>
      <c r="Z423" s="69">
        <v>0</v>
      </c>
      <c r="AA423" s="69">
        <v>0</v>
      </c>
      <c r="AB423" s="69">
        <v>0</v>
      </c>
      <c r="AC423" s="69">
        <v>0</v>
      </c>
      <c r="AD423" s="69">
        <v>0</v>
      </c>
      <c r="AE423" s="69">
        <v>0</v>
      </c>
      <c r="AF423" s="69">
        <v>0</v>
      </c>
      <c r="AG423" s="69">
        <v>0</v>
      </c>
      <c r="AH423" s="69">
        <v>0</v>
      </c>
      <c r="AI423" s="69">
        <v>0</v>
      </c>
      <c r="AJ423" s="69">
        <v>0</v>
      </c>
      <c r="AK423" s="69">
        <v>0</v>
      </c>
      <c r="AL423" s="69">
        <v>0</v>
      </c>
      <c r="AM423" s="69">
        <v>0</v>
      </c>
      <c r="AN423" s="69">
        <v>0</v>
      </c>
      <c r="AO423" s="69">
        <v>0</v>
      </c>
      <c r="AP423" s="190"/>
      <c r="AQ423" s="66">
        <v>1</v>
      </c>
      <c r="AR423" s="66">
        <v>2005</v>
      </c>
      <c r="AS423" s="215">
        <f t="shared" si="2698"/>
        <v>0</v>
      </c>
      <c r="AT423" s="215">
        <f t="shared" si="2699"/>
        <v>0</v>
      </c>
      <c r="AU423" s="215">
        <f t="shared" si="2700"/>
        <v>0</v>
      </c>
      <c r="AV423" s="215">
        <f t="shared" si="2701"/>
        <v>0</v>
      </c>
      <c r="AW423" s="215">
        <f t="shared" si="2702"/>
        <v>0</v>
      </c>
      <c r="AX423" s="215">
        <f t="shared" si="2703"/>
        <v>0</v>
      </c>
      <c r="AY423" s="215">
        <f t="shared" si="2704"/>
        <v>0</v>
      </c>
      <c r="AZ423" s="215">
        <f t="shared" si="2705"/>
        <v>0</v>
      </c>
      <c r="BA423" s="215">
        <f t="shared" si="2706"/>
        <v>0</v>
      </c>
      <c r="BB423" s="215">
        <f t="shared" si="2707"/>
        <v>0</v>
      </c>
      <c r="BC423" s="215">
        <f t="shared" si="2708"/>
        <v>0</v>
      </c>
      <c r="BD423" s="215">
        <f t="shared" si="2709"/>
        <v>0</v>
      </c>
      <c r="BE423" s="215">
        <f t="shared" si="2710"/>
        <v>0</v>
      </c>
      <c r="BF423" s="215">
        <f t="shared" si="2711"/>
        <v>0</v>
      </c>
      <c r="BG423" s="215">
        <f t="shared" si="2712"/>
        <v>0</v>
      </c>
      <c r="BH423" s="215">
        <f t="shared" si="2713"/>
        <v>0</v>
      </c>
      <c r="BI423" s="215">
        <f t="shared" si="2714"/>
        <v>0</v>
      </c>
      <c r="BJ423" s="195"/>
      <c r="BK423" s="66">
        <v>1</v>
      </c>
      <c r="BL423" s="66">
        <v>2005</v>
      </c>
      <c r="BM423" s="215">
        <f t="shared" ref="BM423:BM430" si="2721">(AX422*pInt_InCare_Int_LTFU_2004_2012)+(BM422*pInt_LTFU_2004_2012)</f>
        <v>0</v>
      </c>
      <c r="BN423" s="219">
        <f t="shared" ref="BN423:BN430" si="2722">(AU422*pAsympt_LTFU_Int_LTFU_2004_2012)+(BN422*pInt_LTFU_2004_2012)</f>
        <v>0</v>
      </c>
      <c r="BO423" s="219">
        <f t="shared" ref="BO423:BO430" si="2723">(AY422*pInt_ART1_Int_LTFU_2004_2012)+(BO422*pInt_LTFU_2004_2012)</f>
        <v>0</v>
      </c>
      <c r="BP423" s="219">
        <v>0</v>
      </c>
      <c r="BQ423" s="219">
        <f t="shared" ref="BQ423:BQ430" si="2724">(BD422*pAIDS_InCare_AIDS_LTFU_2004_2012)+(BQ422*pAIDS_LTFU_2004_2012)</f>
        <v>0</v>
      </c>
      <c r="BR423" s="220">
        <f>(BN422*pInt_LTFU_AIDS_LTFU_2004_2012)</f>
        <v>0</v>
      </c>
      <c r="BS423" s="219">
        <f>(BM422*pInt_LTFU_AIDS_LTFU_2004_2012)</f>
        <v>0</v>
      </c>
      <c r="BT423" s="219">
        <f>(BE422*pAIDS_ART1ear_AIDS_LTFU_2004_2012)</f>
        <v>0</v>
      </c>
      <c r="BU423" s="219">
        <f>(BF422*pAIDS_ART1late_AIDS_LTFU_2004_2012)</f>
        <v>0</v>
      </c>
      <c r="BV423" s="219">
        <f>(BO422*pInt_LTFU_AIDS_LTFU_2004_2012)</f>
        <v>0</v>
      </c>
      <c r="BW423" s="219">
        <f>(BG422*pAIDS_ART2_AIDS_LTFU_2004_2012)</f>
        <v>0</v>
      </c>
      <c r="BX423" s="220">
        <f>(BP422*pInt_LTFU_AIDS_LTFU_2004_2012)</f>
        <v>0</v>
      </c>
      <c r="BY423" s="195"/>
      <c r="BZ423" s="66">
        <v>1</v>
      </c>
      <c r="CA423" s="66">
        <v>2005</v>
      </c>
      <c r="CB423" s="218">
        <f>pAsympt_NoCare_Asympt_Dead_2004_2006*AS422</f>
        <v>0</v>
      </c>
      <c r="CC423" s="218">
        <f t="shared" ref="CC423:CC430" si="2725">pAsympt_InCare_Asympt_Dead_2004_2012*AT422</f>
        <v>0</v>
      </c>
      <c r="CD423" s="73">
        <f t="shared" ref="CD423:CD430" si="2726">pAsympt_LTFU_Asympt_Dead_2004_2012*AU422</f>
        <v>0</v>
      </c>
      <c r="CE423" s="73">
        <f>pInt_NoCare_Int_Dead_2004_2006*AW422</f>
        <v>0</v>
      </c>
      <c r="CF423" s="73">
        <f t="shared" ref="CF423:CF430" si="2727">pInt_InCare_Int_Dead_2004_2012*AX422</f>
        <v>0</v>
      </c>
      <c r="CG423" s="73">
        <f t="shared" ref="CG423:CG430" si="2728">pInt_ART1_Int_Dead_2004_2012*AY422</f>
        <v>0</v>
      </c>
      <c r="CH423" s="73">
        <f t="shared" ref="CH423:CH430" si="2729">pInt_ART2_Int_Dead_2004_2012*AZ422</f>
        <v>0</v>
      </c>
      <c r="CI423" s="73">
        <f t="shared" ref="CI423:CI430" si="2730">(BM422*pInt_LTFU_Int_Dead_2004_2012)</f>
        <v>0</v>
      </c>
      <c r="CJ423" s="73">
        <f t="shared" ref="CJ423:CJ430" si="2731">(BN422*pInt_LTFU_Int_Dead_2004_2012)</f>
        <v>0</v>
      </c>
      <c r="CK423" s="73">
        <f t="shared" ref="CK423:CK430" si="2732">(BO422*pInt_LTFU_Int_Dead_2004_2012)</f>
        <v>0</v>
      </c>
      <c r="CL423" s="73">
        <f t="shared" ref="CL423:CL430" si="2733">(BP422*pInt_LTFU_Int_Dead_2004_2012)</f>
        <v>0</v>
      </c>
      <c r="CM423" s="73">
        <f t="shared" ref="CM423:CM424" si="2734">pAIDS_NoCare_AIDS_Dead_2004_2006*BC422</f>
        <v>0</v>
      </c>
      <c r="CN423" s="73">
        <f t="shared" ref="CN423:CN430" si="2735">pAIDS_InCare_AIDS_Dead_2004_2012*BD422</f>
        <v>0</v>
      </c>
      <c r="CO423" s="73">
        <f t="shared" ref="CO423:CO430" si="2736">pAIDS_ART1ear_AIDS_Dead_2004_2012*BE422</f>
        <v>0</v>
      </c>
      <c r="CP423" s="73">
        <f t="shared" ref="CP423:CP430" si="2737">pAIDS_ART1late_AIDS_Dead_2004_2012*BF422</f>
        <v>0</v>
      </c>
      <c r="CQ423" s="73">
        <f t="shared" ref="CQ423:CQ430" si="2738">pAIDS_ART2_AIDS_Dead_2004_2012*BG422</f>
        <v>0</v>
      </c>
      <c r="CR423" s="73">
        <f t="shared" ref="CR423:CR430" si="2739">(BQ422*pAIDS_LTFU_AIDS_Dead_2004_2012)</f>
        <v>0</v>
      </c>
      <c r="CS423" s="73">
        <f t="shared" ref="CS423:CS430" si="2740">(BR422*pAIDS_LTFU_AIDS_Dead_2004_2012)</f>
        <v>0</v>
      </c>
      <c r="CT423" s="73">
        <f t="shared" ref="CT423:CT430" si="2741">(BS422*pAIDS_LTFU_AIDS_Dead_2004_2012)</f>
        <v>0</v>
      </c>
      <c r="CU423" s="73">
        <f t="shared" ref="CU423:CU430" si="2742">(BT422*pAIDS_LTFU_AIDS_Dead_2004_2012)</f>
        <v>0</v>
      </c>
      <c r="CV423" s="73">
        <f t="shared" ref="CV423:CV430" si="2743">(BU422*pAIDS_LTFU_AIDS_Dead_2004_2012)</f>
        <v>0</v>
      </c>
      <c r="CW423" s="73">
        <f t="shared" ref="CW423:CW430" si="2744">(BV422*pAIDS_LTFU_AIDS_Dead_2004_2012)</f>
        <v>0</v>
      </c>
      <c r="CX423" s="73">
        <f t="shared" ref="CX423:CX430" si="2745">(BW422*pAIDS_LTFU_AIDS_Dead_2004_2012)</f>
        <v>0</v>
      </c>
      <c r="CY423" s="73">
        <f t="shared" ref="CY423:CY430" si="2746">(BX422*pAIDS_LTFU_AIDS_Dead_2004_2012)</f>
        <v>0</v>
      </c>
      <c r="CZ423" s="190"/>
      <c r="DA423" s="67">
        <v>2005</v>
      </c>
      <c r="DB423" s="218">
        <f t="shared" si="2715"/>
        <v>0</v>
      </c>
      <c r="DC423" s="218">
        <f t="shared" si="2716"/>
        <v>0</v>
      </c>
      <c r="DD423" s="73">
        <f t="shared" si="2717"/>
        <v>0</v>
      </c>
      <c r="DE423" s="73">
        <f t="shared" si="2718"/>
        <v>0</v>
      </c>
      <c r="DF423" s="73">
        <f t="shared" si="2719"/>
        <v>0</v>
      </c>
      <c r="DG423" s="73">
        <f t="shared" si="2720"/>
        <v>0</v>
      </c>
      <c r="DH423" s="72" t="e">
        <f t="shared" ref="DH423:DH441" si="2747">DD423/(DD423+DG423)</f>
        <v>#DIV/0!</v>
      </c>
      <c r="DI423" s="72" t="e">
        <f t="shared" ref="DI423:DI441" si="2748">DE423/(DE423+DF423)</f>
        <v>#DIV/0!</v>
      </c>
      <c r="DJ423" s="73">
        <f>SUM(AV422:AV423,BB422:BB423,BI422:BI423)</f>
        <v>0</v>
      </c>
      <c r="DK423" s="73">
        <v>0</v>
      </c>
      <c r="DL423" s="190"/>
    </row>
    <row r="424" spans="22:116" x14ac:dyDescent="0.25">
      <c r="V424" s="13"/>
      <c r="W424" s="66">
        <v>2</v>
      </c>
      <c r="X424" s="66">
        <v>2006</v>
      </c>
      <c r="Y424" s="69">
        <v>0</v>
      </c>
      <c r="Z424" s="69">
        <v>0</v>
      </c>
      <c r="AA424" s="69">
        <v>0</v>
      </c>
      <c r="AB424" s="69">
        <v>0</v>
      </c>
      <c r="AC424" s="69">
        <v>0</v>
      </c>
      <c r="AD424" s="69">
        <v>0</v>
      </c>
      <c r="AE424" s="69">
        <v>0</v>
      </c>
      <c r="AF424" s="69">
        <v>0</v>
      </c>
      <c r="AG424" s="69">
        <v>0</v>
      </c>
      <c r="AH424" s="69">
        <v>0</v>
      </c>
      <c r="AI424" s="69">
        <v>0</v>
      </c>
      <c r="AJ424" s="69">
        <v>0</v>
      </c>
      <c r="AK424" s="69">
        <v>0</v>
      </c>
      <c r="AL424" s="69">
        <v>0</v>
      </c>
      <c r="AM424" s="69">
        <v>0</v>
      </c>
      <c r="AN424" s="69">
        <v>0</v>
      </c>
      <c r="AO424" s="69">
        <v>0</v>
      </c>
      <c r="AP424" s="190"/>
      <c r="AQ424" s="66">
        <v>2</v>
      </c>
      <c r="AR424" s="66">
        <v>2006</v>
      </c>
      <c r="AS424" s="215">
        <f t="shared" si="2698"/>
        <v>0</v>
      </c>
      <c r="AT424" s="215">
        <f t="shared" si="2699"/>
        <v>0</v>
      </c>
      <c r="AU424" s="215">
        <f t="shared" si="2700"/>
        <v>0</v>
      </c>
      <c r="AV424" s="215">
        <f t="shared" si="2701"/>
        <v>0</v>
      </c>
      <c r="AW424" s="215">
        <f t="shared" si="2702"/>
        <v>0</v>
      </c>
      <c r="AX424" s="215">
        <f t="shared" si="2703"/>
        <v>0</v>
      </c>
      <c r="AY424" s="215">
        <f t="shared" si="2704"/>
        <v>0</v>
      </c>
      <c r="AZ424" s="215">
        <f t="shared" si="2705"/>
        <v>0</v>
      </c>
      <c r="BA424" s="215">
        <f t="shared" si="2706"/>
        <v>0</v>
      </c>
      <c r="BB424" s="215">
        <f t="shared" si="2707"/>
        <v>0</v>
      </c>
      <c r="BC424" s="215">
        <f t="shared" si="2708"/>
        <v>0</v>
      </c>
      <c r="BD424" s="215">
        <f t="shared" si="2709"/>
        <v>0</v>
      </c>
      <c r="BE424" s="215">
        <f t="shared" si="2710"/>
        <v>0</v>
      </c>
      <c r="BF424" s="215">
        <f t="shared" si="2711"/>
        <v>0</v>
      </c>
      <c r="BG424" s="215">
        <f t="shared" si="2712"/>
        <v>0</v>
      </c>
      <c r="BH424" s="215">
        <f t="shared" si="2713"/>
        <v>0</v>
      </c>
      <c r="BI424" s="215">
        <f t="shared" si="2714"/>
        <v>0</v>
      </c>
      <c r="BJ424" s="195"/>
      <c r="BK424" s="66">
        <v>2</v>
      </c>
      <c r="BL424" s="66">
        <v>2006</v>
      </c>
      <c r="BM424" s="215">
        <f t="shared" si="2721"/>
        <v>0</v>
      </c>
      <c r="BN424" s="219">
        <f t="shared" si="2722"/>
        <v>0</v>
      </c>
      <c r="BO424" s="219">
        <f t="shared" si="2723"/>
        <v>0</v>
      </c>
      <c r="BP424" s="219">
        <f t="shared" ref="BP424:BP430" si="2749">(AZ423*pInt_ART2_Int_LTFU_2004_2012)+(BP423*pInt_LTFU_2004_2012)</f>
        <v>0</v>
      </c>
      <c r="BQ424" s="219">
        <f t="shared" si="2724"/>
        <v>0</v>
      </c>
      <c r="BR424" s="220">
        <f t="shared" ref="BR424:BR430" si="2750">(BN423*pInt_LTFU_AIDS_LTFU_2004_2012)+(BR423*pAIDS_LTFU_2004_2012)</f>
        <v>0</v>
      </c>
      <c r="BS424" s="219">
        <f t="shared" ref="BS424:BS430" si="2751">(BM423*pInt_LTFU_AIDS_LTFU_2004_2012)+(BS423*pAIDS_LTFU_2004_2012)</f>
        <v>0</v>
      </c>
      <c r="BT424" s="219">
        <f t="shared" ref="BT424:BT430" si="2752">(BE423*pAIDS_ART1ear_AIDS_LTFU_2004_2012)+(BT423*pAIDS_LTFU_2004_2012)</f>
        <v>0</v>
      </c>
      <c r="BU424" s="219">
        <f t="shared" ref="BU424:BU430" si="2753">(BF423*pAIDS_ART1late_AIDS_LTFU_2004_2012)+(BU423*pAIDS_LTFU_2004_2012)</f>
        <v>0</v>
      </c>
      <c r="BV424" s="219">
        <f t="shared" ref="BV424:BV430" si="2754">(BO423*pInt_LTFU_AIDS_LTFU_2004_2012)+(BV423*pAIDS_LTFU_2004_2012)</f>
        <v>0</v>
      </c>
      <c r="BW424" s="219">
        <f t="shared" ref="BW424:BW430" si="2755">(BG423*pAIDS_ART2_AIDS_LTFU_2004_2012)+(BW423*pAIDS_LTFU_2004_2012)</f>
        <v>0</v>
      </c>
      <c r="BX424" s="220">
        <f t="shared" ref="BX424:BX430" si="2756">(BP423*pInt_LTFU_AIDS_LTFU_2004_2012)+(BX423*pAIDS_LTFU_2004_2012)</f>
        <v>0</v>
      </c>
      <c r="BY424" s="195"/>
      <c r="BZ424" s="66">
        <v>2</v>
      </c>
      <c r="CA424" s="66">
        <v>2006</v>
      </c>
      <c r="CB424" s="218">
        <f>pAsympt_NoCare_Asympt_Dead_2004_2006*AS423</f>
        <v>0</v>
      </c>
      <c r="CC424" s="218">
        <f t="shared" si="2725"/>
        <v>0</v>
      </c>
      <c r="CD424" s="73">
        <f t="shared" si="2726"/>
        <v>0</v>
      </c>
      <c r="CE424" s="73">
        <f>pInt_NoCare_Int_Dead_2004_2006*AW423</f>
        <v>0</v>
      </c>
      <c r="CF424" s="73">
        <f t="shared" si="2727"/>
        <v>0</v>
      </c>
      <c r="CG424" s="73">
        <f t="shared" si="2728"/>
        <v>0</v>
      </c>
      <c r="CH424" s="73">
        <f t="shared" si="2729"/>
        <v>0</v>
      </c>
      <c r="CI424" s="73">
        <f t="shared" si="2730"/>
        <v>0</v>
      </c>
      <c r="CJ424" s="73">
        <f t="shared" si="2731"/>
        <v>0</v>
      </c>
      <c r="CK424" s="73">
        <f t="shared" si="2732"/>
        <v>0</v>
      </c>
      <c r="CL424" s="73">
        <f t="shared" si="2733"/>
        <v>0</v>
      </c>
      <c r="CM424" s="73">
        <f t="shared" si="2734"/>
        <v>0</v>
      </c>
      <c r="CN424" s="73">
        <f t="shared" si="2735"/>
        <v>0</v>
      </c>
      <c r="CO424" s="73">
        <f t="shared" si="2736"/>
        <v>0</v>
      </c>
      <c r="CP424" s="73">
        <f t="shared" si="2737"/>
        <v>0</v>
      </c>
      <c r="CQ424" s="73">
        <f t="shared" si="2738"/>
        <v>0</v>
      </c>
      <c r="CR424" s="73">
        <f t="shared" si="2739"/>
        <v>0</v>
      </c>
      <c r="CS424" s="73">
        <f t="shared" si="2740"/>
        <v>0</v>
      </c>
      <c r="CT424" s="73">
        <f t="shared" si="2741"/>
        <v>0</v>
      </c>
      <c r="CU424" s="73">
        <f t="shared" si="2742"/>
        <v>0</v>
      </c>
      <c r="CV424" s="73">
        <f t="shared" si="2743"/>
        <v>0</v>
      </c>
      <c r="CW424" s="73">
        <f t="shared" si="2744"/>
        <v>0</v>
      </c>
      <c r="CX424" s="73">
        <f t="shared" si="2745"/>
        <v>0</v>
      </c>
      <c r="CY424" s="73">
        <f t="shared" si="2746"/>
        <v>0</v>
      </c>
      <c r="CZ424" s="190"/>
      <c r="DA424" s="66">
        <v>2006</v>
      </c>
      <c r="DB424" s="218">
        <f t="shared" si="2715"/>
        <v>0</v>
      </c>
      <c r="DC424" s="218">
        <f t="shared" si="2716"/>
        <v>0</v>
      </c>
      <c r="DD424" s="73">
        <f t="shared" si="2717"/>
        <v>0</v>
      </c>
      <c r="DE424" s="73">
        <f t="shared" si="2718"/>
        <v>0</v>
      </c>
      <c r="DF424" s="73">
        <f t="shared" si="2719"/>
        <v>0</v>
      </c>
      <c r="DG424" s="73">
        <f t="shared" si="2720"/>
        <v>0</v>
      </c>
      <c r="DH424" s="72" t="e">
        <f t="shared" si="2747"/>
        <v>#DIV/0!</v>
      </c>
      <c r="DI424" s="72" t="e">
        <f t="shared" si="2748"/>
        <v>#DIV/0!</v>
      </c>
      <c r="DJ424" s="73">
        <f>SUM(AV422:AV424,BB422:BB424,BI422:BI424)</f>
        <v>0</v>
      </c>
      <c r="DK424" s="73">
        <v>0</v>
      </c>
      <c r="DL424" s="190"/>
    </row>
    <row r="425" spans="22:116" x14ac:dyDescent="0.25">
      <c r="V425" s="13"/>
      <c r="W425" s="66">
        <v>3</v>
      </c>
      <c r="X425" s="66">
        <v>2007</v>
      </c>
      <c r="Y425" s="69">
        <v>0</v>
      </c>
      <c r="Z425" s="69">
        <v>0</v>
      </c>
      <c r="AA425" s="69">
        <v>0</v>
      </c>
      <c r="AB425" s="69">
        <v>0</v>
      </c>
      <c r="AC425" s="69">
        <v>0</v>
      </c>
      <c r="AD425" s="69">
        <v>0</v>
      </c>
      <c r="AE425" s="69">
        <v>0</v>
      </c>
      <c r="AF425" s="69">
        <v>0</v>
      </c>
      <c r="AG425" s="69">
        <v>0</v>
      </c>
      <c r="AH425" s="69">
        <v>0</v>
      </c>
      <c r="AI425" s="69">
        <v>0</v>
      </c>
      <c r="AJ425" s="69">
        <v>0</v>
      </c>
      <c r="AK425" s="69">
        <v>0</v>
      </c>
      <c r="AL425" s="69">
        <v>0</v>
      </c>
      <c r="AM425" s="69">
        <v>0</v>
      </c>
      <c r="AN425" s="69">
        <v>0</v>
      </c>
      <c r="AO425" s="69">
        <v>0</v>
      </c>
      <c r="AP425" s="190"/>
      <c r="AQ425" s="66">
        <v>3</v>
      </c>
      <c r="AR425" s="66">
        <v>2007</v>
      </c>
      <c r="AS425" s="215">
        <f t="shared" si="2698"/>
        <v>0</v>
      </c>
      <c r="AT425" s="215">
        <f t="shared" si="2699"/>
        <v>0</v>
      </c>
      <c r="AU425" s="215">
        <f t="shared" si="2700"/>
        <v>0</v>
      </c>
      <c r="AV425" s="215">
        <f t="shared" si="2701"/>
        <v>0</v>
      </c>
      <c r="AW425" s="215">
        <f t="shared" si="2702"/>
        <v>0</v>
      </c>
      <c r="AX425" s="215">
        <f t="shared" si="2703"/>
        <v>0</v>
      </c>
      <c r="AY425" s="215">
        <f t="shared" si="2704"/>
        <v>0</v>
      </c>
      <c r="AZ425" s="215">
        <f t="shared" si="2705"/>
        <v>0</v>
      </c>
      <c r="BA425" s="215">
        <f t="shared" si="2706"/>
        <v>0</v>
      </c>
      <c r="BB425" s="215">
        <f t="shared" si="2707"/>
        <v>0</v>
      </c>
      <c r="BC425" s="215">
        <f t="shared" si="2708"/>
        <v>0</v>
      </c>
      <c r="BD425" s="215">
        <f t="shared" si="2709"/>
        <v>0</v>
      </c>
      <c r="BE425" s="215">
        <f t="shared" si="2710"/>
        <v>0</v>
      </c>
      <c r="BF425" s="215">
        <f t="shared" si="2711"/>
        <v>0</v>
      </c>
      <c r="BG425" s="215">
        <f t="shared" si="2712"/>
        <v>0</v>
      </c>
      <c r="BH425" s="215">
        <f t="shared" si="2713"/>
        <v>0</v>
      </c>
      <c r="BI425" s="215">
        <f t="shared" si="2714"/>
        <v>0</v>
      </c>
      <c r="BJ425" s="195"/>
      <c r="BK425" s="66">
        <v>3</v>
      </c>
      <c r="BL425" s="66">
        <v>2007</v>
      </c>
      <c r="BM425" s="215">
        <f t="shared" si="2721"/>
        <v>0</v>
      </c>
      <c r="BN425" s="219">
        <f t="shared" si="2722"/>
        <v>0</v>
      </c>
      <c r="BO425" s="219">
        <f t="shared" si="2723"/>
        <v>0</v>
      </c>
      <c r="BP425" s="219">
        <f t="shared" si="2749"/>
        <v>0</v>
      </c>
      <c r="BQ425" s="219">
        <f t="shared" si="2724"/>
        <v>0</v>
      </c>
      <c r="BR425" s="220">
        <f t="shared" si="2750"/>
        <v>0</v>
      </c>
      <c r="BS425" s="219">
        <f t="shared" si="2751"/>
        <v>0</v>
      </c>
      <c r="BT425" s="219">
        <f t="shared" si="2752"/>
        <v>0</v>
      </c>
      <c r="BU425" s="219">
        <f t="shared" si="2753"/>
        <v>0</v>
      </c>
      <c r="BV425" s="219">
        <f t="shared" si="2754"/>
        <v>0</v>
      </c>
      <c r="BW425" s="219">
        <f t="shared" si="2755"/>
        <v>0</v>
      </c>
      <c r="BX425" s="220">
        <f t="shared" si="2756"/>
        <v>0</v>
      </c>
      <c r="BY425" s="195"/>
      <c r="BZ425" s="66">
        <v>3</v>
      </c>
      <c r="CA425" s="66">
        <v>2007</v>
      </c>
      <c r="CB425" s="218">
        <f>pAsympt_NoCare_Asympt_Dead_2007_2009*AS424</f>
        <v>0</v>
      </c>
      <c r="CC425" s="218">
        <f t="shared" si="2725"/>
        <v>0</v>
      </c>
      <c r="CD425" s="73">
        <f t="shared" si="2726"/>
        <v>0</v>
      </c>
      <c r="CE425" s="73">
        <f>pInt_NoCare_Int_Dead_2007_2009*AW424</f>
        <v>0</v>
      </c>
      <c r="CF425" s="73">
        <f t="shared" si="2727"/>
        <v>0</v>
      </c>
      <c r="CG425" s="73">
        <f t="shared" si="2728"/>
        <v>0</v>
      </c>
      <c r="CH425" s="73">
        <f t="shared" si="2729"/>
        <v>0</v>
      </c>
      <c r="CI425" s="73">
        <f t="shared" si="2730"/>
        <v>0</v>
      </c>
      <c r="CJ425" s="73">
        <f t="shared" si="2731"/>
        <v>0</v>
      </c>
      <c r="CK425" s="73">
        <f t="shared" si="2732"/>
        <v>0</v>
      </c>
      <c r="CL425" s="73">
        <f t="shared" si="2733"/>
        <v>0</v>
      </c>
      <c r="CM425" s="73">
        <f>pAIDS_NoCare_AIDS_Dead_2007_2009*BC424</f>
        <v>0</v>
      </c>
      <c r="CN425" s="73">
        <f t="shared" si="2735"/>
        <v>0</v>
      </c>
      <c r="CO425" s="73">
        <f t="shared" si="2736"/>
        <v>0</v>
      </c>
      <c r="CP425" s="73">
        <f t="shared" si="2737"/>
        <v>0</v>
      </c>
      <c r="CQ425" s="73">
        <f t="shared" si="2738"/>
        <v>0</v>
      </c>
      <c r="CR425" s="73">
        <f t="shared" si="2739"/>
        <v>0</v>
      </c>
      <c r="CS425" s="73">
        <f t="shared" si="2740"/>
        <v>0</v>
      </c>
      <c r="CT425" s="73">
        <f t="shared" si="2741"/>
        <v>0</v>
      </c>
      <c r="CU425" s="73">
        <f t="shared" si="2742"/>
        <v>0</v>
      </c>
      <c r="CV425" s="73">
        <f t="shared" si="2743"/>
        <v>0</v>
      </c>
      <c r="CW425" s="73">
        <f t="shared" si="2744"/>
        <v>0</v>
      </c>
      <c r="CX425" s="73">
        <f t="shared" si="2745"/>
        <v>0</v>
      </c>
      <c r="CY425" s="73">
        <f t="shared" si="2746"/>
        <v>0</v>
      </c>
      <c r="CZ425" s="190"/>
      <c r="DA425" s="66">
        <v>2007</v>
      </c>
      <c r="DB425" s="218">
        <f t="shared" si="2715"/>
        <v>0</v>
      </c>
      <c r="DC425" s="218">
        <f t="shared" si="2716"/>
        <v>0</v>
      </c>
      <c r="DD425" s="73">
        <f t="shared" si="2717"/>
        <v>0</v>
      </c>
      <c r="DE425" s="73">
        <f t="shared" si="2718"/>
        <v>0</v>
      </c>
      <c r="DF425" s="73">
        <f t="shared" si="2719"/>
        <v>0</v>
      </c>
      <c r="DG425" s="73">
        <f t="shared" si="2720"/>
        <v>0</v>
      </c>
      <c r="DH425" s="72" t="e">
        <f t="shared" si="2747"/>
        <v>#DIV/0!</v>
      </c>
      <c r="DI425" s="72" t="e">
        <f t="shared" si="2748"/>
        <v>#DIV/0!</v>
      </c>
      <c r="DJ425" s="73">
        <f>SUM(AV422:AV425,BB422:BB425,BI422:BI425)</f>
        <v>0</v>
      </c>
      <c r="DK425" s="218">
        <v>0</v>
      </c>
      <c r="DL425" s="190"/>
    </row>
    <row r="426" spans="22:116" x14ac:dyDescent="0.25">
      <c r="V426" s="13"/>
      <c r="W426" s="66">
        <v>4</v>
      </c>
      <c r="X426" s="66">
        <v>2008</v>
      </c>
      <c r="Y426" s="69">
        <v>0</v>
      </c>
      <c r="Z426" s="69">
        <v>0</v>
      </c>
      <c r="AA426" s="69">
        <v>0</v>
      </c>
      <c r="AB426" s="69">
        <v>0</v>
      </c>
      <c r="AC426" s="69">
        <v>0</v>
      </c>
      <c r="AD426" s="69">
        <v>0</v>
      </c>
      <c r="AE426" s="69">
        <v>0</v>
      </c>
      <c r="AF426" s="69">
        <v>0</v>
      </c>
      <c r="AG426" s="69">
        <v>0</v>
      </c>
      <c r="AH426" s="69">
        <v>0</v>
      </c>
      <c r="AI426" s="69">
        <v>0</v>
      </c>
      <c r="AJ426" s="69">
        <v>0</v>
      </c>
      <c r="AK426" s="69">
        <v>0</v>
      </c>
      <c r="AL426" s="69">
        <v>0</v>
      </c>
      <c r="AM426" s="69">
        <v>0</v>
      </c>
      <c r="AN426" s="69">
        <v>0</v>
      </c>
      <c r="AO426" s="69">
        <v>0</v>
      </c>
      <c r="AP426" s="190"/>
      <c r="AQ426" s="66">
        <v>4</v>
      </c>
      <c r="AR426" s="66">
        <v>2008</v>
      </c>
      <c r="AS426" s="215">
        <f t="shared" si="2698"/>
        <v>0</v>
      </c>
      <c r="AT426" s="215">
        <f t="shared" si="2699"/>
        <v>0</v>
      </c>
      <c r="AU426" s="215">
        <f t="shared" si="2700"/>
        <v>0</v>
      </c>
      <c r="AV426" s="215">
        <f t="shared" si="2701"/>
        <v>0</v>
      </c>
      <c r="AW426" s="215">
        <f t="shared" si="2702"/>
        <v>0</v>
      </c>
      <c r="AX426" s="215">
        <f t="shared" si="2703"/>
        <v>0</v>
      </c>
      <c r="AY426" s="215">
        <f t="shared" si="2704"/>
        <v>0</v>
      </c>
      <c r="AZ426" s="215">
        <f t="shared" si="2705"/>
        <v>0</v>
      </c>
      <c r="BA426" s="215">
        <f t="shared" si="2706"/>
        <v>0</v>
      </c>
      <c r="BB426" s="215">
        <f t="shared" si="2707"/>
        <v>0</v>
      </c>
      <c r="BC426" s="215">
        <f t="shared" si="2708"/>
        <v>0</v>
      </c>
      <c r="BD426" s="215">
        <f t="shared" si="2709"/>
        <v>0</v>
      </c>
      <c r="BE426" s="215">
        <f t="shared" si="2710"/>
        <v>0</v>
      </c>
      <c r="BF426" s="215">
        <f t="shared" si="2711"/>
        <v>0</v>
      </c>
      <c r="BG426" s="215">
        <f t="shared" si="2712"/>
        <v>0</v>
      </c>
      <c r="BH426" s="215">
        <f t="shared" si="2713"/>
        <v>0</v>
      </c>
      <c r="BI426" s="215">
        <f t="shared" si="2714"/>
        <v>0</v>
      </c>
      <c r="BJ426" s="195"/>
      <c r="BK426" s="66">
        <v>4</v>
      </c>
      <c r="BL426" s="66">
        <v>2008</v>
      </c>
      <c r="BM426" s="215">
        <f t="shared" si="2721"/>
        <v>0</v>
      </c>
      <c r="BN426" s="219">
        <f t="shared" si="2722"/>
        <v>0</v>
      </c>
      <c r="BO426" s="219">
        <f t="shared" si="2723"/>
        <v>0</v>
      </c>
      <c r="BP426" s="219">
        <f t="shared" si="2749"/>
        <v>0</v>
      </c>
      <c r="BQ426" s="219">
        <f t="shared" si="2724"/>
        <v>0</v>
      </c>
      <c r="BR426" s="220">
        <f t="shared" si="2750"/>
        <v>0</v>
      </c>
      <c r="BS426" s="219">
        <f t="shared" si="2751"/>
        <v>0</v>
      </c>
      <c r="BT426" s="219">
        <f t="shared" si="2752"/>
        <v>0</v>
      </c>
      <c r="BU426" s="219">
        <f t="shared" si="2753"/>
        <v>0</v>
      </c>
      <c r="BV426" s="219">
        <f t="shared" si="2754"/>
        <v>0</v>
      </c>
      <c r="BW426" s="219">
        <f t="shared" si="2755"/>
        <v>0</v>
      </c>
      <c r="BX426" s="220">
        <f t="shared" si="2756"/>
        <v>0</v>
      </c>
      <c r="BY426" s="195"/>
      <c r="BZ426" s="66">
        <v>4</v>
      </c>
      <c r="CA426" s="66">
        <v>2008</v>
      </c>
      <c r="CB426" s="218">
        <f>pAsympt_NoCare_Asympt_Dead_2007_2009*AS425</f>
        <v>0</v>
      </c>
      <c r="CC426" s="218">
        <f t="shared" si="2725"/>
        <v>0</v>
      </c>
      <c r="CD426" s="73">
        <f t="shared" si="2726"/>
        <v>0</v>
      </c>
      <c r="CE426" s="73">
        <f>pInt_NoCare_Int_Dead_2007_2009*AW425</f>
        <v>0</v>
      </c>
      <c r="CF426" s="73">
        <f t="shared" si="2727"/>
        <v>0</v>
      </c>
      <c r="CG426" s="73">
        <f t="shared" si="2728"/>
        <v>0</v>
      </c>
      <c r="CH426" s="73">
        <f t="shared" si="2729"/>
        <v>0</v>
      </c>
      <c r="CI426" s="73">
        <f t="shared" si="2730"/>
        <v>0</v>
      </c>
      <c r="CJ426" s="73">
        <f t="shared" si="2731"/>
        <v>0</v>
      </c>
      <c r="CK426" s="73">
        <f t="shared" si="2732"/>
        <v>0</v>
      </c>
      <c r="CL426" s="73">
        <f t="shared" si="2733"/>
        <v>0</v>
      </c>
      <c r="CM426" s="73">
        <f>pAIDS_NoCare_AIDS_Dead_2007_2009*BC425</f>
        <v>0</v>
      </c>
      <c r="CN426" s="73">
        <f t="shared" si="2735"/>
        <v>0</v>
      </c>
      <c r="CO426" s="73">
        <f t="shared" si="2736"/>
        <v>0</v>
      </c>
      <c r="CP426" s="73">
        <f t="shared" si="2737"/>
        <v>0</v>
      </c>
      <c r="CQ426" s="73">
        <f t="shared" si="2738"/>
        <v>0</v>
      </c>
      <c r="CR426" s="73">
        <f t="shared" si="2739"/>
        <v>0</v>
      </c>
      <c r="CS426" s="73">
        <f t="shared" si="2740"/>
        <v>0</v>
      </c>
      <c r="CT426" s="73">
        <f t="shared" si="2741"/>
        <v>0</v>
      </c>
      <c r="CU426" s="73">
        <f t="shared" si="2742"/>
        <v>0</v>
      </c>
      <c r="CV426" s="73">
        <f t="shared" si="2743"/>
        <v>0</v>
      </c>
      <c r="CW426" s="73">
        <f t="shared" si="2744"/>
        <v>0</v>
      </c>
      <c r="CX426" s="73">
        <f t="shared" si="2745"/>
        <v>0</v>
      </c>
      <c r="CY426" s="73">
        <f t="shared" si="2746"/>
        <v>0</v>
      </c>
      <c r="CZ426" s="190"/>
      <c r="DA426" s="66">
        <v>2008</v>
      </c>
      <c r="DB426" s="218">
        <f t="shared" si="2715"/>
        <v>0</v>
      </c>
      <c r="DC426" s="218">
        <f t="shared" si="2716"/>
        <v>0</v>
      </c>
      <c r="DD426" s="73">
        <f t="shared" si="2717"/>
        <v>0</v>
      </c>
      <c r="DE426" s="73">
        <f t="shared" si="2718"/>
        <v>0</v>
      </c>
      <c r="DF426" s="73">
        <f t="shared" si="2719"/>
        <v>0</v>
      </c>
      <c r="DG426" s="73">
        <f t="shared" si="2720"/>
        <v>0</v>
      </c>
      <c r="DH426" s="72" t="e">
        <f t="shared" si="2747"/>
        <v>#DIV/0!</v>
      </c>
      <c r="DI426" s="72" t="e">
        <f t="shared" si="2748"/>
        <v>#DIV/0!</v>
      </c>
      <c r="DJ426" s="73">
        <f>SUM(AV422:AV426,BB422:BB426,BI422:BI426)</f>
        <v>0</v>
      </c>
      <c r="DK426" s="218">
        <v>0</v>
      </c>
      <c r="DL426" s="190"/>
    </row>
    <row r="427" spans="22:116" x14ac:dyDescent="0.25">
      <c r="V427" s="13"/>
      <c r="W427" s="66">
        <v>5</v>
      </c>
      <c r="X427" s="66">
        <v>2009</v>
      </c>
      <c r="Y427" s="69">
        <v>0</v>
      </c>
      <c r="Z427" s="69">
        <v>0</v>
      </c>
      <c r="AA427" s="69">
        <v>0</v>
      </c>
      <c r="AB427" s="69">
        <v>0</v>
      </c>
      <c r="AC427" s="69">
        <v>0</v>
      </c>
      <c r="AD427" s="69">
        <v>0</v>
      </c>
      <c r="AE427" s="69">
        <v>0</v>
      </c>
      <c r="AF427" s="69">
        <v>0</v>
      </c>
      <c r="AG427" s="69">
        <v>0</v>
      </c>
      <c r="AH427" s="69">
        <v>0</v>
      </c>
      <c r="AI427" s="69">
        <v>0</v>
      </c>
      <c r="AJ427" s="69">
        <v>0</v>
      </c>
      <c r="AK427" s="69">
        <v>0</v>
      </c>
      <c r="AL427" s="69">
        <v>0</v>
      </c>
      <c r="AM427" s="69">
        <v>0</v>
      </c>
      <c r="AN427" s="69">
        <v>0</v>
      </c>
      <c r="AO427" s="69">
        <v>0</v>
      </c>
      <c r="AP427" s="190"/>
      <c r="AQ427" s="66">
        <v>5</v>
      </c>
      <c r="AR427" s="66">
        <v>2009</v>
      </c>
      <c r="AS427" s="215">
        <f t="shared" si="2698"/>
        <v>0</v>
      </c>
      <c r="AT427" s="215">
        <f t="shared" si="2699"/>
        <v>0</v>
      </c>
      <c r="AU427" s="215">
        <f t="shared" si="2700"/>
        <v>0</v>
      </c>
      <c r="AV427" s="215">
        <f t="shared" si="2701"/>
        <v>0</v>
      </c>
      <c r="AW427" s="215">
        <f t="shared" si="2702"/>
        <v>0</v>
      </c>
      <c r="AX427" s="215">
        <f t="shared" si="2703"/>
        <v>0</v>
      </c>
      <c r="AY427" s="215">
        <f t="shared" si="2704"/>
        <v>0</v>
      </c>
      <c r="AZ427" s="215">
        <f t="shared" si="2705"/>
        <v>0</v>
      </c>
      <c r="BA427" s="215">
        <f t="shared" si="2706"/>
        <v>0</v>
      </c>
      <c r="BB427" s="215">
        <f t="shared" si="2707"/>
        <v>0</v>
      </c>
      <c r="BC427" s="215">
        <f t="shared" si="2708"/>
        <v>0</v>
      </c>
      <c r="BD427" s="215">
        <f t="shared" si="2709"/>
        <v>0</v>
      </c>
      <c r="BE427" s="215">
        <f t="shared" si="2710"/>
        <v>0</v>
      </c>
      <c r="BF427" s="215">
        <f t="shared" si="2711"/>
        <v>0</v>
      </c>
      <c r="BG427" s="215">
        <f t="shared" si="2712"/>
        <v>0</v>
      </c>
      <c r="BH427" s="215">
        <f t="shared" si="2713"/>
        <v>0</v>
      </c>
      <c r="BI427" s="215">
        <f t="shared" si="2714"/>
        <v>0</v>
      </c>
      <c r="BJ427" s="195"/>
      <c r="BK427" s="66">
        <v>5</v>
      </c>
      <c r="BL427" s="66">
        <v>2009</v>
      </c>
      <c r="BM427" s="215">
        <f t="shared" si="2721"/>
        <v>0</v>
      </c>
      <c r="BN427" s="219">
        <f t="shared" si="2722"/>
        <v>0</v>
      </c>
      <c r="BO427" s="219">
        <f t="shared" si="2723"/>
        <v>0</v>
      </c>
      <c r="BP427" s="219">
        <f t="shared" si="2749"/>
        <v>0</v>
      </c>
      <c r="BQ427" s="219">
        <f t="shared" si="2724"/>
        <v>0</v>
      </c>
      <c r="BR427" s="220">
        <f t="shared" si="2750"/>
        <v>0</v>
      </c>
      <c r="BS427" s="219">
        <f t="shared" si="2751"/>
        <v>0</v>
      </c>
      <c r="BT427" s="219">
        <f t="shared" si="2752"/>
        <v>0</v>
      </c>
      <c r="BU427" s="219">
        <f t="shared" si="2753"/>
        <v>0</v>
      </c>
      <c r="BV427" s="219">
        <f t="shared" si="2754"/>
        <v>0</v>
      </c>
      <c r="BW427" s="219">
        <f t="shared" si="2755"/>
        <v>0</v>
      </c>
      <c r="BX427" s="220">
        <f t="shared" si="2756"/>
        <v>0</v>
      </c>
      <c r="BY427" s="195"/>
      <c r="BZ427" s="66">
        <v>5</v>
      </c>
      <c r="CA427" s="66">
        <v>2009</v>
      </c>
      <c r="CB427" s="218">
        <f>pAsympt_NoCare_Asympt_Dead_2007_2009*AS426</f>
        <v>0</v>
      </c>
      <c r="CC427" s="218">
        <f t="shared" si="2725"/>
        <v>0</v>
      </c>
      <c r="CD427" s="73">
        <f t="shared" si="2726"/>
        <v>0</v>
      </c>
      <c r="CE427" s="73">
        <f>pInt_NoCare_Int_Dead_2007_2009*AW426</f>
        <v>0</v>
      </c>
      <c r="CF427" s="73">
        <f t="shared" si="2727"/>
        <v>0</v>
      </c>
      <c r="CG427" s="73">
        <f t="shared" si="2728"/>
        <v>0</v>
      </c>
      <c r="CH427" s="73">
        <f t="shared" si="2729"/>
        <v>0</v>
      </c>
      <c r="CI427" s="73">
        <f t="shared" si="2730"/>
        <v>0</v>
      </c>
      <c r="CJ427" s="73">
        <f t="shared" si="2731"/>
        <v>0</v>
      </c>
      <c r="CK427" s="73">
        <f t="shared" si="2732"/>
        <v>0</v>
      </c>
      <c r="CL427" s="73">
        <f t="shared" si="2733"/>
        <v>0</v>
      </c>
      <c r="CM427" s="73">
        <f>pAIDS_NoCare_AIDS_Dead_2007_2009*BC426</f>
        <v>0</v>
      </c>
      <c r="CN427" s="73">
        <f t="shared" si="2735"/>
        <v>0</v>
      </c>
      <c r="CO427" s="73">
        <f t="shared" si="2736"/>
        <v>0</v>
      </c>
      <c r="CP427" s="73">
        <f t="shared" si="2737"/>
        <v>0</v>
      </c>
      <c r="CQ427" s="73">
        <f t="shared" si="2738"/>
        <v>0</v>
      </c>
      <c r="CR427" s="73">
        <f t="shared" si="2739"/>
        <v>0</v>
      </c>
      <c r="CS427" s="73">
        <f t="shared" si="2740"/>
        <v>0</v>
      </c>
      <c r="CT427" s="73">
        <f t="shared" si="2741"/>
        <v>0</v>
      </c>
      <c r="CU427" s="73">
        <f t="shared" si="2742"/>
        <v>0</v>
      </c>
      <c r="CV427" s="73">
        <f t="shared" si="2743"/>
        <v>0</v>
      </c>
      <c r="CW427" s="73">
        <f t="shared" si="2744"/>
        <v>0</v>
      </c>
      <c r="CX427" s="73">
        <f t="shared" si="2745"/>
        <v>0</v>
      </c>
      <c r="CY427" s="73">
        <f t="shared" si="2746"/>
        <v>0</v>
      </c>
      <c r="CZ427" s="190"/>
      <c r="DA427" s="66">
        <v>2009</v>
      </c>
      <c r="DB427" s="218">
        <f t="shared" si="2715"/>
        <v>0</v>
      </c>
      <c r="DC427" s="218">
        <f t="shared" si="2716"/>
        <v>0</v>
      </c>
      <c r="DD427" s="73">
        <f t="shared" si="2717"/>
        <v>0</v>
      </c>
      <c r="DE427" s="73">
        <f t="shared" si="2718"/>
        <v>0</v>
      </c>
      <c r="DF427" s="73">
        <f t="shared" si="2719"/>
        <v>0</v>
      </c>
      <c r="DG427" s="73">
        <f t="shared" si="2720"/>
        <v>0</v>
      </c>
      <c r="DH427" s="72" t="e">
        <f t="shared" si="2747"/>
        <v>#DIV/0!</v>
      </c>
      <c r="DI427" s="72" t="e">
        <f t="shared" si="2748"/>
        <v>#DIV/0!</v>
      </c>
      <c r="DJ427" s="73">
        <f>SUM(AV422:AV427,BB422:BB427,BI422:BI427)</f>
        <v>0</v>
      </c>
      <c r="DK427" s="218">
        <v>0</v>
      </c>
      <c r="DL427" s="190"/>
    </row>
    <row r="428" spans="22:116" x14ac:dyDescent="0.25">
      <c r="V428" s="13"/>
      <c r="W428" s="66">
        <v>6</v>
      </c>
      <c r="X428" s="66">
        <v>2010</v>
      </c>
      <c r="Y428" s="69">
        <v>0</v>
      </c>
      <c r="Z428" s="69">
        <v>0</v>
      </c>
      <c r="AA428" s="69">
        <v>0</v>
      </c>
      <c r="AB428" s="69">
        <v>0</v>
      </c>
      <c r="AC428" s="69">
        <v>0</v>
      </c>
      <c r="AD428" s="69">
        <v>0</v>
      </c>
      <c r="AE428" s="69">
        <v>0</v>
      </c>
      <c r="AF428" s="69">
        <v>0</v>
      </c>
      <c r="AG428" s="69">
        <v>0</v>
      </c>
      <c r="AH428" s="69">
        <v>0</v>
      </c>
      <c r="AI428" s="69">
        <v>0</v>
      </c>
      <c r="AJ428" s="69">
        <v>0</v>
      </c>
      <c r="AK428" s="69">
        <v>0</v>
      </c>
      <c r="AL428" s="69">
        <v>0</v>
      </c>
      <c r="AM428" s="69">
        <v>0</v>
      </c>
      <c r="AN428" s="69">
        <v>0</v>
      </c>
      <c r="AO428" s="69">
        <v>0</v>
      </c>
      <c r="AP428" s="190"/>
      <c r="AQ428" s="66">
        <v>6</v>
      </c>
      <c r="AR428" s="66">
        <v>2010</v>
      </c>
      <c r="AS428" s="215">
        <f t="shared" si="2698"/>
        <v>0</v>
      </c>
      <c r="AT428" s="215">
        <f t="shared" si="2699"/>
        <v>0</v>
      </c>
      <c r="AU428" s="215">
        <f t="shared" si="2700"/>
        <v>0</v>
      </c>
      <c r="AV428" s="215">
        <f t="shared" si="2701"/>
        <v>0</v>
      </c>
      <c r="AW428" s="215">
        <f t="shared" si="2702"/>
        <v>0</v>
      </c>
      <c r="AX428" s="215">
        <f t="shared" si="2703"/>
        <v>0</v>
      </c>
      <c r="AY428" s="215">
        <f t="shared" si="2704"/>
        <v>0</v>
      </c>
      <c r="AZ428" s="215">
        <f t="shared" si="2705"/>
        <v>0</v>
      </c>
      <c r="BA428" s="215">
        <f t="shared" si="2706"/>
        <v>0</v>
      </c>
      <c r="BB428" s="215">
        <f t="shared" si="2707"/>
        <v>0</v>
      </c>
      <c r="BC428" s="215">
        <f t="shared" si="2708"/>
        <v>0</v>
      </c>
      <c r="BD428" s="215">
        <f t="shared" si="2709"/>
        <v>0</v>
      </c>
      <c r="BE428" s="215">
        <f t="shared" si="2710"/>
        <v>0</v>
      </c>
      <c r="BF428" s="215">
        <f t="shared" si="2711"/>
        <v>0</v>
      </c>
      <c r="BG428" s="215">
        <f t="shared" si="2712"/>
        <v>0</v>
      </c>
      <c r="BH428" s="215">
        <f t="shared" si="2713"/>
        <v>0</v>
      </c>
      <c r="BI428" s="215">
        <f t="shared" si="2714"/>
        <v>0</v>
      </c>
      <c r="BJ428" s="195"/>
      <c r="BK428" s="66">
        <v>6</v>
      </c>
      <c r="BL428" s="66">
        <v>2010</v>
      </c>
      <c r="BM428" s="215">
        <f t="shared" si="2721"/>
        <v>0</v>
      </c>
      <c r="BN428" s="219">
        <f t="shared" si="2722"/>
        <v>0</v>
      </c>
      <c r="BO428" s="219">
        <f t="shared" si="2723"/>
        <v>0</v>
      </c>
      <c r="BP428" s="219">
        <f t="shared" si="2749"/>
        <v>0</v>
      </c>
      <c r="BQ428" s="219">
        <f t="shared" si="2724"/>
        <v>0</v>
      </c>
      <c r="BR428" s="220">
        <f t="shared" si="2750"/>
        <v>0</v>
      </c>
      <c r="BS428" s="219">
        <f t="shared" si="2751"/>
        <v>0</v>
      </c>
      <c r="BT428" s="219">
        <f t="shared" si="2752"/>
        <v>0</v>
      </c>
      <c r="BU428" s="219">
        <f t="shared" si="2753"/>
        <v>0</v>
      </c>
      <c r="BV428" s="219">
        <f t="shared" si="2754"/>
        <v>0</v>
      </c>
      <c r="BW428" s="219">
        <f t="shared" si="2755"/>
        <v>0</v>
      </c>
      <c r="BX428" s="220">
        <f t="shared" si="2756"/>
        <v>0</v>
      </c>
      <c r="BY428" s="195"/>
      <c r="BZ428" s="66">
        <v>6</v>
      </c>
      <c r="CA428" s="66">
        <v>2010</v>
      </c>
      <c r="CB428" s="218">
        <f>pAsympt_NoCare_Asympt_Dead_2010_2012*AS427</f>
        <v>0</v>
      </c>
      <c r="CC428" s="218">
        <f t="shared" si="2725"/>
        <v>0</v>
      </c>
      <c r="CD428" s="73">
        <f t="shared" si="2726"/>
        <v>0</v>
      </c>
      <c r="CE428" s="73">
        <f>pInt_NoCare_Int_Dead_2010_2012*AW427</f>
        <v>0</v>
      </c>
      <c r="CF428" s="73">
        <f t="shared" si="2727"/>
        <v>0</v>
      </c>
      <c r="CG428" s="73">
        <f t="shared" si="2728"/>
        <v>0</v>
      </c>
      <c r="CH428" s="73">
        <f t="shared" si="2729"/>
        <v>0</v>
      </c>
      <c r="CI428" s="73">
        <f t="shared" si="2730"/>
        <v>0</v>
      </c>
      <c r="CJ428" s="73">
        <f t="shared" si="2731"/>
        <v>0</v>
      </c>
      <c r="CK428" s="73">
        <f t="shared" si="2732"/>
        <v>0</v>
      </c>
      <c r="CL428" s="73">
        <f t="shared" si="2733"/>
        <v>0</v>
      </c>
      <c r="CM428" s="73">
        <f>pAIDS_NoCare_AIDS_Dead_2010_2012*BC427</f>
        <v>0</v>
      </c>
      <c r="CN428" s="73">
        <f t="shared" si="2735"/>
        <v>0</v>
      </c>
      <c r="CO428" s="73">
        <f t="shared" si="2736"/>
        <v>0</v>
      </c>
      <c r="CP428" s="73">
        <f t="shared" si="2737"/>
        <v>0</v>
      </c>
      <c r="CQ428" s="73">
        <f t="shared" si="2738"/>
        <v>0</v>
      </c>
      <c r="CR428" s="73">
        <f t="shared" si="2739"/>
        <v>0</v>
      </c>
      <c r="CS428" s="73">
        <f t="shared" si="2740"/>
        <v>0</v>
      </c>
      <c r="CT428" s="73">
        <f t="shared" si="2741"/>
        <v>0</v>
      </c>
      <c r="CU428" s="73">
        <f t="shared" si="2742"/>
        <v>0</v>
      </c>
      <c r="CV428" s="73">
        <f t="shared" si="2743"/>
        <v>0</v>
      </c>
      <c r="CW428" s="73">
        <f t="shared" si="2744"/>
        <v>0</v>
      </c>
      <c r="CX428" s="73">
        <f t="shared" si="2745"/>
        <v>0</v>
      </c>
      <c r="CY428" s="73">
        <f t="shared" si="2746"/>
        <v>0</v>
      </c>
      <c r="CZ428" s="190"/>
      <c r="DA428" s="66">
        <v>2010</v>
      </c>
      <c r="DB428" s="218">
        <f t="shared" si="2715"/>
        <v>0</v>
      </c>
      <c r="DC428" s="218">
        <f t="shared" si="2716"/>
        <v>0</v>
      </c>
      <c r="DD428" s="73">
        <f t="shared" si="2717"/>
        <v>0</v>
      </c>
      <c r="DE428" s="73">
        <f t="shared" si="2718"/>
        <v>0</v>
      </c>
      <c r="DF428" s="73">
        <f t="shared" si="2719"/>
        <v>0</v>
      </c>
      <c r="DG428" s="73">
        <f t="shared" si="2720"/>
        <v>0</v>
      </c>
      <c r="DH428" s="72" t="e">
        <f t="shared" si="2747"/>
        <v>#DIV/0!</v>
      </c>
      <c r="DI428" s="72" t="e">
        <f t="shared" si="2748"/>
        <v>#DIV/0!</v>
      </c>
      <c r="DJ428" s="73">
        <f>SUM(AV422:AV428,BB422:BB428,BI422:BI428)</f>
        <v>0</v>
      </c>
      <c r="DK428" s="218">
        <f>SUM(AV428,BB428,BI428)</f>
        <v>0</v>
      </c>
      <c r="DL428" s="190"/>
    </row>
    <row r="429" spans="22:116" x14ac:dyDescent="0.25">
      <c r="V429" s="13"/>
      <c r="W429" s="66">
        <v>7</v>
      </c>
      <c r="X429" s="66">
        <v>2011</v>
      </c>
      <c r="Y429" s="69">
        <v>0</v>
      </c>
      <c r="Z429" s="69">
        <v>0</v>
      </c>
      <c r="AA429" s="69">
        <v>0</v>
      </c>
      <c r="AB429" s="69">
        <v>0</v>
      </c>
      <c r="AC429" s="69">
        <v>0</v>
      </c>
      <c r="AD429" s="69">
        <v>0</v>
      </c>
      <c r="AE429" s="69">
        <v>0</v>
      </c>
      <c r="AF429" s="69">
        <v>0</v>
      </c>
      <c r="AG429" s="69">
        <v>0</v>
      </c>
      <c r="AH429" s="69">
        <v>0</v>
      </c>
      <c r="AI429" s="69">
        <v>0</v>
      </c>
      <c r="AJ429" s="69">
        <v>0</v>
      </c>
      <c r="AK429" s="69">
        <v>0</v>
      </c>
      <c r="AL429" s="69">
        <v>0</v>
      </c>
      <c r="AM429" s="69">
        <v>0</v>
      </c>
      <c r="AN429" s="69">
        <v>0</v>
      </c>
      <c r="AO429" s="69">
        <v>0</v>
      </c>
      <c r="AP429" s="190"/>
      <c r="AQ429" s="66">
        <v>7</v>
      </c>
      <c r="AR429" s="66">
        <v>2011</v>
      </c>
      <c r="AS429" s="215">
        <f t="shared" si="2698"/>
        <v>0</v>
      </c>
      <c r="AT429" s="215">
        <f t="shared" si="2699"/>
        <v>0</v>
      </c>
      <c r="AU429" s="215">
        <f t="shared" si="2700"/>
        <v>0</v>
      </c>
      <c r="AV429" s="215">
        <f t="shared" si="2701"/>
        <v>0</v>
      </c>
      <c r="AW429" s="215">
        <f t="shared" si="2702"/>
        <v>0</v>
      </c>
      <c r="AX429" s="215">
        <f t="shared" si="2703"/>
        <v>0</v>
      </c>
      <c r="AY429" s="215">
        <f t="shared" si="2704"/>
        <v>0</v>
      </c>
      <c r="AZ429" s="215">
        <f t="shared" si="2705"/>
        <v>0</v>
      </c>
      <c r="BA429" s="215">
        <f t="shared" si="2706"/>
        <v>0</v>
      </c>
      <c r="BB429" s="215">
        <f t="shared" si="2707"/>
        <v>0</v>
      </c>
      <c r="BC429" s="215">
        <f t="shared" si="2708"/>
        <v>0</v>
      </c>
      <c r="BD429" s="215">
        <f t="shared" si="2709"/>
        <v>0</v>
      </c>
      <c r="BE429" s="215">
        <f t="shared" si="2710"/>
        <v>0</v>
      </c>
      <c r="BF429" s="215">
        <f t="shared" si="2711"/>
        <v>0</v>
      </c>
      <c r="BG429" s="215">
        <f t="shared" si="2712"/>
        <v>0</v>
      </c>
      <c r="BH429" s="215">
        <f t="shared" si="2713"/>
        <v>0</v>
      </c>
      <c r="BI429" s="215">
        <f t="shared" si="2714"/>
        <v>0</v>
      </c>
      <c r="BJ429" s="195"/>
      <c r="BK429" s="66">
        <v>7</v>
      </c>
      <c r="BL429" s="66">
        <v>2011</v>
      </c>
      <c r="BM429" s="215">
        <f t="shared" si="2721"/>
        <v>0</v>
      </c>
      <c r="BN429" s="219">
        <f t="shared" si="2722"/>
        <v>0</v>
      </c>
      <c r="BO429" s="219">
        <f t="shared" si="2723"/>
        <v>0</v>
      </c>
      <c r="BP429" s="219">
        <f t="shared" si="2749"/>
        <v>0</v>
      </c>
      <c r="BQ429" s="219">
        <f t="shared" si="2724"/>
        <v>0</v>
      </c>
      <c r="BR429" s="220">
        <f t="shared" si="2750"/>
        <v>0</v>
      </c>
      <c r="BS429" s="219">
        <f t="shared" si="2751"/>
        <v>0</v>
      </c>
      <c r="BT429" s="219">
        <f t="shared" si="2752"/>
        <v>0</v>
      </c>
      <c r="BU429" s="219">
        <f t="shared" si="2753"/>
        <v>0</v>
      </c>
      <c r="BV429" s="219">
        <f t="shared" si="2754"/>
        <v>0</v>
      </c>
      <c r="BW429" s="219">
        <f t="shared" si="2755"/>
        <v>0</v>
      </c>
      <c r="BX429" s="220">
        <f t="shared" si="2756"/>
        <v>0</v>
      </c>
      <c r="BY429" s="195"/>
      <c r="BZ429" s="66">
        <v>7</v>
      </c>
      <c r="CA429" s="66">
        <v>2011</v>
      </c>
      <c r="CB429" s="218">
        <f>pAsympt_NoCare_Asympt_Dead_2010_2012*AS428</f>
        <v>0</v>
      </c>
      <c r="CC429" s="218">
        <f t="shared" si="2725"/>
        <v>0</v>
      </c>
      <c r="CD429" s="73">
        <f t="shared" si="2726"/>
        <v>0</v>
      </c>
      <c r="CE429" s="73">
        <f>pInt_NoCare_Int_Dead_2010_2012*AW428</f>
        <v>0</v>
      </c>
      <c r="CF429" s="73">
        <f t="shared" si="2727"/>
        <v>0</v>
      </c>
      <c r="CG429" s="73">
        <f t="shared" si="2728"/>
        <v>0</v>
      </c>
      <c r="CH429" s="73">
        <f t="shared" si="2729"/>
        <v>0</v>
      </c>
      <c r="CI429" s="73">
        <f t="shared" si="2730"/>
        <v>0</v>
      </c>
      <c r="CJ429" s="73">
        <f t="shared" si="2731"/>
        <v>0</v>
      </c>
      <c r="CK429" s="73">
        <f t="shared" si="2732"/>
        <v>0</v>
      </c>
      <c r="CL429" s="73">
        <f t="shared" si="2733"/>
        <v>0</v>
      </c>
      <c r="CM429" s="73">
        <f>pAIDS_NoCare_AIDS_Dead_2010_2012*BC428</f>
        <v>0</v>
      </c>
      <c r="CN429" s="73">
        <f t="shared" si="2735"/>
        <v>0</v>
      </c>
      <c r="CO429" s="73">
        <f t="shared" si="2736"/>
        <v>0</v>
      </c>
      <c r="CP429" s="73">
        <f t="shared" si="2737"/>
        <v>0</v>
      </c>
      <c r="CQ429" s="73">
        <f t="shared" si="2738"/>
        <v>0</v>
      </c>
      <c r="CR429" s="73">
        <f t="shared" si="2739"/>
        <v>0</v>
      </c>
      <c r="CS429" s="73">
        <f t="shared" si="2740"/>
        <v>0</v>
      </c>
      <c r="CT429" s="73">
        <f t="shared" si="2741"/>
        <v>0</v>
      </c>
      <c r="CU429" s="73">
        <f t="shared" si="2742"/>
        <v>0</v>
      </c>
      <c r="CV429" s="73">
        <f t="shared" si="2743"/>
        <v>0</v>
      </c>
      <c r="CW429" s="73">
        <f t="shared" si="2744"/>
        <v>0</v>
      </c>
      <c r="CX429" s="73">
        <f t="shared" si="2745"/>
        <v>0</v>
      </c>
      <c r="CY429" s="73">
        <f t="shared" si="2746"/>
        <v>0</v>
      </c>
      <c r="CZ429" s="190"/>
      <c r="DA429" s="66">
        <v>2011</v>
      </c>
      <c r="DB429" s="218">
        <f t="shared" si="2715"/>
        <v>0</v>
      </c>
      <c r="DC429" s="218">
        <f t="shared" si="2716"/>
        <v>0</v>
      </c>
      <c r="DD429" s="73">
        <f t="shared" si="2717"/>
        <v>0</v>
      </c>
      <c r="DE429" s="73">
        <f t="shared" si="2718"/>
        <v>0</v>
      </c>
      <c r="DF429" s="73">
        <f t="shared" si="2719"/>
        <v>0</v>
      </c>
      <c r="DG429" s="73">
        <f t="shared" si="2720"/>
        <v>0</v>
      </c>
      <c r="DH429" s="72" t="e">
        <f t="shared" si="2747"/>
        <v>#DIV/0!</v>
      </c>
      <c r="DI429" s="72" t="e">
        <f t="shared" si="2748"/>
        <v>#DIV/0!</v>
      </c>
      <c r="DJ429" s="73">
        <f>SUM(AV422:AV429,BB422:BB429,BI422:BI429)</f>
        <v>0</v>
      </c>
      <c r="DK429" s="218">
        <f>SUM(AV428:AV429,BB428:BB429,BI428:BI429)</f>
        <v>0</v>
      </c>
      <c r="DL429" s="190"/>
    </row>
    <row r="430" spans="22:116" x14ac:dyDescent="0.25">
      <c r="V430" s="13"/>
      <c r="W430" s="66">
        <v>8</v>
      </c>
      <c r="X430" s="66">
        <v>2012</v>
      </c>
      <c r="Y430" s="69">
        <v>0</v>
      </c>
      <c r="Z430" s="69">
        <v>0</v>
      </c>
      <c r="AA430" s="69">
        <v>0</v>
      </c>
      <c r="AB430" s="69">
        <v>0</v>
      </c>
      <c r="AC430" s="69">
        <v>0</v>
      </c>
      <c r="AD430" s="69">
        <v>0</v>
      </c>
      <c r="AE430" s="69">
        <v>0</v>
      </c>
      <c r="AF430" s="69">
        <v>0</v>
      </c>
      <c r="AG430" s="69">
        <v>0</v>
      </c>
      <c r="AH430" s="69">
        <v>0</v>
      </c>
      <c r="AI430" s="69">
        <v>0</v>
      </c>
      <c r="AJ430" s="69">
        <v>0</v>
      </c>
      <c r="AK430" s="69">
        <v>0</v>
      </c>
      <c r="AL430" s="69">
        <v>0</v>
      </c>
      <c r="AM430" s="69">
        <v>0</v>
      </c>
      <c r="AN430" s="69">
        <v>0</v>
      </c>
      <c r="AO430" s="69">
        <v>0</v>
      </c>
      <c r="AP430" s="190"/>
      <c r="AQ430" s="66">
        <v>8</v>
      </c>
      <c r="AR430" s="66">
        <v>2012</v>
      </c>
      <c r="AS430" s="215">
        <f t="shared" si="2698"/>
        <v>0</v>
      </c>
      <c r="AT430" s="215">
        <f t="shared" si="2699"/>
        <v>0</v>
      </c>
      <c r="AU430" s="215">
        <f t="shared" si="2700"/>
        <v>0</v>
      </c>
      <c r="AV430" s="215">
        <f t="shared" si="2701"/>
        <v>0</v>
      </c>
      <c r="AW430" s="215">
        <f t="shared" si="2702"/>
        <v>0</v>
      </c>
      <c r="AX430" s="215">
        <f t="shared" si="2703"/>
        <v>0</v>
      </c>
      <c r="AY430" s="215">
        <f t="shared" si="2704"/>
        <v>0</v>
      </c>
      <c r="AZ430" s="215">
        <f t="shared" si="2705"/>
        <v>0</v>
      </c>
      <c r="BA430" s="215">
        <f t="shared" si="2706"/>
        <v>0</v>
      </c>
      <c r="BB430" s="215">
        <f t="shared" si="2707"/>
        <v>0</v>
      </c>
      <c r="BC430" s="215">
        <f t="shared" si="2708"/>
        <v>0</v>
      </c>
      <c r="BD430" s="215">
        <f t="shared" si="2709"/>
        <v>0</v>
      </c>
      <c r="BE430" s="215">
        <f t="shared" si="2710"/>
        <v>0</v>
      </c>
      <c r="BF430" s="215">
        <f t="shared" si="2711"/>
        <v>0</v>
      </c>
      <c r="BG430" s="215">
        <f t="shared" si="2712"/>
        <v>0</v>
      </c>
      <c r="BH430" s="215">
        <f t="shared" si="2713"/>
        <v>0</v>
      </c>
      <c r="BI430" s="215">
        <f t="shared" si="2714"/>
        <v>0</v>
      </c>
      <c r="BJ430" s="195"/>
      <c r="BK430" s="66">
        <v>8</v>
      </c>
      <c r="BL430" s="66">
        <v>2012</v>
      </c>
      <c r="BM430" s="215">
        <f t="shared" si="2721"/>
        <v>0</v>
      </c>
      <c r="BN430" s="219">
        <f t="shared" si="2722"/>
        <v>0</v>
      </c>
      <c r="BO430" s="219">
        <f t="shared" si="2723"/>
        <v>0</v>
      </c>
      <c r="BP430" s="219">
        <f t="shared" si="2749"/>
        <v>0</v>
      </c>
      <c r="BQ430" s="219">
        <f t="shared" si="2724"/>
        <v>0</v>
      </c>
      <c r="BR430" s="220">
        <f t="shared" si="2750"/>
        <v>0</v>
      </c>
      <c r="BS430" s="219">
        <f t="shared" si="2751"/>
        <v>0</v>
      </c>
      <c r="BT430" s="219">
        <f t="shared" si="2752"/>
        <v>0</v>
      </c>
      <c r="BU430" s="219">
        <f t="shared" si="2753"/>
        <v>0</v>
      </c>
      <c r="BV430" s="219">
        <f t="shared" si="2754"/>
        <v>0</v>
      </c>
      <c r="BW430" s="219">
        <f t="shared" si="2755"/>
        <v>0</v>
      </c>
      <c r="BX430" s="220">
        <f t="shared" si="2756"/>
        <v>0</v>
      </c>
      <c r="BY430" s="195"/>
      <c r="BZ430" s="66">
        <v>8</v>
      </c>
      <c r="CA430" s="66">
        <v>2012</v>
      </c>
      <c r="CB430" s="218">
        <f>pAsympt_NoCare_Asympt_Dead_2010_2012*AS429</f>
        <v>0</v>
      </c>
      <c r="CC430" s="218">
        <f t="shared" si="2725"/>
        <v>0</v>
      </c>
      <c r="CD430" s="73">
        <f t="shared" si="2726"/>
        <v>0</v>
      </c>
      <c r="CE430" s="73">
        <f>pInt_NoCare_Int_Dead_2010_2012*AW429</f>
        <v>0</v>
      </c>
      <c r="CF430" s="73">
        <f t="shared" si="2727"/>
        <v>0</v>
      </c>
      <c r="CG430" s="73">
        <f t="shared" si="2728"/>
        <v>0</v>
      </c>
      <c r="CH430" s="73">
        <f t="shared" si="2729"/>
        <v>0</v>
      </c>
      <c r="CI430" s="73">
        <f t="shared" si="2730"/>
        <v>0</v>
      </c>
      <c r="CJ430" s="73">
        <f t="shared" si="2731"/>
        <v>0</v>
      </c>
      <c r="CK430" s="73">
        <f t="shared" si="2732"/>
        <v>0</v>
      </c>
      <c r="CL430" s="73">
        <f t="shared" si="2733"/>
        <v>0</v>
      </c>
      <c r="CM430" s="73">
        <f>pAIDS_NoCare_AIDS_Dead_2010_2012*BC429</f>
        <v>0</v>
      </c>
      <c r="CN430" s="73">
        <f t="shared" si="2735"/>
        <v>0</v>
      </c>
      <c r="CO430" s="73">
        <f t="shared" si="2736"/>
        <v>0</v>
      </c>
      <c r="CP430" s="73">
        <f t="shared" si="2737"/>
        <v>0</v>
      </c>
      <c r="CQ430" s="73">
        <f t="shared" si="2738"/>
        <v>0</v>
      </c>
      <c r="CR430" s="73">
        <f t="shared" si="2739"/>
        <v>0</v>
      </c>
      <c r="CS430" s="73">
        <f t="shared" si="2740"/>
        <v>0</v>
      </c>
      <c r="CT430" s="73">
        <f t="shared" si="2741"/>
        <v>0</v>
      </c>
      <c r="CU430" s="73">
        <f t="shared" si="2742"/>
        <v>0</v>
      </c>
      <c r="CV430" s="73">
        <f t="shared" si="2743"/>
        <v>0</v>
      </c>
      <c r="CW430" s="73">
        <f t="shared" si="2744"/>
        <v>0</v>
      </c>
      <c r="CX430" s="73">
        <f t="shared" si="2745"/>
        <v>0</v>
      </c>
      <c r="CY430" s="73">
        <f t="shared" si="2746"/>
        <v>0</v>
      </c>
      <c r="CZ430" s="190"/>
      <c r="DA430" s="66">
        <v>2012</v>
      </c>
      <c r="DB430" s="218">
        <f t="shared" si="2715"/>
        <v>0</v>
      </c>
      <c r="DC430" s="218">
        <f t="shared" si="2716"/>
        <v>0</v>
      </c>
      <c r="DD430" s="73">
        <f t="shared" si="2717"/>
        <v>0</v>
      </c>
      <c r="DE430" s="73">
        <f t="shared" si="2718"/>
        <v>0</v>
      </c>
      <c r="DF430" s="73">
        <f t="shared" si="2719"/>
        <v>0</v>
      </c>
      <c r="DG430" s="73">
        <f t="shared" si="2720"/>
        <v>0</v>
      </c>
      <c r="DH430" s="72" t="e">
        <f t="shared" si="2747"/>
        <v>#DIV/0!</v>
      </c>
      <c r="DI430" s="72" t="e">
        <f t="shared" si="2748"/>
        <v>#DIV/0!</v>
      </c>
      <c r="DJ430" s="73">
        <f>SUM(AV422:AV430,BB422:BB430,BI422:BI430)</f>
        <v>0</v>
      </c>
      <c r="DK430" s="73">
        <f>SUM(AV428:AV430,BB428:BB430,BI428:BI430)</f>
        <v>0</v>
      </c>
      <c r="DL430" s="190"/>
    </row>
    <row r="431" spans="22:116" x14ac:dyDescent="0.25">
      <c r="V431" s="13"/>
      <c r="W431" s="66">
        <v>9</v>
      </c>
      <c r="X431" s="66">
        <v>2013</v>
      </c>
      <c r="Y431" s="69">
        <v>0</v>
      </c>
      <c r="Z431" s="69">
        <v>0</v>
      </c>
      <c r="AA431" s="69">
        <v>0</v>
      </c>
      <c r="AB431" s="69">
        <v>0</v>
      </c>
      <c r="AC431" s="69">
        <v>0</v>
      </c>
      <c r="AD431" s="69">
        <v>0</v>
      </c>
      <c r="AE431" s="69">
        <v>0</v>
      </c>
      <c r="AF431" s="69">
        <v>0</v>
      </c>
      <c r="AG431" s="69">
        <v>0</v>
      </c>
      <c r="AH431" s="69">
        <v>0</v>
      </c>
      <c r="AI431" s="69">
        <v>0</v>
      </c>
      <c r="AJ431" s="69">
        <v>0</v>
      </c>
      <c r="AK431" s="69">
        <v>0</v>
      </c>
      <c r="AL431" s="69">
        <v>0</v>
      </c>
      <c r="AM431" s="69">
        <v>0</v>
      </c>
      <c r="AN431" s="69">
        <v>0</v>
      </c>
      <c r="AO431" s="69">
        <v>0</v>
      </c>
      <c r="AP431" s="190"/>
      <c r="AQ431" s="66">
        <v>9</v>
      </c>
      <c r="AR431" s="66">
        <v>2013</v>
      </c>
      <c r="AS431" s="215">
        <f t="shared" si="2698"/>
        <v>0</v>
      </c>
      <c r="AT431" s="215">
        <f t="shared" si="2699"/>
        <v>0</v>
      </c>
      <c r="AU431" s="215">
        <f t="shared" si="2700"/>
        <v>0</v>
      </c>
      <c r="AV431" s="215">
        <f t="shared" si="2701"/>
        <v>0</v>
      </c>
      <c r="AW431" s="215">
        <f t="shared" si="2702"/>
        <v>0</v>
      </c>
      <c r="AX431" s="215">
        <f t="shared" si="2703"/>
        <v>0</v>
      </c>
      <c r="AY431" s="215">
        <f t="shared" si="2704"/>
        <v>0</v>
      </c>
      <c r="AZ431" s="215">
        <f t="shared" si="2705"/>
        <v>0</v>
      </c>
      <c r="BA431" s="215">
        <f t="shared" si="2706"/>
        <v>0</v>
      </c>
      <c r="BB431" s="215">
        <f t="shared" si="2707"/>
        <v>0</v>
      </c>
      <c r="BC431" s="215">
        <f t="shared" si="2708"/>
        <v>0</v>
      </c>
      <c r="BD431" s="215">
        <f t="shared" si="2709"/>
        <v>0</v>
      </c>
      <c r="BE431" s="215">
        <f t="shared" si="2710"/>
        <v>0</v>
      </c>
      <c r="BF431" s="215">
        <f t="shared" si="2711"/>
        <v>0</v>
      </c>
      <c r="BG431" s="215">
        <f t="shared" si="2712"/>
        <v>0</v>
      </c>
      <c r="BH431" s="215">
        <f t="shared" si="2713"/>
        <v>0</v>
      </c>
      <c r="BI431" s="215">
        <f t="shared" si="2714"/>
        <v>0</v>
      </c>
      <c r="BJ431" s="195"/>
      <c r="BK431" s="66">
        <v>9</v>
      </c>
      <c r="BL431" s="66">
        <v>2013</v>
      </c>
      <c r="BM431" s="215">
        <f t="shared" ref="BM431:BM441" si="2757">(AX430*pInt_InCare_Int_LTFU_2013plus_u)+(BM430*pInt_LTFU_2013plus_u)</f>
        <v>0</v>
      </c>
      <c r="BN431" s="219">
        <f t="shared" ref="BN431:BN441" si="2758">(AU430*pAsympt_LTFU_Int_LTFU_2013plus_u)+(BN430*pInt_LTFU_2013plus_u)</f>
        <v>0</v>
      </c>
      <c r="BO431" s="219">
        <f t="shared" ref="BO431:BO441" si="2759">(AY430*pInt_ART1_Int_LTFU_2013plus_u)+(BO430*pInt_LTFU_2013plus_u)</f>
        <v>0</v>
      </c>
      <c r="BP431" s="219">
        <f t="shared" ref="BP431:BP441" si="2760">(AZ430*pInt_ART2_Int_LTFU_2013plus_u)+(BP430*pInt_LTFU_2013plus_u)</f>
        <v>0</v>
      </c>
      <c r="BQ431" s="219">
        <f t="shared" ref="BQ431:BQ441" si="2761">(BD430*pAIDS_InCare_AIDS_LTFU_2013plus_u)+(BQ430*pAIDS_LTFU_2013plus_u)</f>
        <v>0</v>
      </c>
      <c r="BR431" s="220">
        <f t="shared" ref="BR431:BR441" si="2762">(BN430*pInt_LTFU_AIDS_LTFU_2013plus_u)+(BR430*pAIDS_LTFU_2013plus_u)</f>
        <v>0</v>
      </c>
      <c r="BS431" s="219">
        <f t="shared" ref="BS431:BS441" si="2763">(BM430*pInt_LTFU_AIDS_LTFU_2013plus_u)+(BS430*pAIDS_LTFU_2013plus_u)</f>
        <v>0</v>
      </c>
      <c r="BT431" s="219">
        <f t="shared" ref="BT431:BT441" si="2764">(BE430*pAIDS_ART1ear_AIDS_LTFU_2013plus_u)+(BT430*pAIDS_LTFU_2013plus_u)</f>
        <v>0</v>
      </c>
      <c r="BU431" s="219">
        <f t="shared" ref="BU431:BU441" si="2765">(BF430*pAIDS_ART1late_AIDS_LTFU_2013plus_u)+(BU430*pAIDS_LTFU_2013plus_u)</f>
        <v>0</v>
      </c>
      <c r="BV431" s="219">
        <f t="shared" ref="BV431:BV441" si="2766">(BO430*pInt_LTFU_AIDS_LTFU_2013plus_u)+(BV430*pAIDS_LTFU_2013plus_u)</f>
        <v>0</v>
      </c>
      <c r="BW431" s="219">
        <f t="shared" ref="BW431:BW441" si="2767">(BG430*pAIDS_ART2_AIDS_LTFU_2013plus_u)+(BW430*pAIDS_LTFU_2013plus_u)</f>
        <v>0</v>
      </c>
      <c r="BX431" s="220">
        <f t="shared" ref="BX431:BX441" si="2768">(BP430*pInt_LTFU_AIDS_LTFU_2013plus_u)+(BX430*pAIDS_LTFU_2013plus_u)</f>
        <v>0</v>
      </c>
      <c r="BY431" s="195"/>
      <c r="BZ431" s="66">
        <v>9</v>
      </c>
      <c r="CA431" s="66">
        <v>2013</v>
      </c>
      <c r="CB431" s="218">
        <f t="shared" ref="CB431:CB441" si="2769">pAsympt_NoCare_Asympt_Dead_2013plus_u*AS430</f>
        <v>0</v>
      </c>
      <c r="CC431" s="218">
        <f t="shared" ref="CC431:CC441" si="2770">pAsympt_InCare_Asympt_Dead_2013plus_u*AT430</f>
        <v>0</v>
      </c>
      <c r="CD431" s="73">
        <f t="shared" ref="CD431:CD441" si="2771">pAsympt_LTFU_Asympt_Dead_2013plus_u*AU430</f>
        <v>0</v>
      </c>
      <c r="CE431" s="73">
        <f t="shared" ref="CE431:CE441" si="2772">pInt_NoCare_Int_Dead_2013plus_u*AW430</f>
        <v>0</v>
      </c>
      <c r="CF431" s="73">
        <f t="shared" ref="CF431:CF441" si="2773">pInt_InCare_Int_Dead_2013plus_u*AX430</f>
        <v>0</v>
      </c>
      <c r="CG431" s="73">
        <f t="shared" ref="CG431:CG441" si="2774">pInt_ART1_Int_Dead_2013plus_u*AY430</f>
        <v>0</v>
      </c>
      <c r="CH431" s="73">
        <f t="shared" ref="CH431:CH441" si="2775">pInt_ART2_Int_Dead_2013plus_u*AZ430</f>
        <v>0</v>
      </c>
      <c r="CI431" s="73">
        <f t="shared" ref="CI431:CI441" si="2776">(BM430*pInt_LTFU_Int_Dead_2013plus_u)</f>
        <v>0</v>
      </c>
      <c r="CJ431" s="73">
        <f t="shared" ref="CJ431:CJ441" si="2777">(BN430*pInt_LTFU_Int_Dead_2013plus_u)</f>
        <v>0</v>
      </c>
      <c r="CK431" s="73">
        <f t="shared" ref="CK431:CK441" si="2778">(BO430*pInt_LTFU_Int_Dead_2013plus_u)</f>
        <v>0</v>
      </c>
      <c r="CL431" s="73">
        <f t="shared" ref="CL431:CL441" si="2779">(BP430*pInt_LTFU_Int_Dead_2013plus_u)</f>
        <v>0</v>
      </c>
      <c r="CM431" s="73">
        <f t="shared" ref="CM431:CM441" si="2780">pAIDS_NoCare_AIDS_Dead_2013plus_u*BC430</f>
        <v>0</v>
      </c>
      <c r="CN431" s="73">
        <f t="shared" ref="CN431:CN441" si="2781">pAIDS_InCare_AIDS_Dead_2013plus_u*BD430</f>
        <v>0</v>
      </c>
      <c r="CO431" s="73">
        <f t="shared" ref="CO431:CO441" si="2782">pAIDS_ART1ear_AIDS_Dead_2013plus_u*BE430</f>
        <v>0</v>
      </c>
      <c r="CP431" s="73">
        <f t="shared" ref="CP431:CP441" si="2783">pAIDS_ART1late_AIDS_Dead_2013plus_u*BF430</f>
        <v>0</v>
      </c>
      <c r="CQ431" s="73">
        <f t="shared" ref="CQ431:CQ441" si="2784">pAIDS_ART2_AIDS_Dead_2013plus_u*BG430</f>
        <v>0</v>
      </c>
      <c r="CR431" s="73">
        <f t="shared" ref="CR431:CR441" si="2785">(BQ430*pAIDS_LTFU_AIDS_Dead_2013plus_u)</f>
        <v>0</v>
      </c>
      <c r="CS431" s="73">
        <f t="shared" ref="CS431:CS441" si="2786">(BR430*pAIDS_LTFU_AIDS_Dead_2013plus_u)</f>
        <v>0</v>
      </c>
      <c r="CT431" s="73">
        <f t="shared" ref="CT431:CT441" si="2787">(BS430*pAIDS_LTFU_AIDS_Dead_2013plus_u)</f>
        <v>0</v>
      </c>
      <c r="CU431" s="73">
        <f t="shared" ref="CU431:CU441" si="2788">(BT430*pAIDS_LTFU_AIDS_Dead_2013plus_u)</f>
        <v>0</v>
      </c>
      <c r="CV431" s="73">
        <f t="shared" ref="CV431:CV441" si="2789">(BU430*pAIDS_LTFU_AIDS_Dead_2013plus_u)</f>
        <v>0</v>
      </c>
      <c r="CW431" s="73">
        <f t="shared" ref="CW431:CW441" si="2790">(BV430*pAIDS_LTFU_AIDS_Dead_2013plus_u)</f>
        <v>0</v>
      </c>
      <c r="CX431" s="73">
        <f t="shared" ref="CX431:CX441" si="2791">(BW430*pAIDS_LTFU_AIDS_Dead_2013plus_u)</f>
        <v>0</v>
      </c>
      <c r="CY431" s="73">
        <f t="shared" ref="CY431:CY441" si="2792">(BX430*pAIDS_LTFU_AIDS_Dead_2013plus_u)</f>
        <v>0</v>
      </c>
      <c r="CZ431" s="190"/>
      <c r="DA431" s="66">
        <v>2013</v>
      </c>
      <c r="DB431" s="218">
        <f t="shared" si="2715"/>
        <v>0</v>
      </c>
      <c r="DC431" s="218">
        <f t="shared" si="2716"/>
        <v>0</v>
      </c>
      <c r="DD431" s="73">
        <f t="shared" si="2717"/>
        <v>0</v>
      </c>
      <c r="DE431" s="73">
        <f t="shared" si="2718"/>
        <v>0</v>
      </c>
      <c r="DF431" s="73">
        <f t="shared" si="2719"/>
        <v>0</v>
      </c>
      <c r="DG431" s="73">
        <f t="shared" si="2720"/>
        <v>0</v>
      </c>
      <c r="DH431" s="72" t="e">
        <f t="shared" si="2747"/>
        <v>#DIV/0!</v>
      </c>
      <c r="DI431" s="72" t="e">
        <f t="shared" si="2748"/>
        <v>#DIV/0!</v>
      </c>
      <c r="DJ431" s="73">
        <f>SUM(AV422:AV431,BB422:BB431,BI422:BI431)</f>
        <v>0</v>
      </c>
      <c r="DK431" s="73">
        <f>SUM(AV428:AV431,BB428:BB431,BI428:BI431)</f>
        <v>0</v>
      </c>
      <c r="DL431" s="190"/>
    </row>
    <row r="432" spans="22:116" x14ac:dyDescent="0.25">
      <c r="V432" s="13"/>
      <c r="W432" s="66">
        <v>10</v>
      </c>
      <c r="X432" s="66">
        <v>2014</v>
      </c>
      <c r="Y432" s="69">
        <v>0</v>
      </c>
      <c r="Z432" s="69">
        <v>0</v>
      </c>
      <c r="AA432" s="69">
        <v>0</v>
      </c>
      <c r="AB432" s="69">
        <v>0</v>
      </c>
      <c r="AC432" s="69">
        <v>0</v>
      </c>
      <c r="AD432" s="69">
        <v>0</v>
      </c>
      <c r="AE432" s="69">
        <v>0</v>
      </c>
      <c r="AF432" s="69">
        <v>0</v>
      </c>
      <c r="AG432" s="69">
        <v>0</v>
      </c>
      <c r="AH432" s="69">
        <v>0</v>
      </c>
      <c r="AI432" s="69">
        <v>0</v>
      </c>
      <c r="AJ432" s="69">
        <v>0</v>
      </c>
      <c r="AK432" s="69">
        <v>0</v>
      </c>
      <c r="AL432" s="69">
        <v>0</v>
      </c>
      <c r="AM432" s="69">
        <v>0</v>
      </c>
      <c r="AN432" s="69">
        <v>0</v>
      </c>
      <c r="AO432" s="69">
        <v>0</v>
      </c>
      <c r="AP432" s="190"/>
      <c r="AQ432" s="66">
        <v>10</v>
      </c>
      <c r="AR432" s="66">
        <v>2014</v>
      </c>
      <c r="AS432" s="215">
        <f t="shared" si="2698"/>
        <v>0</v>
      </c>
      <c r="AT432" s="215">
        <f t="shared" si="2699"/>
        <v>0</v>
      </c>
      <c r="AU432" s="215">
        <f t="shared" si="2700"/>
        <v>0</v>
      </c>
      <c r="AV432" s="215">
        <f t="shared" si="2701"/>
        <v>0</v>
      </c>
      <c r="AW432" s="215">
        <f t="shared" si="2702"/>
        <v>0</v>
      </c>
      <c r="AX432" s="215">
        <f t="shared" si="2703"/>
        <v>0</v>
      </c>
      <c r="AY432" s="215">
        <f t="shared" si="2704"/>
        <v>0</v>
      </c>
      <c r="AZ432" s="215">
        <f t="shared" si="2705"/>
        <v>0</v>
      </c>
      <c r="BA432" s="215">
        <f t="shared" si="2706"/>
        <v>0</v>
      </c>
      <c r="BB432" s="215">
        <f t="shared" si="2707"/>
        <v>0</v>
      </c>
      <c r="BC432" s="215">
        <f t="shared" si="2708"/>
        <v>0</v>
      </c>
      <c r="BD432" s="215">
        <f t="shared" si="2709"/>
        <v>0</v>
      </c>
      <c r="BE432" s="215">
        <f t="shared" si="2710"/>
        <v>0</v>
      </c>
      <c r="BF432" s="215">
        <f t="shared" si="2711"/>
        <v>0</v>
      </c>
      <c r="BG432" s="215">
        <f t="shared" si="2712"/>
        <v>0</v>
      </c>
      <c r="BH432" s="215">
        <f t="shared" si="2713"/>
        <v>0</v>
      </c>
      <c r="BI432" s="215">
        <f t="shared" si="2714"/>
        <v>0</v>
      </c>
      <c r="BJ432" s="195"/>
      <c r="BK432" s="66">
        <v>10</v>
      </c>
      <c r="BL432" s="66">
        <v>2014</v>
      </c>
      <c r="BM432" s="215">
        <f t="shared" si="2757"/>
        <v>0</v>
      </c>
      <c r="BN432" s="219">
        <f t="shared" si="2758"/>
        <v>0</v>
      </c>
      <c r="BO432" s="219">
        <f t="shared" si="2759"/>
        <v>0</v>
      </c>
      <c r="BP432" s="219">
        <f t="shared" si="2760"/>
        <v>0</v>
      </c>
      <c r="BQ432" s="219">
        <f t="shared" si="2761"/>
        <v>0</v>
      </c>
      <c r="BR432" s="220">
        <f t="shared" si="2762"/>
        <v>0</v>
      </c>
      <c r="BS432" s="219">
        <f t="shared" si="2763"/>
        <v>0</v>
      </c>
      <c r="BT432" s="219">
        <f t="shared" si="2764"/>
        <v>0</v>
      </c>
      <c r="BU432" s="219">
        <f t="shared" si="2765"/>
        <v>0</v>
      </c>
      <c r="BV432" s="219">
        <f t="shared" si="2766"/>
        <v>0</v>
      </c>
      <c r="BW432" s="219">
        <f t="shared" si="2767"/>
        <v>0</v>
      </c>
      <c r="BX432" s="220">
        <f t="shared" si="2768"/>
        <v>0</v>
      </c>
      <c r="BY432" s="195"/>
      <c r="BZ432" s="66">
        <v>10</v>
      </c>
      <c r="CA432" s="66">
        <v>2014</v>
      </c>
      <c r="CB432" s="218">
        <f t="shared" si="2769"/>
        <v>0</v>
      </c>
      <c r="CC432" s="218">
        <f t="shared" si="2770"/>
        <v>0</v>
      </c>
      <c r="CD432" s="73">
        <f t="shared" si="2771"/>
        <v>0</v>
      </c>
      <c r="CE432" s="73">
        <f t="shared" si="2772"/>
        <v>0</v>
      </c>
      <c r="CF432" s="73">
        <f t="shared" si="2773"/>
        <v>0</v>
      </c>
      <c r="CG432" s="73">
        <f t="shared" si="2774"/>
        <v>0</v>
      </c>
      <c r="CH432" s="73">
        <f t="shared" si="2775"/>
        <v>0</v>
      </c>
      <c r="CI432" s="73">
        <f t="shared" si="2776"/>
        <v>0</v>
      </c>
      <c r="CJ432" s="73">
        <f t="shared" si="2777"/>
        <v>0</v>
      </c>
      <c r="CK432" s="73">
        <f t="shared" si="2778"/>
        <v>0</v>
      </c>
      <c r="CL432" s="73">
        <f t="shared" si="2779"/>
        <v>0</v>
      </c>
      <c r="CM432" s="73">
        <f t="shared" si="2780"/>
        <v>0</v>
      </c>
      <c r="CN432" s="73">
        <f t="shared" si="2781"/>
        <v>0</v>
      </c>
      <c r="CO432" s="73">
        <f t="shared" si="2782"/>
        <v>0</v>
      </c>
      <c r="CP432" s="73">
        <f t="shared" si="2783"/>
        <v>0</v>
      </c>
      <c r="CQ432" s="73">
        <f t="shared" si="2784"/>
        <v>0</v>
      </c>
      <c r="CR432" s="73">
        <f t="shared" si="2785"/>
        <v>0</v>
      </c>
      <c r="CS432" s="73">
        <f t="shared" si="2786"/>
        <v>0</v>
      </c>
      <c r="CT432" s="73">
        <f t="shared" si="2787"/>
        <v>0</v>
      </c>
      <c r="CU432" s="73">
        <f t="shared" si="2788"/>
        <v>0</v>
      </c>
      <c r="CV432" s="73">
        <f t="shared" si="2789"/>
        <v>0</v>
      </c>
      <c r="CW432" s="73">
        <f t="shared" si="2790"/>
        <v>0</v>
      </c>
      <c r="CX432" s="73">
        <f t="shared" si="2791"/>
        <v>0</v>
      </c>
      <c r="CY432" s="73">
        <f t="shared" si="2792"/>
        <v>0</v>
      </c>
      <c r="CZ432" s="190"/>
      <c r="DA432" s="66">
        <v>2014</v>
      </c>
      <c r="DB432" s="218">
        <f t="shared" si="2715"/>
        <v>0</v>
      </c>
      <c r="DC432" s="218">
        <f t="shared" si="2716"/>
        <v>0</v>
      </c>
      <c r="DD432" s="73">
        <f t="shared" si="2717"/>
        <v>0</v>
      </c>
      <c r="DE432" s="73">
        <f t="shared" si="2718"/>
        <v>0</v>
      </c>
      <c r="DF432" s="73">
        <f t="shared" si="2719"/>
        <v>0</v>
      </c>
      <c r="DG432" s="73">
        <f t="shared" si="2720"/>
        <v>0</v>
      </c>
      <c r="DH432" s="72" t="e">
        <f t="shared" si="2747"/>
        <v>#DIV/0!</v>
      </c>
      <c r="DI432" s="72" t="e">
        <f t="shared" si="2748"/>
        <v>#DIV/0!</v>
      </c>
      <c r="DJ432" s="73">
        <f>SUM(AV422:AV432,BB422:BB432,BI422:BI432)</f>
        <v>0</v>
      </c>
      <c r="DK432" s="73">
        <f>SUM(AV428:AV432,BB428:BB432,BI428:BI432)</f>
        <v>0</v>
      </c>
      <c r="DL432" s="190"/>
    </row>
    <row r="433" spans="22:116" x14ac:dyDescent="0.25">
      <c r="V433" s="13"/>
      <c r="W433" s="66">
        <v>11</v>
      </c>
      <c r="X433" s="66">
        <v>2015</v>
      </c>
      <c r="Y433" s="69">
        <v>0</v>
      </c>
      <c r="Z433" s="69">
        <v>0</v>
      </c>
      <c r="AA433" s="69">
        <v>0</v>
      </c>
      <c r="AB433" s="69">
        <v>0</v>
      </c>
      <c r="AC433" s="69">
        <v>0</v>
      </c>
      <c r="AD433" s="69">
        <v>0</v>
      </c>
      <c r="AE433" s="69">
        <v>0</v>
      </c>
      <c r="AF433" s="69">
        <v>0</v>
      </c>
      <c r="AG433" s="69">
        <v>0</v>
      </c>
      <c r="AH433" s="69">
        <v>0</v>
      </c>
      <c r="AI433" s="69">
        <v>0</v>
      </c>
      <c r="AJ433" s="69">
        <v>0</v>
      </c>
      <c r="AK433" s="69">
        <v>0</v>
      </c>
      <c r="AL433" s="69">
        <v>0</v>
      </c>
      <c r="AM433" s="69">
        <v>0</v>
      </c>
      <c r="AN433" s="69">
        <v>0</v>
      </c>
      <c r="AO433" s="69">
        <v>0</v>
      </c>
      <c r="AP433" s="190"/>
      <c r="AQ433" s="66">
        <v>11</v>
      </c>
      <c r="AR433" s="66">
        <v>2015</v>
      </c>
      <c r="AS433" s="215">
        <f t="shared" si="2698"/>
        <v>0</v>
      </c>
      <c r="AT433" s="215">
        <f t="shared" si="2699"/>
        <v>0</v>
      </c>
      <c r="AU433" s="215">
        <f t="shared" si="2700"/>
        <v>0</v>
      </c>
      <c r="AV433" s="215">
        <f t="shared" si="2701"/>
        <v>0</v>
      </c>
      <c r="AW433" s="215">
        <f t="shared" si="2702"/>
        <v>0</v>
      </c>
      <c r="AX433" s="215">
        <f t="shared" si="2703"/>
        <v>0</v>
      </c>
      <c r="AY433" s="215">
        <f t="shared" si="2704"/>
        <v>0</v>
      </c>
      <c r="AZ433" s="215">
        <f t="shared" si="2705"/>
        <v>0</v>
      </c>
      <c r="BA433" s="215">
        <f t="shared" si="2706"/>
        <v>0</v>
      </c>
      <c r="BB433" s="215">
        <f t="shared" si="2707"/>
        <v>0</v>
      </c>
      <c r="BC433" s="215">
        <f t="shared" si="2708"/>
        <v>0</v>
      </c>
      <c r="BD433" s="215">
        <f t="shared" si="2709"/>
        <v>0</v>
      </c>
      <c r="BE433" s="215">
        <f t="shared" si="2710"/>
        <v>0</v>
      </c>
      <c r="BF433" s="215">
        <f t="shared" si="2711"/>
        <v>0</v>
      </c>
      <c r="BG433" s="215">
        <f t="shared" si="2712"/>
        <v>0</v>
      </c>
      <c r="BH433" s="215">
        <f t="shared" si="2713"/>
        <v>0</v>
      </c>
      <c r="BI433" s="215">
        <f t="shared" si="2714"/>
        <v>0</v>
      </c>
      <c r="BJ433" s="195"/>
      <c r="BK433" s="66">
        <v>11</v>
      </c>
      <c r="BL433" s="66">
        <v>2015</v>
      </c>
      <c r="BM433" s="215">
        <f t="shared" si="2757"/>
        <v>0</v>
      </c>
      <c r="BN433" s="219">
        <f t="shared" si="2758"/>
        <v>0</v>
      </c>
      <c r="BO433" s="219">
        <f t="shared" si="2759"/>
        <v>0</v>
      </c>
      <c r="BP433" s="219">
        <f t="shared" si="2760"/>
        <v>0</v>
      </c>
      <c r="BQ433" s="219">
        <f t="shared" si="2761"/>
        <v>0</v>
      </c>
      <c r="BR433" s="220">
        <f t="shared" si="2762"/>
        <v>0</v>
      </c>
      <c r="BS433" s="219">
        <f t="shared" si="2763"/>
        <v>0</v>
      </c>
      <c r="BT433" s="219">
        <f t="shared" si="2764"/>
        <v>0</v>
      </c>
      <c r="BU433" s="219">
        <f t="shared" si="2765"/>
        <v>0</v>
      </c>
      <c r="BV433" s="219">
        <f t="shared" si="2766"/>
        <v>0</v>
      </c>
      <c r="BW433" s="219">
        <f t="shared" si="2767"/>
        <v>0</v>
      </c>
      <c r="BX433" s="220">
        <f t="shared" si="2768"/>
        <v>0</v>
      </c>
      <c r="BY433" s="195"/>
      <c r="BZ433" s="66">
        <v>11</v>
      </c>
      <c r="CA433" s="66">
        <v>2015</v>
      </c>
      <c r="CB433" s="218">
        <f t="shared" si="2769"/>
        <v>0</v>
      </c>
      <c r="CC433" s="218">
        <f t="shared" si="2770"/>
        <v>0</v>
      </c>
      <c r="CD433" s="73">
        <f t="shared" si="2771"/>
        <v>0</v>
      </c>
      <c r="CE433" s="73">
        <f t="shared" si="2772"/>
        <v>0</v>
      </c>
      <c r="CF433" s="73">
        <f t="shared" si="2773"/>
        <v>0</v>
      </c>
      <c r="CG433" s="73">
        <f t="shared" si="2774"/>
        <v>0</v>
      </c>
      <c r="CH433" s="73">
        <f t="shared" si="2775"/>
        <v>0</v>
      </c>
      <c r="CI433" s="73">
        <f t="shared" si="2776"/>
        <v>0</v>
      </c>
      <c r="CJ433" s="73">
        <f t="shared" si="2777"/>
        <v>0</v>
      </c>
      <c r="CK433" s="73">
        <f t="shared" si="2778"/>
        <v>0</v>
      </c>
      <c r="CL433" s="73">
        <f t="shared" si="2779"/>
        <v>0</v>
      </c>
      <c r="CM433" s="73">
        <f t="shared" si="2780"/>
        <v>0</v>
      </c>
      <c r="CN433" s="73">
        <f t="shared" si="2781"/>
        <v>0</v>
      </c>
      <c r="CO433" s="73">
        <f t="shared" si="2782"/>
        <v>0</v>
      </c>
      <c r="CP433" s="73">
        <f t="shared" si="2783"/>
        <v>0</v>
      </c>
      <c r="CQ433" s="73">
        <f t="shared" si="2784"/>
        <v>0</v>
      </c>
      <c r="CR433" s="73">
        <f t="shared" si="2785"/>
        <v>0</v>
      </c>
      <c r="CS433" s="73">
        <f t="shared" si="2786"/>
        <v>0</v>
      </c>
      <c r="CT433" s="73">
        <f t="shared" si="2787"/>
        <v>0</v>
      </c>
      <c r="CU433" s="73">
        <f t="shared" si="2788"/>
        <v>0</v>
      </c>
      <c r="CV433" s="73">
        <f t="shared" si="2789"/>
        <v>0</v>
      </c>
      <c r="CW433" s="73">
        <f t="shared" si="2790"/>
        <v>0</v>
      </c>
      <c r="CX433" s="73">
        <f t="shared" si="2791"/>
        <v>0</v>
      </c>
      <c r="CY433" s="73">
        <f t="shared" si="2792"/>
        <v>0</v>
      </c>
      <c r="CZ433" s="190"/>
      <c r="DA433" s="66">
        <v>2015</v>
      </c>
      <c r="DB433" s="218">
        <f t="shared" si="2715"/>
        <v>0</v>
      </c>
      <c r="DC433" s="218">
        <f t="shared" si="2716"/>
        <v>0</v>
      </c>
      <c r="DD433" s="73">
        <f t="shared" si="2717"/>
        <v>0</v>
      </c>
      <c r="DE433" s="73">
        <f t="shared" si="2718"/>
        <v>0</v>
      </c>
      <c r="DF433" s="73">
        <f t="shared" si="2719"/>
        <v>0</v>
      </c>
      <c r="DG433" s="73">
        <f t="shared" si="2720"/>
        <v>0</v>
      </c>
      <c r="DH433" s="72" t="e">
        <f t="shared" si="2747"/>
        <v>#DIV/0!</v>
      </c>
      <c r="DI433" s="72" t="e">
        <f t="shared" si="2748"/>
        <v>#DIV/0!</v>
      </c>
      <c r="DJ433" s="73">
        <f>SUM(AV422:AV433,BB422:BB433,BI422:BI433)</f>
        <v>0</v>
      </c>
      <c r="DK433" s="73">
        <f>SUM(AV428:AV433,BB428:BB433,BI428:BI433)</f>
        <v>0</v>
      </c>
      <c r="DL433" s="190"/>
    </row>
    <row r="434" spans="22:116" x14ac:dyDescent="0.25">
      <c r="V434" s="13"/>
      <c r="W434" s="66">
        <v>12</v>
      </c>
      <c r="X434" s="66">
        <v>2016</v>
      </c>
      <c r="Y434" s="69">
        <v>0</v>
      </c>
      <c r="Z434" s="69">
        <v>0</v>
      </c>
      <c r="AA434" s="69">
        <v>0</v>
      </c>
      <c r="AB434" s="69">
        <v>0</v>
      </c>
      <c r="AC434" s="69">
        <v>0</v>
      </c>
      <c r="AD434" s="69">
        <v>0</v>
      </c>
      <c r="AE434" s="69">
        <v>0</v>
      </c>
      <c r="AF434" s="69">
        <v>0</v>
      </c>
      <c r="AG434" s="69">
        <v>0</v>
      </c>
      <c r="AH434" s="69">
        <v>0</v>
      </c>
      <c r="AI434" s="69">
        <v>0</v>
      </c>
      <c r="AJ434" s="69">
        <v>0</v>
      </c>
      <c r="AK434" s="69">
        <v>0</v>
      </c>
      <c r="AL434" s="69">
        <v>0</v>
      </c>
      <c r="AM434" s="69">
        <v>0</v>
      </c>
      <c r="AN434" s="69">
        <v>0</v>
      </c>
      <c r="AO434" s="69">
        <v>0</v>
      </c>
      <c r="AP434" s="190"/>
      <c r="AQ434" s="66">
        <v>12</v>
      </c>
      <c r="AR434" s="66">
        <v>2016</v>
      </c>
      <c r="AS434" s="215">
        <f t="shared" si="2698"/>
        <v>0</v>
      </c>
      <c r="AT434" s="215">
        <f t="shared" si="2699"/>
        <v>0</v>
      </c>
      <c r="AU434" s="215">
        <f t="shared" si="2700"/>
        <v>0</v>
      </c>
      <c r="AV434" s="215">
        <f t="shared" si="2701"/>
        <v>0</v>
      </c>
      <c r="AW434" s="215">
        <f t="shared" si="2702"/>
        <v>0</v>
      </c>
      <c r="AX434" s="215">
        <f t="shared" si="2703"/>
        <v>0</v>
      </c>
      <c r="AY434" s="215">
        <f t="shared" si="2704"/>
        <v>0</v>
      </c>
      <c r="AZ434" s="215">
        <f t="shared" si="2705"/>
        <v>0</v>
      </c>
      <c r="BA434" s="215">
        <f t="shared" si="2706"/>
        <v>0</v>
      </c>
      <c r="BB434" s="215">
        <f t="shared" si="2707"/>
        <v>0</v>
      </c>
      <c r="BC434" s="215">
        <f t="shared" si="2708"/>
        <v>0</v>
      </c>
      <c r="BD434" s="215">
        <f t="shared" si="2709"/>
        <v>0</v>
      </c>
      <c r="BE434" s="215">
        <f t="shared" si="2710"/>
        <v>0</v>
      </c>
      <c r="BF434" s="215">
        <f t="shared" si="2711"/>
        <v>0</v>
      </c>
      <c r="BG434" s="215">
        <f t="shared" si="2712"/>
        <v>0</v>
      </c>
      <c r="BH434" s="215">
        <f t="shared" si="2713"/>
        <v>0</v>
      </c>
      <c r="BI434" s="215">
        <f t="shared" si="2714"/>
        <v>0</v>
      </c>
      <c r="BJ434" s="195"/>
      <c r="BK434" s="66">
        <v>12</v>
      </c>
      <c r="BL434" s="66">
        <v>2016</v>
      </c>
      <c r="BM434" s="215">
        <f t="shared" si="2757"/>
        <v>0</v>
      </c>
      <c r="BN434" s="219">
        <f t="shared" si="2758"/>
        <v>0</v>
      </c>
      <c r="BO434" s="219">
        <f t="shared" si="2759"/>
        <v>0</v>
      </c>
      <c r="BP434" s="219">
        <f t="shared" si="2760"/>
        <v>0</v>
      </c>
      <c r="BQ434" s="219">
        <f t="shared" si="2761"/>
        <v>0</v>
      </c>
      <c r="BR434" s="220">
        <f t="shared" si="2762"/>
        <v>0</v>
      </c>
      <c r="BS434" s="219">
        <f t="shared" si="2763"/>
        <v>0</v>
      </c>
      <c r="BT434" s="219">
        <f t="shared" si="2764"/>
        <v>0</v>
      </c>
      <c r="BU434" s="219">
        <f t="shared" si="2765"/>
        <v>0</v>
      </c>
      <c r="BV434" s="219">
        <f t="shared" si="2766"/>
        <v>0</v>
      </c>
      <c r="BW434" s="219">
        <f t="shared" si="2767"/>
        <v>0</v>
      </c>
      <c r="BX434" s="220">
        <f t="shared" si="2768"/>
        <v>0</v>
      </c>
      <c r="BY434" s="195"/>
      <c r="BZ434" s="66">
        <v>12</v>
      </c>
      <c r="CA434" s="66">
        <v>2016</v>
      </c>
      <c r="CB434" s="218">
        <f t="shared" si="2769"/>
        <v>0</v>
      </c>
      <c r="CC434" s="218">
        <f t="shared" si="2770"/>
        <v>0</v>
      </c>
      <c r="CD434" s="73">
        <f t="shared" si="2771"/>
        <v>0</v>
      </c>
      <c r="CE434" s="73">
        <f t="shared" si="2772"/>
        <v>0</v>
      </c>
      <c r="CF434" s="73">
        <f t="shared" si="2773"/>
        <v>0</v>
      </c>
      <c r="CG434" s="73">
        <f t="shared" si="2774"/>
        <v>0</v>
      </c>
      <c r="CH434" s="73">
        <f t="shared" si="2775"/>
        <v>0</v>
      </c>
      <c r="CI434" s="73">
        <f t="shared" si="2776"/>
        <v>0</v>
      </c>
      <c r="CJ434" s="73">
        <f t="shared" si="2777"/>
        <v>0</v>
      </c>
      <c r="CK434" s="73">
        <f t="shared" si="2778"/>
        <v>0</v>
      </c>
      <c r="CL434" s="73">
        <f t="shared" si="2779"/>
        <v>0</v>
      </c>
      <c r="CM434" s="73">
        <f t="shared" si="2780"/>
        <v>0</v>
      </c>
      <c r="CN434" s="73">
        <f t="shared" si="2781"/>
        <v>0</v>
      </c>
      <c r="CO434" s="73">
        <f t="shared" si="2782"/>
        <v>0</v>
      </c>
      <c r="CP434" s="73">
        <f t="shared" si="2783"/>
        <v>0</v>
      </c>
      <c r="CQ434" s="73">
        <f t="shared" si="2784"/>
        <v>0</v>
      </c>
      <c r="CR434" s="73">
        <f t="shared" si="2785"/>
        <v>0</v>
      </c>
      <c r="CS434" s="73">
        <f t="shared" si="2786"/>
        <v>0</v>
      </c>
      <c r="CT434" s="73">
        <f t="shared" si="2787"/>
        <v>0</v>
      </c>
      <c r="CU434" s="73">
        <f t="shared" si="2788"/>
        <v>0</v>
      </c>
      <c r="CV434" s="73">
        <f t="shared" si="2789"/>
        <v>0</v>
      </c>
      <c r="CW434" s="73">
        <f t="shared" si="2790"/>
        <v>0</v>
      </c>
      <c r="CX434" s="73">
        <f t="shared" si="2791"/>
        <v>0</v>
      </c>
      <c r="CY434" s="73">
        <f t="shared" si="2792"/>
        <v>0</v>
      </c>
      <c r="CZ434" s="190"/>
      <c r="DA434" s="66">
        <v>2016</v>
      </c>
      <c r="DB434" s="218">
        <f t="shared" si="2715"/>
        <v>0</v>
      </c>
      <c r="DC434" s="218">
        <f t="shared" si="2716"/>
        <v>0</v>
      </c>
      <c r="DD434" s="73">
        <f t="shared" si="2717"/>
        <v>0</v>
      </c>
      <c r="DE434" s="73">
        <f t="shared" si="2718"/>
        <v>0</v>
      </c>
      <c r="DF434" s="73">
        <f t="shared" si="2719"/>
        <v>0</v>
      </c>
      <c r="DG434" s="73">
        <f t="shared" si="2720"/>
        <v>0</v>
      </c>
      <c r="DH434" s="72" t="e">
        <f t="shared" si="2747"/>
        <v>#DIV/0!</v>
      </c>
      <c r="DI434" s="72" t="e">
        <f t="shared" si="2748"/>
        <v>#DIV/0!</v>
      </c>
      <c r="DJ434" s="73">
        <f>SUM(AV422:AV434,BB422:BB434,BI422:BI434)</f>
        <v>0</v>
      </c>
      <c r="DK434" s="73">
        <f>SUM(AV428:AV434,BB428:BB434,BI428:BI434)</f>
        <v>0</v>
      </c>
      <c r="DL434" s="190"/>
    </row>
    <row r="435" spans="22:116" x14ac:dyDescent="0.25">
      <c r="V435" s="13"/>
      <c r="W435" s="66">
        <v>13</v>
      </c>
      <c r="X435" s="66">
        <v>2017</v>
      </c>
      <c r="Y435" s="69">
        <v>0</v>
      </c>
      <c r="Z435" s="69">
        <v>0</v>
      </c>
      <c r="AA435" s="69">
        <v>0</v>
      </c>
      <c r="AB435" s="69">
        <v>0</v>
      </c>
      <c r="AC435" s="69">
        <v>0</v>
      </c>
      <c r="AD435" s="69">
        <v>0</v>
      </c>
      <c r="AE435" s="69">
        <v>0</v>
      </c>
      <c r="AF435" s="69">
        <v>0</v>
      </c>
      <c r="AG435" s="69">
        <v>0</v>
      </c>
      <c r="AH435" s="69">
        <v>0</v>
      </c>
      <c r="AI435" s="69">
        <v>0</v>
      </c>
      <c r="AJ435" s="69">
        <v>0</v>
      </c>
      <c r="AK435" s="69">
        <v>0</v>
      </c>
      <c r="AL435" s="69">
        <v>0</v>
      </c>
      <c r="AM435" s="69">
        <v>0</v>
      </c>
      <c r="AN435" s="69">
        <v>0</v>
      </c>
      <c r="AO435" s="69">
        <v>0</v>
      </c>
      <c r="AP435" s="190"/>
      <c r="AQ435" s="66">
        <v>13</v>
      </c>
      <c r="AR435" s="66">
        <v>2017</v>
      </c>
      <c r="AS435" s="215">
        <f t="shared" si="2698"/>
        <v>0</v>
      </c>
      <c r="AT435" s="215">
        <f t="shared" si="2699"/>
        <v>0</v>
      </c>
      <c r="AU435" s="215">
        <f t="shared" si="2700"/>
        <v>0</v>
      </c>
      <c r="AV435" s="215">
        <f t="shared" si="2701"/>
        <v>0</v>
      </c>
      <c r="AW435" s="215">
        <f t="shared" si="2702"/>
        <v>0</v>
      </c>
      <c r="AX435" s="215">
        <f t="shared" si="2703"/>
        <v>0</v>
      </c>
      <c r="AY435" s="215">
        <f t="shared" si="2704"/>
        <v>0</v>
      </c>
      <c r="AZ435" s="215">
        <f t="shared" si="2705"/>
        <v>0</v>
      </c>
      <c r="BA435" s="215">
        <f t="shared" si="2706"/>
        <v>0</v>
      </c>
      <c r="BB435" s="215">
        <f t="shared" si="2707"/>
        <v>0</v>
      </c>
      <c r="BC435" s="215">
        <f t="shared" si="2708"/>
        <v>0</v>
      </c>
      <c r="BD435" s="215">
        <f t="shared" si="2709"/>
        <v>0</v>
      </c>
      <c r="BE435" s="215">
        <f t="shared" si="2710"/>
        <v>0</v>
      </c>
      <c r="BF435" s="215">
        <f t="shared" si="2711"/>
        <v>0</v>
      </c>
      <c r="BG435" s="215">
        <f t="shared" si="2712"/>
        <v>0</v>
      </c>
      <c r="BH435" s="215">
        <f t="shared" si="2713"/>
        <v>0</v>
      </c>
      <c r="BI435" s="215">
        <f t="shared" si="2714"/>
        <v>0</v>
      </c>
      <c r="BJ435" s="195"/>
      <c r="BK435" s="66">
        <v>13</v>
      </c>
      <c r="BL435" s="66">
        <v>2017</v>
      </c>
      <c r="BM435" s="215">
        <f t="shared" si="2757"/>
        <v>0</v>
      </c>
      <c r="BN435" s="219">
        <f t="shared" si="2758"/>
        <v>0</v>
      </c>
      <c r="BO435" s="219">
        <f t="shared" si="2759"/>
        <v>0</v>
      </c>
      <c r="BP435" s="219">
        <f t="shared" si="2760"/>
        <v>0</v>
      </c>
      <c r="BQ435" s="219">
        <f t="shared" si="2761"/>
        <v>0</v>
      </c>
      <c r="BR435" s="220">
        <f t="shared" si="2762"/>
        <v>0</v>
      </c>
      <c r="BS435" s="219">
        <f t="shared" si="2763"/>
        <v>0</v>
      </c>
      <c r="BT435" s="219">
        <f t="shared" si="2764"/>
        <v>0</v>
      </c>
      <c r="BU435" s="219">
        <f t="shared" si="2765"/>
        <v>0</v>
      </c>
      <c r="BV435" s="219">
        <f t="shared" si="2766"/>
        <v>0</v>
      </c>
      <c r="BW435" s="219">
        <f t="shared" si="2767"/>
        <v>0</v>
      </c>
      <c r="BX435" s="220">
        <f t="shared" si="2768"/>
        <v>0</v>
      </c>
      <c r="BY435" s="195"/>
      <c r="BZ435" s="66">
        <v>13</v>
      </c>
      <c r="CA435" s="66">
        <v>2017</v>
      </c>
      <c r="CB435" s="218">
        <f t="shared" si="2769"/>
        <v>0</v>
      </c>
      <c r="CC435" s="218">
        <f t="shared" si="2770"/>
        <v>0</v>
      </c>
      <c r="CD435" s="73">
        <f t="shared" si="2771"/>
        <v>0</v>
      </c>
      <c r="CE435" s="73">
        <f t="shared" si="2772"/>
        <v>0</v>
      </c>
      <c r="CF435" s="73">
        <f t="shared" si="2773"/>
        <v>0</v>
      </c>
      <c r="CG435" s="73">
        <f t="shared" si="2774"/>
        <v>0</v>
      </c>
      <c r="CH435" s="73">
        <f t="shared" si="2775"/>
        <v>0</v>
      </c>
      <c r="CI435" s="73">
        <f t="shared" si="2776"/>
        <v>0</v>
      </c>
      <c r="CJ435" s="73">
        <f t="shared" si="2777"/>
        <v>0</v>
      </c>
      <c r="CK435" s="73">
        <f t="shared" si="2778"/>
        <v>0</v>
      </c>
      <c r="CL435" s="73">
        <f t="shared" si="2779"/>
        <v>0</v>
      </c>
      <c r="CM435" s="73">
        <f t="shared" si="2780"/>
        <v>0</v>
      </c>
      <c r="CN435" s="73">
        <f t="shared" si="2781"/>
        <v>0</v>
      </c>
      <c r="CO435" s="73">
        <f t="shared" si="2782"/>
        <v>0</v>
      </c>
      <c r="CP435" s="73">
        <f t="shared" si="2783"/>
        <v>0</v>
      </c>
      <c r="CQ435" s="73">
        <f t="shared" si="2784"/>
        <v>0</v>
      </c>
      <c r="CR435" s="73">
        <f t="shared" si="2785"/>
        <v>0</v>
      </c>
      <c r="CS435" s="73">
        <f t="shared" si="2786"/>
        <v>0</v>
      </c>
      <c r="CT435" s="73">
        <f t="shared" si="2787"/>
        <v>0</v>
      </c>
      <c r="CU435" s="73">
        <f t="shared" si="2788"/>
        <v>0</v>
      </c>
      <c r="CV435" s="73">
        <f t="shared" si="2789"/>
        <v>0</v>
      </c>
      <c r="CW435" s="73">
        <f t="shared" si="2790"/>
        <v>0</v>
      </c>
      <c r="CX435" s="73">
        <f t="shared" si="2791"/>
        <v>0</v>
      </c>
      <c r="CY435" s="73">
        <f t="shared" si="2792"/>
        <v>0</v>
      </c>
      <c r="CZ435" s="190"/>
      <c r="DA435" s="66">
        <v>2017</v>
      </c>
      <c r="DB435" s="218">
        <f t="shared" si="2715"/>
        <v>0</v>
      </c>
      <c r="DC435" s="218">
        <f t="shared" si="2716"/>
        <v>0</v>
      </c>
      <c r="DD435" s="73">
        <f t="shared" si="2717"/>
        <v>0</v>
      </c>
      <c r="DE435" s="73">
        <f t="shared" si="2718"/>
        <v>0</v>
      </c>
      <c r="DF435" s="73">
        <f t="shared" si="2719"/>
        <v>0</v>
      </c>
      <c r="DG435" s="73">
        <f t="shared" si="2720"/>
        <v>0</v>
      </c>
      <c r="DH435" s="72" t="e">
        <f t="shared" si="2747"/>
        <v>#DIV/0!</v>
      </c>
      <c r="DI435" s="72" t="e">
        <f t="shared" si="2748"/>
        <v>#DIV/0!</v>
      </c>
      <c r="DJ435" s="73">
        <f>SUM(AV422:AV435,BB422:BB435,BI422:BI435)</f>
        <v>0</v>
      </c>
      <c r="DK435" s="73">
        <f>SUM(AV428:AV435,BB428:BB435,BI428:BI435)</f>
        <v>0</v>
      </c>
      <c r="DL435" s="190"/>
    </row>
    <row r="436" spans="22:116" x14ac:dyDescent="0.25">
      <c r="V436" s="13"/>
      <c r="W436" s="66">
        <v>14</v>
      </c>
      <c r="X436" s="66">
        <v>2018</v>
      </c>
      <c r="Y436" s="69">
        <v>0</v>
      </c>
      <c r="Z436" s="69">
        <v>0</v>
      </c>
      <c r="AA436" s="69">
        <v>0</v>
      </c>
      <c r="AB436" s="69">
        <v>0</v>
      </c>
      <c r="AC436" s="69">
        <v>0</v>
      </c>
      <c r="AD436" s="69">
        <v>0</v>
      </c>
      <c r="AE436" s="69">
        <v>0</v>
      </c>
      <c r="AF436" s="69">
        <v>0</v>
      </c>
      <c r="AG436" s="69">
        <v>0</v>
      </c>
      <c r="AH436" s="69">
        <v>0</v>
      </c>
      <c r="AI436" s="69">
        <v>0</v>
      </c>
      <c r="AJ436" s="69">
        <v>0</v>
      </c>
      <c r="AK436" s="69">
        <v>0</v>
      </c>
      <c r="AL436" s="69">
        <v>0</v>
      </c>
      <c r="AM436" s="69">
        <v>0</v>
      </c>
      <c r="AN436" s="69">
        <v>0</v>
      </c>
      <c r="AO436" s="69">
        <v>0</v>
      </c>
      <c r="AP436" s="190"/>
      <c r="AQ436" s="66">
        <v>14</v>
      </c>
      <c r="AR436" s="66">
        <v>2018</v>
      </c>
      <c r="AS436" s="215">
        <f t="shared" si="2698"/>
        <v>0</v>
      </c>
      <c r="AT436" s="215">
        <f t="shared" si="2699"/>
        <v>0</v>
      </c>
      <c r="AU436" s="215">
        <f t="shared" si="2700"/>
        <v>0</v>
      </c>
      <c r="AV436" s="215">
        <f t="shared" si="2701"/>
        <v>0</v>
      </c>
      <c r="AW436" s="215">
        <f t="shared" si="2702"/>
        <v>0</v>
      </c>
      <c r="AX436" s="215">
        <f t="shared" si="2703"/>
        <v>0</v>
      </c>
      <c r="AY436" s="215">
        <f t="shared" si="2704"/>
        <v>0</v>
      </c>
      <c r="AZ436" s="215">
        <f t="shared" si="2705"/>
        <v>0</v>
      </c>
      <c r="BA436" s="215">
        <f t="shared" si="2706"/>
        <v>0</v>
      </c>
      <c r="BB436" s="215">
        <f t="shared" si="2707"/>
        <v>0</v>
      </c>
      <c r="BC436" s="215">
        <f t="shared" si="2708"/>
        <v>0</v>
      </c>
      <c r="BD436" s="215">
        <f t="shared" si="2709"/>
        <v>0</v>
      </c>
      <c r="BE436" s="215">
        <f t="shared" si="2710"/>
        <v>0</v>
      </c>
      <c r="BF436" s="215">
        <f t="shared" si="2711"/>
        <v>0</v>
      </c>
      <c r="BG436" s="215">
        <f t="shared" si="2712"/>
        <v>0</v>
      </c>
      <c r="BH436" s="215">
        <f t="shared" si="2713"/>
        <v>0</v>
      </c>
      <c r="BI436" s="215">
        <f t="shared" si="2714"/>
        <v>0</v>
      </c>
      <c r="BJ436" s="195"/>
      <c r="BK436" s="66">
        <v>14</v>
      </c>
      <c r="BL436" s="66">
        <v>2018</v>
      </c>
      <c r="BM436" s="215">
        <f t="shared" si="2757"/>
        <v>0</v>
      </c>
      <c r="BN436" s="219">
        <f t="shared" si="2758"/>
        <v>0</v>
      </c>
      <c r="BO436" s="219">
        <f t="shared" si="2759"/>
        <v>0</v>
      </c>
      <c r="BP436" s="219">
        <f t="shared" si="2760"/>
        <v>0</v>
      </c>
      <c r="BQ436" s="219">
        <f t="shared" si="2761"/>
        <v>0</v>
      </c>
      <c r="BR436" s="220">
        <f t="shared" si="2762"/>
        <v>0</v>
      </c>
      <c r="BS436" s="219">
        <f t="shared" si="2763"/>
        <v>0</v>
      </c>
      <c r="BT436" s="219">
        <f t="shared" si="2764"/>
        <v>0</v>
      </c>
      <c r="BU436" s="219">
        <f t="shared" si="2765"/>
        <v>0</v>
      </c>
      <c r="BV436" s="219">
        <f t="shared" si="2766"/>
        <v>0</v>
      </c>
      <c r="BW436" s="219">
        <f t="shared" si="2767"/>
        <v>0</v>
      </c>
      <c r="BX436" s="220">
        <f t="shared" si="2768"/>
        <v>0</v>
      </c>
      <c r="BY436" s="195"/>
      <c r="BZ436" s="66">
        <v>14</v>
      </c>
      <c r="CA436" s="66">
        <v>2018</v>
      </c>
      <c r="CB436" s="218">
        <f t="shared" si="2769"/>
        <v>0</v>
      </c>
      <c r="CC436" s="218">
        <f t="shared" si="2770"/>
        <v>0</v>
      </c>
      <c r="CD436" s="73">
        <f t="shared" si="2771"/>
        <v>0</v>
      </c>
      <c r="CE436" s="73">
        <f t="shared" si="2772"/>
        <v>0</v>
      </c>
      <c r="CF436" s="73">
        <f t="shared" si="2773"/>
        <v>0</v>
      </c>
      <c r="CG436" s="73">
        <f t="shared" si="2774"/>
        <v>0</v>
      </c>
      <c r="CH436" s="73">
        <f t="shared" si="2775"/>
        <v>0</v>
      </c>
      <c r="CI436" s="73">
        <f t="shared" si="2776"/>
        <v>0</v>
      </c>
      <c r="CJ436" s="73">
        <f t="shared" si="2777"/>
        <v>0</v>
      </c>
      <c r="CK436" s="73">
        <f t="shared" si="2778"/>
        <v>0</v>
      </c>
      <c r="CL436" s="73">
        <f t="shared" si="2779"/>
        <v>0</v>
      </c>
      <c r="CM436" s="73">
        <f t="shared" si="2780"/>
        <v>0</v>
      </c>
      <c r="CN436" s="73">
        <f t="shared" si="2781"/>
        <v>0</v>
      </c>
      <c r="CO436" s="73">
        <f t="shared" si="2782"/>
        <v>0</v>
      </c>
      <c r="CP436" s="73">
        <f t="shared" si="2783"/>
        <v>0</v>
      </c>
      <c r="CQ436" s="73">
        <f t="shared" si="2784"/>
        <v>0</v>
      </c>
      <c r="CR436" s="73">
        <f t="shared" si="2785"/>
        <v>0</v>
      </c>
      <c r="CS436" s="73">
        <f t="shared" si="2786"/>
        <v>0</v>
      </c>
      <c r="CT436" s="73">
        <f t="shared" si="2787"/>
        <v>0</v>
      </c>
      <c r="CU436" s="73">
        <f t="shared" si="2788"/>
        <v>0</v>
      </c>
      <c r="CV436" s="73">
        <f t="shared" si="2789"/>
        <v>0</v>
      </c>
      <c r="CW436" s="73">
        <f t="shared" si="2790"/>
        <v>0</v>
      </c>
      <c r="CX436" s="73">
        <f t="shared" si="2791"/>
        <v>0</v>
      </c>
      <c r="CY436" s="73">
        <f t="shared" si="2792"/>
        <v>0</v>
      </c>
      <c r="CZ436" s="190"/>
      <c r="DA436" s="66">
        <v>2018</v>
      </c>
      <c r="DB436" s="218">
        <f t="shared" si="2715"/>
        <v>0</v>
      </c>
      <c r="DC436" s="218">
        <f t="shared" si="2716"/>
        <v>0</v>
      </c>
      <c r="DD436" s="73">
        <f t="shared" si="2717"/>
        <v>0</v>
      </c>
      <c r="DE436" s="73">
        <f t="shared" si="2718"/>
        <v>0</v>
      </c>
      <c r="DF436" s="73">
        <f t="shared" si="2719"/>
        <v>0</v>
      </c>
      <c r="DG436" s="73">
        <f t="shared" si="2720"/>
        <v>0</v>
      </c>
      <c r="DH436" s="72" t="e">
        <f t="shared" si="2747"/>
        <v>#DIV/0!</v>
      </c>
      <c r="DI436" s="72" t="e">
        <f t="shared" si="2748"/>
        <v>#DIV/0!</v>
      </c>
      <c r="DJ436" s="73">
        <f>SUM(AV422:AV436,BB422:BB436,BI422:BI436)</f>
        <v>0</v>
      </c>
      <c r="DK436" s="73">
        <f>SUM(AV428:AV436,BB428:BB436,BI428:BI436)</f>
        <v>0</v>
      </c>
      <c r="DL436" s="190"/>
    </row>
    <row r="437" spans="22:116" x14ac:dyDescent="0.25">
      <c r="V437" s="13"/>
      <c r="W437" s="66">
        <v>15</v>
      </c>
      <c r="X437" s="66">
        <v>2019</v>
      </c>
      <c r="Y437" s="69">
        <v>0</v>
      </c>
      <c r="Z437" s="69">
        <v>0</v>
      </c>
      <c r="AA437" s="69">
        <v>0</v>
      </c>
      <c r="AB437" s="69">
        <v>0</v>
      </c>
      <c r="AC437" s="69">
        <v>0</v>
      </c>
      <c r="AD437" s="69">
        <v>0</v>
      </c>
      <c r="AE437" s="69">
        <v>0</v>
      </c>
      <c r="AF437" s="69">
        <v>0</v>
      </c>
      <c r="AG437" s="69">
        <v>0</v>
      </c>
      <c r="AH437" s="69">
        <v>0</v>
      </c>
      <c r="AI437" s="69">
        <v>0</v>
      </c>
      <c r="AJ437" s="69">
        <v>0</v>
      </c>
      <c r="AK437" s="69">
        <v>0</v>
      </c>
      <c r="AL437" s="69">
        <v>0</v>
      </c>
      <c r="AM437" s="69">
        <v>0</v>
      </c>
      <c r="AN437" s="69">
        <v>0</v>
      </c>
      <c r="AO437" s="69">
        <v>0</v>
      </c>
      <c r="AP437" s="190"/>
      <c r="AQ437" s="66">
        <v>15</v>
      </c>
      <c r="AR437" s="66">
        <v>2019</v>
      </c>
      <c r="AS437" s="215">
        <f t="shared" si="2698"/>
        <v>0</v>
      </c>
      <c r="AT437" s="215">
        <f t="shared" si="2699"/>
        <v>0</v>
      </c>
      <c r="AU437" s="215">
        <f t="shared" si="2700"/>
        <v>0</v>
      </c>
      <c r="AV437" s="215">
        <f t="shared" si="2701"/>
        <v>0</v>
      </c>
      <c r="AW437" s="215">
        <f t="shared" si="2702"/>
        <v>0</v>
      </c>
      <c r="AX437" s="215">
        <f t="shared" si="2703"/>
        <v>0</v>
      </c>
      <c r="AY437" s="215">
        <f t="shared" si="2704"/>
        <v>0</v>
      </c>
      <c r="AZ437" s="215">
        <f t="shared" si="2705"/>
        <v>0</v>
      </c>
      <c r="BA437" s="215">
        <f t="shared" si="2706"/>
        <v>0</v>
      </c>
      <c r="BB437" s="215">
        <f t="shared" si="2707"/>
        <v>0</v>
      </c>
      <c r="BC437" s="215">
        <f t="shared" si="2708"/>
        <v>0</v>
      </c>
      <c r="BD437" s="215">
        <f t="shared" si="2709"/>
        <v>0</v>
      </c>
      <c r="BE437" s="215">
        <f t="shared" si="2710"/>
        <v>0</v>
      </c>
      <c r="BF437" s="215">
        <f t="shared" si="2711"/>
        <v>0</v>
      </c>
      <c r="BG437" s="215">
        <f t="shared" si="2712"/>
        <v>0</v>
      </c>
      <c r="BH437" s="215">
        <f t="shared" si="2713"/>
        <v>0</v>
      </c>
      <c r="BI437" s="215">
        <f t="shared" si="2714"/>
        <v>0</v>
      </c>
      <c r="BJ437" s="195"/>
      <c r="BK437" s="66">
        <v>15</v>
      </c>
      <c r="BL437" s="66">
        <v>2019</v>
      </c>
      <c r="BM437" s="215">
        <f t="shared" si="2757"/>
        <v>0</v>
      </c>
      <c r="BN437" s="219">
        <f t="shared" si="2758"/>
        <v>0</v>
      </c>
      <c r="BO437" s="219">
        <f t="shared" si="2759"/>
        <v>0</v>
      </c>
      <c r="BP437" s="219">
        <f t="shared" si="2760"/>
        <v>0</v>
      </c>
      <c r="BQ437" s="219">
        <f t="shared" si="2761"/>
        <v>0</v>
      </c>
      <c r="BR437" s="220">
        <f t="shared" si="2762"/>
        <v>0</v>
      </c>
      <c r="BS437" s="219">
        <f t="shared" si="2763"/>
        <v>0</v>
      </c>
      <c r="BT437" s="219">
        <f t="shared" si="2764"/>
        <v>0</v>
      </c>
      <c r="BU437" s="219">
        <f t="shared" si="2765"/>
        <v>0</v>
      </c>
      <c r="BV437" s="219">
        <f t="shared" si="2766"/>
        <v>0</v>
      </c>
      <c r="BW437" s="219">
        <f t="shared" si="2767"/>
        <v>0</v>
      </c>
      <c r="BX437" s="220">
        <f t="shared" si="2768"/>
        <v>0</v>
      </c>
      <c r="BY437" s="195"/>
      <c r="BZ437" s="66">
        <v>15</v>
      </c>
      <c r="CA437" s="66">
        <v>2019</v>
      </c>
      <c r="CB437" s="218">
        <f t="shared" si="2769"/>
        <v>0</v>
      </c>
      <c r="CC437" s="218">
        <f t="shared" si="2770"/>
        <v>0</v>
      </c>
      <c r="CD437" s="73">
        <f t="shared" si="2771"/>
        <v>0</v>
      </c>
      <c r="CE437" s="73">
        <f t="shared" si="2772"/>
        <v>0</v>
      </c>
      <c r="CF437" s="73">
        <f t="shared" si="2773"/>
        <v>0</v>
      </c>
      <c r="CG437" s="73">
        <f t="shared" si="2774"/>
        <v>0</v>
      </c>
      <c r="CH437" s="73">
        <f t="shared" si="2775"/>
        <v>0</v>
      </c>
      <c r="CI437" s="73">
        <f t="shared" si="2776"/>
        <v>0</v>
      </c>
      <c r="CJ437" s="73">
        <f t="shared" si="2777"/>
        <v>0</v>
      </c>
      <c r="CK437" s="73">
        <f t="shared" si="2778"/>
        <v>0</v>
      </c>
      <c r="CL437" s="73">
        <f t="shared" si="2779"/>
        <v>0</v>
      </c>
      <c r="CM437" s="73">
        <f t="shared" si="2780"/>
        <v>0</v>
      </c>
      <c r="CN437" s="73">
        <f t="shared" si="2781"/>
        <v>0</v>
      </c>
      <c r="CO437" s="73">
        <f t="shared" si="2782"/>
        <v>0</v>
      </c>
      <c r="CP437" s="73">
        <f t="shared" si="2783"/>
        <v>0</v>
      </c>
      <c r="CQ437" s="73">
        <f t="shared" si="2784"/>
        <v>0</v>
      </c>
      <c r="CR437" s="73">
        <f t="shared" si="2785"/>
        <v>0</v>
      </c>
      <c r="CS437" s="73">
        <f t="shared" si="2786"/>
        <v>0</v>
      </c>
      <c r="CT437" s="73">
        <f t="shared" si="2787"/>
        <v>0</v>
      </c>
      <c r="CU437" s="73">
        <f t="shared" si="2788"/>
        <v>0</v>
      </c>
      <c r="CV437" s="73">
        <f t="shared" si="2789"/>
        <v>0</v>
      </c>
      <c r="CW437" s="73">
        <f t="shared" si="2790"/>
        <v>0</v>
      </c>
      <c r="CX437" s="73">
        <f t="shared" si="2791"/>
        <v>0</v>
      </c>
      <c r="CY437" s="73">
        <f t="shared" si="2792"/>
        <v>0</v>
      </c>
      <c r="CZ437" s="190"/>
      <c r="DA437" s="66">
        <v>2019</v>
      </c>
      <c r="DB437" s="218">
        <f t="shared" si="2715"/>
        <v>0</v>
      </c>
      <c r="DC437" s="218">
        <f t="shared" si="2716"/>
        <v>0</v>
      </c>
      <c r="DD437" s="73">
        <f t="shared" si="2717"/>
        <v>0</v>
      </c>
      <c r="DE437" s="73">
        <f t="shared" si="2718"/>
        <v>0</v>
      </c>
      <c r="DF437" s="73">
        <f t="shared" si="2719"/>
        <v>0</v>
      </c>
      <c r="DG437" s="73">
        <f t="shared" si="2720"/>
        <v>0</v>
      </c>
      <c r="DH437" s="72" t="e">
        <f t="shared" si="2747"/>
        <v>#DIV/0!</v>
      </c>
      <c r="DI437" s="72" t="e">
        <f t="shared" si="2748"/>
        <v>#DIV/0!</v>
      </c>
      <c r="DJ437" s="73">
        <f>SUM(AV422:AV437,BB422:BB437,BI422:BI437)</f>
        <v>0</v>
      </c>
      <c r="DK437" s="73">
        <f>SUM(AV428:AV437,BB428:BB437,BI428:BI437)</f>
        <v>0</v>
      </c>
      <c r="DL437" s="190"/>
    </row>
    <row r="438" spans="22:116" x14ac:dyDescent="0.25">
      <c r="V438" s="13"/>
      <c r="W438" s="66">
        <v>16</v>
      </c>
      <c r="X438" s="66">
        <v>2020</v>
      </c>
      <c r="Y438" s="69">
        <v>0</v>
      </c>
      <c r="Z438" s="69">
        <v>0</v>
      </c>
      <c r="AA438" s="69">
        <v>0</v>
      </c>
      <c r="AB438" s="69">
        <v>0</v>
      </c>
      <c r="AC438" s="69">
        <v>0</v>
      </c>
      <c r="AD438" s="69">
        <v>0</v>
      </c>
      <c r="AE438" s="69">
        <v>0</v>
      </c>
      <c r="AF438" s="69">
        <v>0</v>
      </c>
      <c r="AG438" s="69">
        <v>0</v>
      </c>
      <c r="AH438" s="69">
        <v>0</v>
      </c>
      <c r="AI438" s="69">
        <v>0</v>
      </c>
      <c r="AJ438" s="69">
        <v>0</v>
      </c>
      <c r="AK438" s="69">
        <v>0</v>
      </c>
      <c r="AL438" s="69">
        <v>0</v>
      </c>
      <c r="AM438" s="69">
        <v>0</v>
      </c>
      <c r="AN438" s="69">
        <v>0</v>
      </c>
      <c r="AO438" s="69">
        <v>0</v>
      </c>
      <c r="AP438" s="190"/>
      <c r="AQ438" s="66">
        <v>16</v>
      </c>
      <c r="AR438" s="66">
        <v>2020</v>
      </c>
      <c r="AS438" s="215">
        <f t="shared" si="2698"/>
        <v>0</v>
      </c>
      <c r="AT438" s="215">
        <f t="shared" si="2699"/>
        <v>0</v>
      </c>
      <c r="AU438" s="215">
        <f t="shared" si="2700"/>
        <v>0</v>
      </c>
      <c r="AV438" s="215">
        <f t="shared" si="2701"/>
        <v>0</v>
      </c>
      <c r="AW438" s="215">
        <f t="shared" si="2702"/>
        <v>0</v>
      </c>
      <c r="AX438" s="215">
        <f t="shared" si="2703"/>
        <v>0</v>
      </c>
      <c r="AY438" s="215">
        <f t="shared" si="2704"/>
        <v>0</v>
      </c>
      <c r="AZ438" s="215">
        <f t="shared" si="2705"/>
        <v>0</v>
      </c>
      <c r="BA438" s="215">
        <f t="shared" si="2706"/>
        <v>0</v>
      </c>
      <c r="BB438" s="215">
        <f t="shared" si="2707"/>
        <v>0</v>
      </c>
      <c r="BC438" s="215">
        <f t="shared" si="2708"/>
        <v>0</v>
      </c>
      <c r="BD438" s="215">
        <f t="shared" si="2709"/>
        <v>0</v>
      </c>
      <c r="BE438" s="215">
        <f t="shared" si="2710"/>
        <v>0</v>
      </c>
      <c r="BF438" s="215">
        <f t="shared" si="2711"/>
        <v>0</v>
      </c>
      <c r="BG438" s="215">
        <f t="shared" si="2712"/>
        <v>0</v>
      </c>
      <c r="BH438" s="215">
        <f t="shared" si="2713"/>
        <v>0</v>
      </c>
      <c r="BI438" s="215">
        <f t="shared" si="2714"/>
        <v>0</v>
      </c>
      <c r="BJ438" s="195"/>
      <c r="BK438" s="66">
        <v>16</v>
      </c>
      <c r="BL438" s="66">
        <v>2020</v>
      </c>
      <c r="BM438" s="215">
        <f t="shared" si="2757"/>
        <v>0</v>
      </c>
      <c r="BN438" s="219">
        <f t="shared" si="2758"/>
        <v>0</v>
      </c>
      <c r="BO438" s="219">
        <f t="shared" si="2759"/>
        <v>0</v>
      </c>
      <c r="BP438" s="219">
        <f t="shared" si="2760"/>
        <v>0</v>
      </c>
      <c r="BQ438" s="219">
        <f t="shared" si="2761"/>
        <v>0</v>
      </c>
      <c r="BR438" s="220">
        <f t="shared" si="2762"/>
        <v>0</v>
      </c>
      <c r="BS438" s="219">
        <f t="shared" si="2763"/>
        <v>0</v>
      </c>
      <c r="BT438" s="219">
        <f t="shared" si="2764"/>
        <v>0</v>
      </c>
      <c r="BU438" s="219">
        <f t="shared" si="2765"/>
        <v>0</v>
      </c>
      <c r="BV438" s="219">
        <f t="shared" si="2766"/>
        <v>0</v>
      </c>
      <c r="BW438" s="219">
        <f t="shared" si="2767"/>
        <v>0</v>
      </c>
      <c r="BX438" s="220">
        <f t="shared" si="2768"/>
        <v>0</v>
      </c>
      <c r="BY438" s="195"/>
      <c r="BZ438" s="66">
        <v>16</v>
      </c>
      <c r="CA438" s="66">
        <v>2020</v>
      </c>
      <c r="CB438" s="218">
        <f t="shared" si="2769"/>
        <v>0</v>
      </c>
      <c r="CC438" s="218">
        <f t="shared" si="2770"/>
        <v>0</v>
      </c>
      <c r="CD438" s="73">
        <f t="shared" si="2771"/>
        <v>0</v>
      </c>
      <c r="CE438" s="73">
        <f t="shared" si="2772"/>
        <v>0</v>
      </c>
      <c r="CF438" s="73">
        <f t="shared" si="2773"/>
        <v>0</v>
      </c>
      <c r="CG438" s="73">
        <f t="shared" si="2774"/>
        <v>0</v>
      </c>
      <c r="CH438" s="73">
        <f t="shared" si="2775"/>
        <v>0</v>
      </c>
      <c r="CI438" s="73">
        <f t="shared" si="2776"/>
        <v>0</v>
      </c>
      <c r="CJ438" s="73">
        <f t="shared" si="2777"/>
        <v>0</v>
      </c>
      <c r="CK438" s="73">
        <f t="shared" si="2778"/>
        <v>0</v>
      </c>
      <c r="CL438" s="73">
        <f t="shared" si="2779"/>
        <v>0</v>
      </c>
      <c r="CM438" s="73">
        <f t="shared" si="2780"/>
        <v>0</v>
      </c>
      <c r="CN438" s="73">
        <f t="shared" si="2781"/>
        <v>0</v>
      </c>
      <c r="CO438" s="73">
        <f t="shared" si="2782"/>
        <v>0</v>
      </c>
      <c r="CP438" s="73">
        <f t="shared" si="2783"/>
        <v>0</v>
      </c>
      <c r="CQ438" s="73">
        <f t="shared" si="2784"/>
        <v>0</v>
      </c>
      <c r="CR438" s="73">
        <f t="shared" si="2785"/>
        <v>0</v>
      </c>
      <c r="CS438" s="73">
        <f t="shared" si="2786"/>
        <v>0</v>
      </c>
      <c r="CT438" s="73">
        <f t="shared" si="2787"/>
        <v>0</v>
      </c>
      <c r="CU438" s="73">
        <f t="shared" si="2788"/>
        <v>0</v>
      </c>
      <c r="CV438" s="73">
        <f t="shared" si="2789"/>
        <v>0</v>
      </c>
      <c r="CW438" s="73">
        <f t="shared" si="2790"/>
        <v>0</v>
      </c>
      <c r="CX438" s="73">
        <f t="shared" si="2791"/>
        <v>0</v>
      </c>
      <c r="CY438" s="73">
        <f t="shared" si="2792"/>
        <v>0</v>
      </c>
      <c r="CZ438" s="190"/>
      <c r="DA438" s="66">
        <v>2020</v>
      </c>
      <c r="DB438" s="218">
        <f t="shared" si="2715"/>
        <v>0</v>
      </c>
      <c r="DC438" s="218">
        <f t="shared" si="2716"/>
        <v>0</v>
      </c>
      <c r="DD438" s="73">
        <f t="shared" si="2717"/>
        <v>0</v>
      </c>
      <c r="DE438" s="73">
        <f t="shared" si="2718"/>
        <v>0</v>
      </c>
      <c r="DF438" s="73">
        <f t="shared" si="2719"/>
        <v>0</v>
      </c>
      <c r="DG438" s="73">
        <f t="shared" si="2720"/>
        <v>0</v>
      </c>
      <c r="DH438" s="72" t="e">
        <f t="shared" si="2747"/>
        <v>#DIV/0!</v>
      </c>
      <c r="DI438" s="72" t="e">
        <f t="shared" si="2748"/>
        <v>#DIV/0!</v>
      </c>
      <c r="DJ438" s="73">
        <f>SUM(AV422:AV438,BB422:BB438,BI422:BI438)</f>
        <v>0</v>
      </c>
      <c r="DK438" s="73">
        <f>SUM(AV428:AV438,BB428:BB438,BI428:BI438)</f>
        <v>0</v>
      </c>
      <c r="DL438" s="190"/>
    </row>
    <row r="439" spans="22:116" x14ac:dyDescent="0.25">
      <c r="V439" s="63"/>
      <c r="W439" s="66">
        <v>17</v>
      </c>
      <c r="X439" s="66">
        <v>2021</v>
      </c>
      <c r="Y439" s="69">
        <v>0</v>
      </c>
      <c r="Z439" s="69">
        <v>0</v>
      </c>
      <c r="AA439" s="69">
        <v>0</v>
      </c>
      <c r="AB439" s="69">
        <v>0</v>
      </c>
      <c r="AC439" s="69">
        <v>0</v>
      </c>
      <c r="AD439" s="69">
        <v>0</v>
      </c>
      <c r="AE439" s="69">
        <v>0</v>
      </c>
      <c r="AF439" s="69">
        <v>0</v>
      </c>
      <c r="AG439" s="69">
        <v>0</v>
      </c>
      <c r="AH439" s="69">
        <v>0</v>
      </c>
      <c r="AI439" s="69">
        <v>0</v>
      </c>
      <c r="AJ439" s="69">
        <v>0</v>
      </c>
      <c r="AK439" s="69">
        <v>0</v>
      </c>
      <c r="AL439" s="69">
        <v>0</v>
      </c>
      <c r="AM439" s="69">
        <v>0</v>
      </c>
      <c r="AN439" s="69">
        <v>0</v>
      </c>
      <c r="AO439" s="69">
        <v>0</v>
      </c>
      <c r="AP439" s="190"/>
      <c r="AQ439" s="66">
        <v>17</v>
      </c>
      <c r="AR439" s="66">
        <v>2021</v>
      </c>
      <c r="AS439" s="215">
        <f t="shared" si="2698"/>
        <v>0</v>
      </c>
      <c r="AT439" s="215">
        <f t="shared" si="2699"/>
        <v>0</v>
      </c>
      <c r="AU439" s="215">
        <f t="shared" si="2700"/>
        <v>0</v>
      </c>
      <c r="AV439" s="215">
        <f t="shared" si="2701"/>
        <v>0</v>
      </c>
      <c r="AW439" s="215">
        <f t="shared" si="2702"/>
        <v>0</v>
      </c>
      <c r="AX439" s="215">
        <f t="shared" si="2703"/>
        <v>0</v>
      </c>
      <c r="AY439" s="215">
        <f t="shared" si="2704"/>
        <v>0</v>
      </c>
      <c r="AZ439" s="215">
        <f t="shared" si="2705"/>
        <v>0</v>
      </c>
      <c r="BA439" s="215">
        <f t="shared" si="2706"/>
        <v>0</v>
      </c>
      <c r="BB439" s="215">
        <f t="shared" si="2707"/>
        <v>0</v>
      </c>
      <c r="BC439" s="215">
        <f t="shared" si="2708"/>
        <v>0</v>
      </c>
      <c r="BD439" s="215">
        <f t="shared" si="2709"/>
        <v>0</v>
      </c>
      <c r="BE439" s="215">
        <f t="shared" si="2710"/>
        <v>0</v>
      </c>
      <c r="BF439" s="215">
        <f t="shared" si="2711"/>
        <v>0</v>
      </c>
      <c r="BG439" s="215">
        <f t="shared" si="2712"/>
        <v>0</v>
      </c>
      <c r="BH439" s="215">
        <f t="shared" si="2713"/>
        <v>0</v>
      </c>
      <c r="BI439" s="215">
        <f t="shared" si="2714"/>
        <v>0</v>
      </c>
      <c r="BJ439" s="195"/>
      <c r="BK439" s="66">
        <v>17</v>
      </c>
      <c r="BL439" s="66">
        <v>2021</v>
      </c>
      <c r="BM439" s="215">
        <f t="shared" si="2757"/>
        <v>0</v>
      </c>
      <c r="BN439" s="219">
        <f t="shared" si="2758"/>
        <v>0</v>
      </c>
      <c r="BO439" s="219">
        <f t="shared" si="2759"/>
        <v>0</v>
      </c>
      <c r="BP439" s="219">
        <f t="shared" si="2760"/>
        <v>0</v>
      </c>
      <c r="BQ439" s="219">
        <f t="shared" si="2761"/>
        <v>0</v>
      </c>
      <c r="BR439" s="220">
        <f t="shared" si="2762"/>
        <v>0</v>
      </c>
      <c r="BS439" s="219">
        <f t="shared" si="2763"/>
        <v>0</v>
      </c>
      <c r="BT439" s="219">
        <f t="shared" si="2764"/>
        <v>0</v>
      </c>
      <c r="BU439" s="219">
        <f t="shared" si="2765"/>
        <v>0</v>
      </c>
      <c r="BV439" s="219">
        <f t="shared" si="2766"/>
        <v>0</v>
      </c>
      <c r="BW439" s="219">
        <f t="shared" si="2767"/>
        <v>0</v>
      </c>
      <c r="BX439" s="220">
        <f t="shared" si="2768"/>
        <v>0</v>
      </c>
      <c r="BY439" s="195"/>
      <c r="BZ439" s="66">
        <v>17</v>
      </c>
      <c r="CA439" s="66">
        <v>2021</v>
      </c>
      <c r="CB439" s="218">
        <f t="shared" si="2769"/>
        <v>0</v>
      </c>
      <c r="CC439" s="218">
        <f t="shared" si="2770"/>
        <v>0</v>
      </c>
      <c r="CD439" s="73">
        <f t="shared" si="2771"/>
        <v>0</v>
      </c>
      <c r="CE439" s="73">
        <f t="shared" si="2772"/>
        <v>0</v>
      </c>
      <c r="CF439" s="73">
        <f t="shared" si="2773"/>
        <v>0</v>
      </c>
      <c r="CG439" s="73">
        <f t="shared" si="2774"/>
        <v>0</v>
      </c>
      <c r="CH439" s="73">
        <f t="shared" si="2775"/>
        <v>0</v>
      </c>
      <c r="CI439" s="73">
        <f t="shared" si="2776"/>
        <v>0</v>
      </c>
      <c r="CJ439" s="73">
        <f t="shared" si="2777"/>
        <v>0</v>
      </c>
      <c r="CK439" s="73">
        <f t="shared" si="2778"/>
        <v>0</v>
      </c>
      <c r="CL439" s="73">
        <f t="shared" si="2779"/>
        <v>0</v>
      </c>
      <c r="CM439" s="73">
        <f t="shared" si="2780"/>
        <v>0</v>
      </c>
      <c r="CN439" s="73">
        <f t="shared" si="2781"/>
        <v>0</v>
      </c>
      <c r="CO439" s="73">
        <f t="shared" si="2782"/>
        <v>0</v>
      </c>
      <c r="CP439" s="73">
        <f t="shared" si="2783"/>
        <v>0</v>
      </c>
      <c r="CQ439" s="73">
        <f t="shared" si="2784"/>
        <v>0</v>
      </c>
      <c r="CR439" s="73">
        <f t="shared" si="2785"/>
        <v>0</v>
      </c>
      <c r="CS439" s="73">
        <f t="shared" si="2786"/>
        <v>0</v>
      </c>
      <c r="CT439" s="73">
        <f t="shared" si="2787"/>
        <v>0</v>
      </c>
      <c r="CU439" s="73">
        <f t="shared" si="2788"/>
        <v>0</v>
      </c>
      <c r="CV439" s="73">
        <f t="shared" si="2789"/>
        <v>0</v>
      </c>
      <c r="CW439" s="73">
        <f t="shared" si="2790"/>
        <v>0</v>
      </c>
      <c r="CX439" s="73">
        <f t="shared" si="2791"/>
        <v>0</v>
      </c>
      <c r="CY439" s="73">
        <f t="shared" si="2792"/>
        <v>0</v>
      </c>
      <c r="CZ439" s="190"/>
      <c r="DA439" s="66">
        <v>2021</v>
      </c>
      <c r="DB439" s="218">
        <f t="shared" si="2715"/>
        <v>0</v>
      </c>
      <c r="DC439" s="218">
        <f t="shared" si="2716"/>
        <v>0</v>
      </c>
      <c r="DD439" s="73">
        <f t="shared" si="2717"/>
        <v>0</v>
      </c>
      <c r="DE439" s="73">
        <f t="shared" si="2718"/>
        <v>0</v>
      </c>
      <c r="DF439" s="73">
        <f t="shared" si="2719"/>
        <v>0</v>
      </c>
      <c r="DG439" s="73">
        <f t="shared" si="2720"/>
        <v>0</v>
      </c>
      <c r="DH439" s="72" t="e">
        <f t="shared" si="2747"/>
        <v>#DIV/0!</v>
      </c>
      <c r="DI439" s="72" t="e">
        <f t="shared" si="2748"/>
        <v>#DIV/0!</v>
      </c>
      <c r="DJ439" s="73">
        <f>SUM(AV422:AV439,BB422:BB439,BI422:BI439)</f>
        <v>0</v>
      </c>
      <c r="DK439" s="73">
        <f>SUM(AV428:AV439,BB428:BB439,BI428:BI439)</f>
        <v>0</v>
      </c>
      <c r="DL439" s="190"/>
    </row>
    <row r="440" spans="22:116" x14ac:dyDescent="0.25">
      <c r="V440" s="63"/>
      <c r="W440" s="66">
        <v>18</v>
      </c>
      <c r="X440" s="66">
        <v>2022</v>
      </c>
      <c r="Y440" s="69">
        <v>0</v>
      </c>
      <c r="Z440" s="69">
        <v>0</v>
      </c>
      <c r="AA440" s="69">
        <v>0</v>
      </c>
      <c r="AB440" s="69">
        <v>0</v>
      </c>
      <c r="AC440" s="69">
        <v>0</v>
      </c>
      <c r="AD440" s="69">
        <v>0</v>
      </c>
      <c r="AE440" s="69">
        <v>0</v>
      </c>
      <c r="AF440" s="69">
        <v>0</v>
      </c>
      <c r="AG440" s="69">
        <v>0</v>
      </c>
      <c r="AH440" s="69">
        <v>0</v>
      </c>
      <c r="AI440" s="69">
        <v>0</v>
      </c>
      <c r="AJ440" s="69">
        <v>0</v>
      </c>
      <c r="AK440" s="69">
        <v>0</v>
      </c>
      <c r="AL440" s="69">
        <v>0</v>
      </c>
      <c r="AM440" s="69">
        <v>0</v>
      </c>
      <c r="AN440" s="69">
        <v>0</v>
      </c>
      <c r="AO440" s="69">
        <v>0</v>
      </c>
      <c r="AP440" s="190"/>
      <c r="AQ440" s="66">
        <v>18</v>
      </c>
      <c r="AR440" s="66">
        <v>2022</v>
      </c>
      <c r="AS440" s="215">
        <f t="shared" si="2698"/>
        <v>0</v>
      </c>
      <c r="AT440" s="215">
        <f t="shared" si="2699"/>
        <v>0</v>
      </c>
      <c r="AU440" s="215">
        <f t="shared" si="2700"/>
        <v>0</v>
      </c>
      <c r="AV440" s="215">
        <f t="shared" si="2701"/>
        <v>0</v>
      </c>
      <c r="AW440" s="215">
        <f t="shared" si="2702"/>
        <v>0</v>
      </c>
      <c r="AX440" s="215">
        <f t="shared" si="2703"/>
        <v>0</v>
      </c>
      <c r="AY440" s="215">
        <f t="shared" si="2704"/>
        <v>0</v>
      </c>
      <c r="AZ440" s="215">
        <f t="shared" si="2705"/>
        <v>0</v>
      </c>
      <c r="BA440" s="215">
        <f t="shared" si="2706"/>
        <v>0</v>
      </c>
      <c r="BB440" s="215">
        <f t="shared" si="2707"/>
        <v>0</v>
      </c>
      <c r="BC440" s="215">
        <f t="shared" si="2708"/>
        <v>0</v>
      </c>
      <c r="BD440" s="215">
        <f t="shared" si="2709"/>
        <v>0</v>
      </c>
      <c r="BE440" s="215">
        <f t="shared" si="2710"/>
        <v>0</v>
      </c>
      <c r="BF440" s="215">
        <f t="shared" si="2711"/>
        <v>0</v>
      </c>
      <c r="BG440" s="215">
        <f t="shared" si="2712"/>
        <v>0</v>
      </c>
      <c r="BH440" s="215">
        <f t="shared" si="2713"/>
        <v>0</v>
      </c>
      <c r="BI440" s="215">
        <f t="shared" si="2714"/>
        <v>0</v>
      </c>
      <c r="BJ440" s="195"/>
      <c r="BK440" s="66">
        <v>18</v>
      </c>
      <c r="BL440" s="66">
        <v>2022</v>
      </c>
      <c r="BM440" s="215">
        <f t="shared" si="2757"/>
        <v>0</v>
      </c>
      <c r="BN440" s="219">
        <f t="shared" si="2758"/>
        <v>0</v>
      </c>
      <c r="BO440" s="219">
        <f t="shared" si="2759"/>
        <v>0</v>
      </c>
      <c r="BP440" s="219">
        <f t="shared" si="2760"/>
        <v>0</v>
      </c>
      <c r="BQ440" s="219">
        <f t="shared" si="2761"/>
        <v>0</v>
      </c>
      <c r="BR440" s="220">
        <f t="shared" si="2762"/>
        <v>0</v>
      </c>
      <c r="BS440" s="219">
        <f t="shared" si="2763"/>
        <v>0</v>
      </c>
      <c r="BT440" s="219">
        <f t="shared" si="2764"/>
        <v>0</v>
      </c>
      <c r="BU440" s="219">
        <f t="shared" si="2765"/>
        <v>0</v>
      </c>
      <c r="BV440" s="219">
        <f t="shared" si="2766"/>
        <v>0</v>
      </c>
      <c r="BW440" s="219">
        <f t="shared" si="2767"/>
        <v>0</v>
      </c>
      <c r="BX440" s="220">
        <f t="shared" si="2768"/>
        <v>0</v>
      </c>
      <c r="BY440" s="195"/>
      <c r="BZ440" s="66">
        <v>18</v>
      </c>
      <c r="CA440" s="66">
        <v>2022</v>
      </c>
      <c r="CB440" s="218">
        <f t="shared" si="2769"/>
        <v>0</v>
      </c>
      <c r="CC440" s="218">
        <f t="shared" si="2770"/>
        <v>0</v>
      </c>
      <c r="CD440" s="73">
        <f t="shared" si="2771"/>
        <v>0</v>
      </c>
      <c r="CE440" s="73">
        <f t="shared" si="2772"/>
        <v>0</v>
      </c>
      <c r="CF440" s="73">
        <f t="shared" si="2773"/>
        <v>0</v>
      </c>
      <c r="CG440" s="73">
        <f t="shared" si="2774"/>
        <v>0</v>
      </c>
      <c r="CH440" s="73">
        <f t="shared" si="2775"/>
        <v>0</v>
      </c>
      <c r="CI440" s="73">
        <f t="shared" si="2776"/>
        <v>0</v>
      </c>
      <c r="CJ440" s="73">
        <f t="shared" si="2777"/>
        <v>0</v>
      </c>
      <c r="CK440" s="73">
        <f t="shared" si="2778"/>
        <v>0</v>
      </c>
      <c r="CL440" s="73">
        <f t="shared" si="2779"/>
        <v>0</v>
      </c>
      <c r="CM440" s="73">
        <f t="shared" si="2780"/>
        <v>0</v>
      </c>
      <c r="CN440" s="73">
        <f t="shared" si="2781"/>
        <v>0</v>
      </c>
      <c r="CO440" s="73">
        <f t="shared" si="2782"/>
        <v>0</v>
      </c>
      <c r="CP440" s="73">
        <f t="shared" si="2783"/>
        <v>0</v>
      </c>
      <c r="CQ440" s="73">
        <f t="shared" si="2784"/>
        <v>0</v>
      </c>
      <c r="CR440" s="73">
        <f t="shared" si="2785"/>
        <v>0</v>
      </c>
      <c r="CS440" s="73">
        <f t="shared" si="2786"/>
        <v>0</v>
      </c>
      <c r="CT440" s="73">
        <f t="shared" si="2787"/>
        <v>0</v>
      </c>
      <c r="CU440" s="73">
        <f t="shared" si="2788"/>
        <v>0</v>
      </c>
      <c r="CV440" s="73">
        <f t="shared" si="2789"/>
        <v>0</v>
      </c>
      <c r="CW440" s="73">
        <f t="shared" si="2790"/>
        <v>0</v>
      </c>
      <c r="CX440" s="73">
        <f t="shared" si="2791"/>
        <v>0</v>
      </c>
      <c r="CY440" s="73">
        <f t="shared" si="2792"/>
        <v>0</v>
      </c>
      <c r="CZ440" s="190"/>
      <c r="DA440" s="66">
        <v>2022</v>
      </c>
      <c r="DB440" s="218">
        <f t="shared" si="2715"/>
        <v>0</v>
      </c>
      <c r="DC440" s="218">
        <f t="shared" si="2716"/>
        <v>0</v>
      </c>
      <c r="DD440" s="73">
        <f t="shared" si="2717"/>
        <v>0</v>
      </c>
      <c r="DE440" s="73">
        <f t="shared" si="2718"/>
        <v>0</v>
      </c>
      <c r="DF440" s="73">
        <f t="shared" si="2719"/>
        <v>0</v>
      </c>
      <c r="DG440" s="73">
        <f t="shared" si="2720"/>
        <v>0</v>
      </c>
      <c r="DH440" s="72" t="e">
        <f t="shared" si="2747"/>
        <v>#DIV/0!</v>
      </c>
      <c r="DI440" s="72" t="e">
        <f t="shared" si="2748"/>
        <v>#DIV/0!</v>
      </c>
      <c r="DJ440" s="73">
        <f>SUM(AV422:AV440,BB422:BB440,BI422:BI440)</f>
        <v>0</v>
      </c>
      <c r="DK440" s="73">
        <f>SUM(AV428:AV440,BB428:BB440,BI428:BI440)</f>
        <v>0</v>
      </c>
      <c r="DL440" s="190"/>
    </row>
    <row r="441" spans="22:116" x14ac:dyDescent="0.25">
      <c r="V441" s="63"/>
      <c r="W441" s="66">
        <v>19</v>
      </c>
      <c r="X441" s="66">
        <v>2023</v>
      </c>
      <c r="Y441" s="69">
        <v>1</v>
      </c>
      <c r="Z441" s="69">
        <v>0</v>
      </c>
      <c r="AA441" s="69">
        <v>0</v>
      </c>
      <c r="AB441" s="69">
        <v>0</v>
      </c>
      <c r="AC441" s="69">
        <v>0</v>
      </c>
      <c r="AD441" s="69">
        <v>0</v>
      </c>
      <c r="AE441" s="69">
        <v>0</v>
      </c>
      <c r="AF441" s="69">
        <v>0</v>
      </c>
      <c r="AG441" s="69">
        <v>0</v>
      </c>
      <c r="AH441" s="69">
        <v>0</v>
      </c>
      <c r="AI441" s="69">
        <v>0</v>
      </c>
      <c r="AJ441" s="69">
        <v>0</v>
      </c>
      <c r="AK441" s="69">
        <v>0</v>
      </c>
      <c r="AL441" s="69">
        <v>0</v>
      </c>
      <c r="AM441" s="69">
        <v>0</v>
      </c>
      <c r="AN441" s="69">
        <v>0</v>
      </c>
      <c r="AO441" s="69">
        <v>0</v>
      </c>
      <c r="AP441" s="190"/>
      <c r="AQ441" s="66">
        <v>19</v>
      </c>
      <c r="AR441" s="66">
        <v>2023</v>
      </c>
      <c r="AS441" s="215">
        <f t="shared" si="2698"/>
        <v>8588.0400000000009</v>
      </c>
      <c r="AT441" s="215">
        <f t="shared" si="2699"/>
        <v>0</v>
      </c>
      <c r="AU441" s="215">
        <f t="shared" si="2700"/>
        <v>0</v>
      </c>
      <c r="AV441" s="215">
        <f t="shared" si="2701"/>
        <v>0</v>
      </c>
      <c r="AW441" s="215">
        <f t="shared" si="2702"/>
        <v>0</v>
      </c>
      <c r="AX441" s="215">
        <f t="shared" si="2703"/>
        <v>0</v>
      </c>
      <c r="AY441" s="215">
        <f t="shared" si="2704"/>
        <v>0</v>
      </c>
      <c r="AZ441" s="215">
        <f t="shared" si="2705"/>
        <v>0</v>
      </c>
      <c r="BA441" s="215">
        <f t="shared" si="2706"/>
        <v>0</v>
      </c>
      <c r="BB441" s="215">
        <f t="shared" si="2707"/>
        <v>0</v>
      </c>
      <c r="BC441" s="215">
        <f t="shared" si="2708"/>
        <v>0</v>
      </c>
      <c r="BD441" s="215">
        <f t="shared" si="2709"/>
        <v>0</v>
      </c>
      <c r="BE441" s="215">
        <f t="shared" si="2710"/>
        <v>0</v>
      </c>
      <c r="BF441" s="215">
        <f t="shared" si="2711"/>
        <v>0</v>
      </c>
      <c r="BG441" s="215">
        <f t="shared" si="2712"/>
        <v>0</v>
      </c>
      <c r="BH441" s="215">
        <f t="shared" si="2713"/>
        <v>0</v>
      </c>
      <c r="BI441" s="215">
        <f t="shared" si="2714"/>
        <v>0</v>
      </c>
      <c r="BJ441" s="195"/>
      <c r="BK441" s="66">
        <v>19</v>
      </c>
      <c r="BL441" s="66">
        <v>2023</v>
      </c>
      <c r="BM441" s="215">
        <f t="shared" si="2757"/>
        <v>0</v>
      </c>
      <c r="BN441" s="219">
        <f t="shared" si="2758"/>
        <v>0</v>
      </c>
      <c r="BO441" s="219">
        <f t="shared" si="2759"/>
        <v>0</v>
      </c>
      <c r="BP441" s="219">
        <f t="shared" si="2760"/>
        <v>0</v>
      </c>
      <c r="BQ441" s="219">
        <f t="shared" si="2761"/>
        <v>0</v>
      </c>
      <c r="BR441" s="220">
        <f t="shared" si="2762"/>
        <v>0</v>
      </c>
      <c r="BS441" s="219">
        <f t="shared" si="2763"/>
        <v>0</v>
      </c>
      <c r="BT441" s="219">
        <f t="shared" si="2764"/>
        <v>0</v>
      </c>
      <c r="BU441" s="219">
        <f t="shared" si="2765"/>
        <v>0</v>
      </c>
      <c r="BV441" s="219">
        <f t="shared" si="2766"/>
        <v>0</v>
      </c>
      <c r="BW441" s="219">
        <f t="shared" si="2767"/>
        <v>0</v>
      </c>
      <c r="BX441" s="220">
        <f t="shared" si="2768"/>
        <v>0</v>
      </c>
      <c r="BY441" s="195"/>
      <c r="BZ441" s="66">
        <v>19</v>
      </c>
      <c r="CA441" s="66">
        <v>2023</v>
      </c>
      <c r="CB441" s="218">
        <f t="shared" si="2769"/>
        <v>0</v>
      </c>
      <c r="CC441" s="218">
        <f t="shared" si="2770"/>
        <v>0</v>
      </c>
      <c r="CD441" s="73">
        <f t="shared" si="2771"/>
        <v>0</v>
      </c>
      <c r="CE441" s="73">
        <f t="shared" si="2772"/>
        <v>0</v>
      </c>
      <c r="CF441" s="73">
        <f t="shared" si="2773"/>
        <v>0</v>
      </c>
      <c r="CG441" s="73">
        <f t="shared" si="2774"/>
        <v>0</v>
      </c>
      <c r="CH441" s="73">
        <f t="shared" si="2775"/>
        <v>0</v>
      </c>
      <c r="CI441" s="73">
        <f t="shared" si="2776"/>
        <v>0</v>
      </c>
      <c r="CJ441" s="73">
        <f t="shared" si="2777"/>
        <v>0</v>
      </c>
      <c r="CK441" s="73">
        <f t="shared" si="2778"/>
        <v>0</v>
      </c>
      <c r="CL441" s="73">
        <f t="shared" si="2779"/>
        <v>0</v>
      </c>
      <c r="CM441" s="73">
        <f t="shared" si="2780"/>
        <v>0</v>
      </c>
      <c r="CN441" s="73">
        <f t="shared" si="2781"/>
        <v>0</v>
      </c>
      <c r="CO441" s="73">
        <f t="shared" si="2782"/>
        <v>0</v>
      </c>
      <c r="CP441" s="73">
        <f t="shared" si="2783"/>
        <v>0</v>
      </c>
      <c r="CQ441" s="73">
        <f t="shared" si="2784"/>
        <v>0</v>
      </c>
      <c r="CR441" s="73">
        <f t="shared" si="2785"/>
        <v>0</v>
      </c>
      <c r="CS441" s="73">
        <f t="shared" si="2786"/>
        <v>0</v>
      </c>
      <c r="CT441" s="73">
        <f t="shared" si="2787"/>
        <v>0</v>
      </c>
      <c r="CU441" s="73">
        <f t="shared" si="2788"/>
        <v>0</v>
      </c>
      <c r="CV441" s="73">
        <f t="shared" si="2789"/>
        <v>0</v>
      </c>
      <c r="CW441" s="73">
        <f t="shared" si="2790"/>
        <v>0</v>
      </c>
      <c r="CX441" s="73">
        <f t="shared" si="2791"/>
        <v>0</v>
      </c>
      <c r="CY441" s="73">
        <f t="shared" si="2792"/>
        <v>0</v>
      </c>
      <c r="CZ441" s="190"/>
      <c r="DA441" s="66">
        <v>2023</v>
      </c>
      <c r="DB441" s="218">
        <f t="shared" si="2715"/>
        <v>0</v>
      </c>
      <c r="DC441" s="218">
        <f t="shared" si="2716"/>
        <v>8588.0400000000009</v>
      </c>
      <c r="DD441" s="73">
        <f t="shared" si="2717"/>
        <v>0</v>
      </c>
      <c r="DE441" s="73">
        <f t="shared" si="2718"/>
        <v>0</v>
      </c>
      <c r="DF441" s="73">
        <f t="shared" si="2719"/>
        <v>0</v>
      </c>
      <c r="DG441" s="73">
        <f t="shared" si="2720"/>
        <v>0</v>
      </c>
      <c r="DH441" s="72" t="e">
        <f t="shared" si="2747"/>
        <v>#DIV/0!</v>
      </c>
      <c r="DI441" s="72" t="e">
        <f t="shared" si="2748"/>
        <v>#DIV/0!</v>
      </c>
      <c r="DJ441" s="73">
        <f>SUM(AV422:AV441,BB422:BB441,BI422:BI441)</f>
        <v>0</v>
      </c>
      <c r="DK441" s="73">
        <f>SUM(AV428:AV441,BB428:BB441,BI428:BI441)</f>
        <v>0</v>
      </c>
      <c r="DL441" s="190"/>
    </row>
    <row r="442" spans="22:116" x14ac:dyDescent="0.25">
      <c r="V442" s="13"/>
      <c r="W442" s="197"/>
      <c r="X442" s="190"/>
      <c r="Y442" s="190"/>
      <c r="Z442" s="190"/>
      <c r="AA442" s="190"/>
      <c r="AB442" s="190"/>
      <c r="AC442" s="190"/>
      <c r="AD442" s="190"/>
      <c r="AE442" s="190"/>
      <c r="AF442" s="190"/>
      <c r="AG442" s="190"/>
      <c r="AH442" s="190"/>
      <c r="AI442" s="190"/>
      <c r="AJ442" s="190"/>
      <c r="AK442" s="190"/>
      <c r="AL442" s="190"/>
      <c r="AM442" s="190"/>
      <c r="AN442" s="190"/>
      <c r="AO442" s="190"/>
      <c r="AP442" s="190"/>
      <c r="AQ442" s="193" t="s">
        <v>449</v>
      </c>
      <c r="AR442" s="25"/>
      <c r="AS442" s="213"/>
      <c r="AT442" s="213"/>
      <c r="AU442" s="213"/>
      <c r="AV442" s="213"/>
      <c r="AW442" s="213"/>
      <c r="AX442" s="213"/>
      <c r="AY442" s="213"/>
      <c r="AZ442" s="213"/>
      <c r="BA442" s="213"/>
      <c r="BB442" s="213"/>
      <c r="BC442" s="213"/>
      <c r="BD442" s="213"/>
      <c r="BE442" s="213"/>
      <c r="BF442" s="213"/>
      <c r="BG442" s="213"/>
      <c r="BH442" s="213"/>
      <c r="BI442" s="213"/>
      <c r="BJ442" s="25"/>
      <c r="BK442" s="25"/>
      <c r="BL442" s="25"/>
      <c r="BM442" s="348" t="s">
        <v>570</v>
      </c>
      <c r="BN442" s="349"/>
      <c r="BO442" s="349"/>
      <c r="BP442" s="349"/>
      <c r="BQ442" s="350" t="s">
        <v>570</v>
      </c>
      <c r="BR442" s="350"/>
      <c r="BS442" s="350"/>
      <c r="BT442" s="350"/>
      <c r="BU442" s="350"/>
      <c r="BV442" s="350"/>
      <c r="BW442" s="350"/>
      <c r="BX442" s="351"/>
      <c r="BY442" s="199"/>
      <c r="BZ442" s="25"/>
      <c r="CA442" s="25"/>
      <c r="CB442" s="350" t="s">
        <v>302</v>
      </c>
      <c r="CC442" s="350"/>
      <c r="CD442" s="350"/>
      <c r="CE442" s="350" t="s">
        <v>302</v>
      </c>
      <c r="CF442" s="350"/>
      <c r="CG442" s="350"/>
      <c r="CH442" s="350"/>
      <c r="CI442" s="350"/>
      <c r="CJ442" s="350"/>
      <c r="CK442" s="350"/>
      <c r="CL442" s="350"/>
      <c r="CM442" s="350" t="s">
        <v>302</v>
      </c>
      <c r="CN442" s="350"/>
      <c r="CO442" s="350"/>
      <c r="CP442" s="350"/>
      <c r="CQ442" s="350"/>
      <c r="CR442" s="350"/>
      <c r="CS442" s="350"/>
      <c r="CT442" s="350"/>
      <c r="CU442" s="350"/>
      <c r="CV442" s="350"/>
      <c r="CW442" s="350"/>
      <c r="CX442" s="350"/>
      <c r="CY442" s="350"/>
      <c r="CZ442" s="190"/>
      <c r="DA442" s="190" t="s">
        <v>100</v>
      </c>
      <c r="DB442" s="217"/>
      <c r="DC442" s="217"/>
      <c r="DD442" s="217"/>
      <c r="DE442" s="217"/>
      <c r="DF442" s="217"/>
      <c r="DG442" s="217"/>
      <c r="DH442" s="222"/>
      <c r="DI442" s="222"/>
      <c r="DJ442" s="217"/>
      <c r="DK442" s="217"/>
      <c r="DL442" s="190"/>
    </row>
    <row r="443" spans="22:116" x14ac:dyDescent="0.25">
      <c r="V443" s="63"/>
      <c r="W443" s="18"/>
      <c r="X443" s="18"/>
      <c r="Y443" s="62"/>
      <c r="Z443" s="62"/>
      <c r="AA443" s="62"/>
      <c r="AB443" s="62"/>
      <c r="AC443" s="62"/>
      <c r="AD443" s="62"/>
      <c r="AE443" s="62"/>
      <c r="AF443" s="62"/>
      <c r="AG443" s="62"/>
      <c r="AH443" s="62"/>
      <c r="AI443" s="62"/>
      <c r="AJ443" s="62"/>
      <c r="AK443" s="62"/>
      <c r="AL443" s="62"/>
      <c r="AM443" s="62"/>
      <c r="AN443" s="62"/>
      <c r="AO443" s="62"/>
      <c r="AP443" s="190"/>
      <c r="AQ443" s="66" t="s">
        <v>88</v>
      </c>
      <c r="AR443" s="66" t="s">
        <v>89</v>
      </c>
      <c r="AS443" s="214" t="s">
        <v>320</v>
      </c>
      <c r="AT443" s="214" t="s">
        <v>319</v>
      </c>
      <c r="AU443" s="214" t="s">
        <v>318</v>
      </c>
      <c r="AV443" s="214" t="s">
        <v>317</v>
      </c>
      <c r="AW443" s="214" t="s">
        <v>321</v>
      </c>
      <c r="AX443" s="214" t="s">
        <v>322</v>
      </c>
      <c r="AY443" s="214" t="s">
        <v>323</v>
      </c>
      <c r="AZ443" s="214" t="s">
        <v>324</v>
      </c>
      <c r="BA443" s="214" t="s">
        <v>325</v>
      </c>
      <c r="BB443" s="214" t="s">
        <v>326</v>
      </c>
      <c r="BC443" s="214" t="s">
        <v>327</v>
      </c>
      <c r="BD443" s="214" t="s">
        <v>328</v>
      </c>
      <c r="BE443" s="214" t="s">
        <v>329</v>
      </c>
      <c r="BF443" s="214" t="s">
        <v>330</v>
      </c>
      <c r="BG443" s="214" t="s">
        <v>331</v>
      </c>
      <c r="BH443" s="214" t="s">
        <v>332</v>
      </c>
      <c r="BI443" s="214" t="s">
        <v>333</v>
      </c>
      <c r="BJ443" s="182"/>
      <c r="BK443" s="66" t="s">
        <v>88</v>
      </c>
      <c r="BL443" s="66" t="s">
        <v>89</v>
      </c>
      <c r="BM443" s="122" t="s">
        <v>627</v>
      </c>
      <c r="BN443" s="122" t="s">
        <v>715</v>
      </c>
      <c r="BO443" s="122" t="s">
        <v>628</v>
      </c>
      <c r="BP443" s="122" t="s">
        <v>629</v>
      </c>
      <c r="BQ443" s="122" t="s">
        <v>627</v>
      </c>
      <c r="BR443" s="122" t="s">
        <v>716</v>
      </c>
      <c r="BS443" s="122" t="s">
        <v>717</v>
      </c>
      <c r="BT443" s="122" t="s">
        <v>721</v>
      </c>
      <c r="BU443" s="122" t="s">
        <v>720</v>
      </c>
      <c r="BV443" s="122" t="s">
        <v>719</v>
      </c>
      <c r="BW443" s="122" t="s">
        <v>629</v>
      </c>
      <c r="BX443" s="122" t="s">
        <v>722</v>
      </c>
      <c r="BY443" s="182"/>
      <c r="BZ443" s="192" t="s">
        <v>88</v>
      </c>
      <c r="CA443" s="66" t="s">
        <v>89</v>
      </c>
      <c r="CB443" s="218" t="s">
        <v>124</v>
      </c>
      <c r="CC443" s="218" t="s">
        <v>630</v>
      </c>
      <c r="CD443" s="218" t="s">
        <v>570</v>
      </c>
      <c r="CE443" s="218" t="s">
        <v>124</v>
      </c>
      <c r="CF443" s="218" t="s">
        <v>630</v>
      </c>
      <c r="CG443" s="218" t="s">
        <v>631</v>
      </c>
      <c r="CH443" s="218" t="s">
        <v>632</v>
      </c>
      <c r="CI443" s="227" t="s">
        <v>624</v>
      </c>
      <c r="CJ443" s="227" t="s">
        <v>725</v>
      </c>
      <c r="CK443" s="227" t="s">
        <v>625</v>
      </c>
      <c r="CL443" s="227" t="s">
        <v>626</v>
      </c>
      <c r="CM443" s="218" t="s">
        <v>124</v>
      </c>
      <c r="CN443" s="218" t="s">
        <v>633</v>
      </c>
      <c r="CO443" s="218" t="s">
        <v>634</v>
      </c>
      <c r="CP443" s="218" t="s">
        <v>635</v>
      </c>
      <c r="CQ443" s="218" t="s">
        <v>632</v>
      </c>
      <c r="CR443" s="122" t="s">
        <v>624</v>
      </c>
      <c r="CS443" s="122" t="s">
        <v>726</v>
      </c>
      <c r="CT443" s="122" t="s">
        <v>727</v>
      </c>
      <c r="CU443" s="122" t="s">
        <v>637</v>
      </c>
      <c r="CV443" s="122" t="s">
        <v>638</v>
      </c>
      <c r="CW443" s="122" t="s">
        <v>728</v>
      </c>
      <c r="CX443" s="122" t="s">
        <v>626</v>
      </c>
      <c r="CY443" s="122" t="s">
        <v>729</v>
      </c>
      <c r="CZ443" s="190"/>
      <c r="DA443" s="67" t="s">
        <v>89</v>
      </c>
      <c r="DB443" s="219" t="s">
        <v>91</v>
      </c>
      <c r="DC443" s="219" t="s">
        <v>99</v>
      </c>
      <c r="DD443" s="215" t="s">
        <v>92</v>
      </c>
      <c r="DE443" s="215" t="s">
        <v>97</v>
      </c>
      <c r="DF443" s="215" t="s">
        <v>93</v>
      </c>
      <c r="DG443" s="215" t="s">
        <v>94</v>
      </c>
      <c r="DH443" s="223" t="s">
        <v>96</v>
      </c>
      <c r="DI443" s="223" t="s">
        <v>98</v>
      </c>
      <c r="DJ443" s="219" t="s">
        <v>95</v>
      </c>
      <c r="DK443" s="219" t="s">
        <v>102</v>
      </c>
      <c r="DL443" s="190"/>
    </row>
    <row r="444" spans="22:116" x14ac:dyDescent="0.25">
      <c r="V444" s="63"/>
      <c r="W444" s="18"/>
      <c r="X444" s="18"/>
      <c r="Y444" s="196"/>
      <c r="Z444" s="196"/>
      <c r="AA444" s="196"/>
      <c r="AB444" s="196"/>
      <c r="AC444" s="196"/>
      <c r="AD444" s="196"/>
      <c r="AE444" s="196"/>
      <c r="AF444" s="196"/>
      <c r="AG444" s="196"/>
      <c r="AH444" s="196"/>
      <c r="AI444" s="196"/>
      <c r="AJ444" s="196"/>
      <c r="AK444" s="196"/>
      <c r="AL444" s="196"/>
      <c r="AM444" s="196"/>
      <c r="AN444" s="196"/>
      <c r="AO444" s="196"/>
      <c r="AP444" s="190"/>
      <c r="AQ444" s="66">
        <v>0</v>
      </c>
      <c r="AR444" s="66">
        <v>2004</v>
      </c>
      <c r="AS444" s="215">
        <f>SUM(AS4,AS26,AS48,AS70,AS92,AS114,AS136,AS158,AS180,AS202,AS224,AS246,AS268,AS290,AS312,AS334,AS356,AS378,AS400,AS422)</f>
        <v>37328.860303712914</v>
      </c>
      <c r="AT444" s="215">
        <f t="shared" ref="AT444:BI459" si="2793">SUM(AT4,AT26,AT48,AT70,AT92,AT114,AT136,AT158,AT180,AT202,AT224,AT246,AT268,AT290,AT312,AT334,AT356,AT378,AT400,AT422)</f>
        <v>8625.5137507233158</v>
      </c>
      <c r="AU444" s="215">
        <f t="shared" si="2793"/>
        <v>3817.4396838476564</v>
      </c>
      <c r="AV444" s="215">
        <f t="shared" si="2793"/>
        <v>0</v>
      </c>
      <c r="AW444" s="215">
        <f t="shared" si="2793"/>
        <v>24973.444837624658</v>
      </c>
      <c r="AX444" s="215">
        <f t="shared" si="2793"/>
        <v>6397.3001938886364</v>
      </c>
      <c r="AY444" s="215">
        <f t="shared" si="2793"/>
        <v>499.08600271353481</v>
      </c>
      <c r="AZ444" s="215">
        <f t="shared" si="2793"/>
        <v>0</v>
      </c>
      <c r="BA444" s="215">
        <f t="shared" si="2793"/>
        <v>1428.0954159393805</v>
      </c>
      <c r="BB444" s="215">
        <f t="shared" si="2793"/>
        <v>0</v>
      </c>
      <c r="BC444" s="215">
        <f t="shared" si="2793"/>
        <v>20197.694858662428</v>
      </c>
      <c r="BD444" s="215">
        <f t="shared" si="2793"/>
        <v>3982.8067030577031</v>
      </c>
      <c r="BE444" s="215">
        <f t="shared" si="2793"/>
        <v>2500.913997286465</v>
      </c>
      <c r="BF444" s="215">
        <f t="shared" si="2793"/>
        <v>0</v>
      </c>
      <c r="BG444" s="215">
        <f t="shared" si="2793"/>
        <v>0</v>
      </c>
      <c r="BH444" s="215">
        <f t="shared" si="2793"/>
        <v>248.84425254330867</v>
      </c>
      <c r="BI444" s="215">
        <f t="shared" si="2793"/>
        <v>0</v>
      </c>
      <c r="BJ444" s="195"/>
      <c r="BK444" s="66">
        <v>0</v>
      </c>
      <c r="BL444" s="66">
        <v>2004</v>
      </c>
      <c r="BM444" s="215">
        <f>SUM(BM4,BM26,BM48,BM70,BM92,BM114,BM136,BM158,BM180,BM202,BM224,BM246,BM268,BM290,BM312,BM334,BM356,BM378,BM400,BM422)</f>
        <v>1428.0954159393805</v>
      </c>
      <c r="BN444" s="215">
        <f t="shared" ref="BN444:BO444" si="2794">SUM(BN4,BN26,BN48,BN70,BN92,BN114,BN136,BN158,BN180,BN202,BN224,BN246,BN268,BN290,BN312,BN334,BN356,BN378,BN400,BN422)</f>
        <v>0</v>
      </c>
      <c r="BO444" s="215">
        <f t="shared" si="2794"/>
        <v>0</v>
      </c>
      <c r="BP444" s="215">
        <f t="shared" ref="BP444" si="2795">SUM(BP4,BP26,BP48,BP70,BP92,BP114,BP136,BP158,BP180,BP202,BP224,BP246,BP268,BP290,BP312,BP334,BP356,BP378,BP400,BP422)</f>
        <v>0</v>
      </c>
      <c r="BQ444" s="215">
        <f t="shared" ref="BQ444:BS444" si="2796">SUM(BQ4,BQ26,BQ48,BQ70,BQ92,BQ114,BQ136,BQ158,BQ180,BQ202,BQ224,BQ246,BQ268,BQ290,BQ312,BQ334,BQ356,BQ378,BQ400,BQ422)</f>
        <v>248.84425254330867</v>
      </c>
      <c r="BR444" s="215">
        <f t="shared" si="2796"/>
        <v>0</v>
      </c>
      <c r="BS444" s="215">
        <f t="shared" si="2796"/>
        <v>0</v>
      </c>
      <c r="BT444" s="215">
        <f t="shared" ref="BT444:BW444" si="2797">SUM(BT4,BT26,BT48,BT70,BT92,BT114,BT136,BT158,BT180,BT202,BT224,BT246,BT268,BT290,BT312,BT334,BT356,BT378,BT400,BT422)</f>
        <v>0</v>
      </c>
      <c r="BU444" s="215">
        <f t="shared" si="2797"/>
        <v>0</v>
      </c>
      <c r="BV444" s="215">
        <f t="shared" si="2797"/>
        <v>0</v>
      </c>
      <c r="BW444" s="215">
        <f t="shared" si="2797"/>
        <v>0</v>
      </c>
      <c r="BX444" s="219">
        <v>0</v>
      </c>
      <c r="BY444" s="195"/>
      <c r="BZ444" s="66">
        <v>0</v>
      </c>
      <c r="CA444" s="66">
        <v>2004</v>
      </c>
      <c r="CB444" s="215">
        <f>SUM(CB4,CB26,CB48,CB70,CB92,CB114,CB136,CB158,CB180,CB202,CB224,CB246,CB268,CB290,CB312,CB334,CB356,CB378,CB400,CB422)</f>
        <v>0</v>
      </c>
      <c r="CC444" s="215">
        <f t="shared" ref="CC444:CM444" si="2798">SUM(CC4,CC26,CC48,CC70,CC92,CC114,CC136,CC158,CC180,CC202,CC224,CC246,CC268,CC290,CC312,CC334,CC356,CC378,CC400,CC422)</f>
        <v>0</v>
      </c>
      <c r="CD444" s="215">
        <f t="shared" si="2798"/>
        <v>0</v>
      </c>
      <c r="CE444" s="215">
        <f t="shared" si="2798"/>
        <v>0</v>
      </c>
      <c r="CF444" s="215">
        <f t="shared" si="2798"/>
        <v>0</v>
      </c>
      <c r="CG444" s="215">
        <f t="shared" si="2798"/>
        <v>0</v>
      </c>
      <c r="CH444" s="215">
        <f t="shared" si="2798"/>
        <v>0</v>
      </c>
      <c r="CI444" s="215">
        <f t="shared" ref="CI444:CL444" si="2799">SUM(CI4,CI26,CI48,CI70,CI92,CI114,CI136,CI158,CI180,CI202,CI224,CI246,CI268,CI290,CI312,CI334,CI356,CI378,CI400,CI422)</f>
        <v>0</v>
      </c>
      <c r="CJ444" s="215">
        <f t="shared" si="2799"/>
        <v>0</v>
      </c>
      <c r="CK444" s="215">
        <f t="shared" si="2799"/>
        <v>0</v>
      </c>
      <c r="CL444" s="215">
        <f t="shared" si="2799"/>
        <v>0</v>
      </c>
      <c r="CM444" s="215">
        <f t="shared" si="2798"/>
        <v>0</v>
      </c>
      <c r="CN444" s="215">
        <f t="shared" ref="CN444:CQ444" si="2800">SUM(CN4,CN26,CN48,CN70,CN92,CN114,CN136,CN158,CN180,CN202,CN224,CN246,CN268,CN290,CN312,CN334,CN356,CN378,CN400,CN422)</f>
        <v>0</v>
      </c>
      <c r="CO444" s="215">
        <f t="shared" si="2800"/>
        <v>0</v>
      </c>
      <c r="CP444" s="215">
        <f t="shared" si="2800"/>
        <v>0</v>
      </c>
      <c r="CQ444" s="215">
        <f t="shared" si="2800"/>
        <v>0</v>
      </c>
      <c r="CR444" s="215">
        <f t="shared" ref="CR444:CY444" si="2801">SUM(CR4,CR26,CR48,CR70,CR92,CR114,CR136,CR158,CR180,CR202,CR224,CR246,CR268,CR290,CR312,CR334,CR356,CR378,CR400,CR422)</f>
        <v>0</v>
      </c>
      <c r="CS444" s="215">
        <f t="shared" si="2801"/>
        <v>0</v>
      </c>
      <c r="CT444" s="215">
        <f t="shared" si="2801"/>
        <v>0</v>
      </c>
      <c r="CU444" s="215">
        <f t="shared" si="2801"/>
        <v>0</v>
      </c>
      <c r="CV444" s="215">
        <f t="shared" si="2801"/>
        <v>0</v>
      </c>
      <c r="CW444" s="215">
        <f t="shared" si="2801"/>
        <v>0</v>
      </c>
      <c r="CX444" s="215">
        <f t="shared" si="2801"/>
        <v>0</v>
      </c>
      <c r="CY444" s="215">
        <f t="shared" si="2801"/>
        <v>0</v>
      </c>
      <c r="CZ444" s="190"/>
      <c r="DA444" s="67">
        <v>2004</v>
      </c>
      <c r="DB444" s="218">
        <f t="shared" ref="DB444:DB463" si="2802">SUM(AT444,AX444,BD444)</f>
        <v>19005.620647669657</v>
      </c>
      <c r="DC444" s="218">
        <f t="shared" ref="DC444:DC463" si="2803">SUM(AS444:AU444,AW444:BA444,BC444:BH444)</f>
        <v>110000</v>
      </c>
      <c r="DD444" s="73">
        <f t="shared" ref="DD444:DD463" si="2804">SUM(AY444:AZ444,BE444:BG444)</f>
        <v>3000</v>
      </c>
      <c r="DE444" s="73">
        <f t="shared" ref="DE444:DE463" si="2805">SUM(BE444:BG444)</f>
        <v>2500.913997286465</v>
      </c>
      <c r="DF444" s="73">
        <f t="shared" ref="DF444:DF463" si="2806">SUM(BC444,BD444,BH444)</f>
        <v>24429.345814263441</v>
      </c>
      <c r="DG444" s="73">
        <f t="shared" ref="DG444:DG463" si="2807">SUM(BC444,BD444,BH444,AW444,AX444,BA444)</f>
        <v>57228.186261716117</v>
      </c>
      <c r="DH444" s="72">
        <f>DD444/(DD444+DG444)</f>
        <v>4.9810565222133243E-2</v>
      </c>
      <c r="DI444" s="72">
        <f>DE444/(DE444+DF444)</f>
        <v>9.2866315244900383E-2</v>
      </c>
      <c r="DJ444" s="73">
        <f>SUM(AV444,BB444,BI444)</f>
        <v>0</v>
      </c>
      <c r="DK444" s="73">
        <v>0</v>
      </c>
      <c r="DL444" s="190"/>
    </row>
    <row r="445" spans="22:116" x14ac:dyDescent="0.25">
      <c r="V445" s="63"/>
      <c r="W445" s="18"/>
      <c r="X445" s="18"/>
      <c r="Y445" s="196"/>
      <c r="Z445" s="196"/>
      <c r="AA445" s="196"/>
      <c r="AB445" s="196"/>
      <c r="AC445" s="196"/>
      <c r="AD445" s="196"/>
      <c r="AE445" s="196"/>
      <c r="AF445" s="196"/>
      <c r="AG445" s="196"/>
      <c r="AH445" s="196"/>
      <c r="AI445" s="196"/>
      <c r="AJ445" s="196"/>
      <c r="AK445" s="196"/>
      <c r="AL445" s="196"/>
      <c r="AM445" s="196"/>
      <c r="AN445" s="196"/>
      <c r="AO445" s="196"/>
      <c r="AP445" s="190"/>
      <c r="AQ445" s="66">
        <v>1</v>
      </c>
      <c r="AR445" s="66">
        <v>2005</v>
      </c>
      <c r="AS445" s="215">
        <f t="shared" ref="AS445:BH463" si="2808">SUM(AS5,AS27,AS49,AS71,AS93,AS115,AS137,AS159,AS181,AS203,AS225,AS247,AS269,AS291,AS313,AS335,AS357,AS379,AS401,AS423)</f>
        <v>35944.615059052026</v>
      </c>
      <c r="AT445" s="215">
        <f t="shared" si="2808"/>
        <v>5881.1995157454357</v>
      </c>
      <c r="AU445" s="215">
        <f t="shared" si="2808"/>
        <v>5168.1248620564729</v>
      </c>
      <c r="AV445" s="215">
        <f t="shared" si="2808"/>
        <v>895.42524086006438</v>
      </c>
      <c r="AW445" s="215">
        <f t="shared" si="2808"/>
        <v>20500.671401428113</v>
      </c>
      <c r="AX445" s="215">
        <f t="shared" si="2808"/>
        <v>7454.2224814028086</v>
      </c>
      <c r="AY445" s="215">
        <f t="shared" si="2808"/>
        <v>2299.209312918696</v>
      </c>
      <c r="AZ445" s="215">
        <f t="shared" si="2808"/>
        <v>220.67967048466105</v>
      </c>
      <c r="BA445" s="215">
        <f t="shared" si="2808"/>
        <v>2564.8315271706629</v>
      </c>
      <c r="BB445" s="215">
        <f t="shared" si="2808"/>
        <v>906.22832093736656</v>
      </c>
      <c r="BC445" s="215">
        <f t="shared" si="2808"/>
        <v>16460.764033938369</v>
      </c>
      <c r="BD445" s="215">
        <f t="shared" si="2808"/>
        <v>6470.8714325568144</v>
      </c>
      <c r="BE445" s="215">
        <f t="shared" si="2808"/>
        <v>3089.919270426833</v>
      </c>
      <c r="BF445" s="215">
        <f t="shared" si="2808"/>
        <v>2051.9743897616877</v>
      </c>
      <c r="BG445" s="215">
        <f t="shared" si="2808"/>
        <v>47.753212063060936</v>
      </c>
      <c r="BH445" s="215">
        <f t="shared" si="2808"/>
        <v>710.48997189987563</v>
      </c>
      <c r="BI445" s="215">
        <f t="shared" si="2793"/>
        <v>10297.380297297053</v>
      </c>
      <c r="BJ445" s="195"/>
      <c r="BK445" s="66">
        <v>1</v>
      </c>
      <c r="BL445" s="66">
        <v>2005</v>
      </c>
      <c r="BM445" s="215">
        <f t="shared" ref="BM445:BO445" si="2809">SUM(BM5,BM27,BM49,BM71,BM93,BM115,BM137,BM159,BM181,BM203,BM225,BM247,BM269,BM291,BM313,BM335,BM357,BM379,BM401,BM423)</f>
        <v>1794.1639761460287</v>
      </c>
      <c r="BN445" s="215">
        <f t="shared" si="2809"/>
        <v>763.4879367695313</v>
      </c>
      <c r="BO445" s="215">
        <f t="shared" si="2809"/>
        <v>7.1796142551032087</v>
      </c>
      <c r="BP445" s="215">
        <f t="shared" ref="BP445" si="2810">SUM(BP5,BP27,BP49,BP71,BP93,BP115,BP137,BP159,BP181,BP203,BP225,BP247,BP269,BP291,BP313,BP335,BP357,BP379,BP401,BP423)</f>
        <v>0</v>
      </c>
      <c r="BQ445" s="215">
        <f t="shared" ref="BQ445:BS445" si="2811">SUM(BQ5,BQ27,BQ49,BQ71,BQ93,BQ115,BQ137,BQ159,BQ181,BQ203,BQ225,BQ247,BQ269,BQ291,BQ313,BQ335,BQ357,BQ379,BQ401,BQ423)</f>
        <v>287.90776975410336</v>
      </c>
      <c r="BR445" s="215">
        <f t="shared" si="2811"/>
        <v>0</v>
      </c>
      <c r="BS445" s="215">
        <f t="shared" si="2811"/>
        <v>343.28997155583733</v>
      </c>
      <c r="BT445" s="215">
        <f t="shared" ref="BT445:BW445" si="2812">SUM(BT5,BT27,BT49,BT71,BT93,BT115,BT137,BT159,BT181,BT203,BT225,BT247,BT269,BT291,BT313,BT335,BT357,BT379,BT401,BT423)</f>
        <v>79.292230589934846</v>
      </c>
      <c r="BU445" s="215">
        <f t="shared" si="2812"/>
        <v>0</v>
      </c>
      <c r="BV445" s="215">
        <f t="shared" si="2812"/>
        <v>0</v>
      </c>
      <c r="BW445" s="215">
        <f t="shared" si="2812"/>
        <v>0</v>
      </c>
      <c r="BX445" s="220">
        <f>(BP444*pInt_LTFU_AIDS_LTFU_2004_2012)</f>
        <v>0</v>
      </c>
      <c r="BY445" s="195"/>
      <c r="BZ445" s="66">
        <v>1</v>
      </c>
      <c r="CA445" s="66">
        <v>2005</v>
      </c>
      <c r="CB445" s="215">
        <f t="shared" ref="CB445:CM445" si="2813">SUM(CB5,CB27,CB49,CB71,CB93,CB115,CB137,CB159,CB181,CB203,CB225,CB247,CB269,CB291,CB313,CB335,CB357,CB379,CB401,CB423)</f>
        <v>678.82698251173133</v>
      </c>
      <c r="CC445" s="215">
        <f t="shared" si="2813"/>
        <v>147.17794815340628</v>
      </c>
      <c r="CD445" s="215">
        <f t="shared" si="2813"/>
        <v>69.420310194926856</v>
      </c>
      <c r="CE445" s="215">
        <f t="shared" si="2813"/>
        <v>696.47284939598728</v>
      </c>
      <c r="CF445" s="215">
        <f t="shared" si="2813"/>
        <v>167.40401679576206</v>
      </c>
      <c r="CG445" s="215">
        <f t="shared" si="2813"/>
        <v>2.5239623826033184</v>
      </c>
      <c r="CH445" s="215">
        <f t="shared" si="2813"/>
        <v>0</v>
      </c>
      <c r="CI445" s="215">
        <f t="shared" ref="CI445:CL445" si="2814">SUM(CI5,CI27,CI49,CI71,CI93,CI115,CI137,CI159,CI181,CI203,CI225,CI247,CI269,CI291,CI313,CI335,CI357,CI379,CI401,CI423)</f>
        <v>39.827492363014017</v>
      </c>
      <c r="CJ445" s="215">
        <f t="shared" si="2814"/>
        <v>0</v>
      </c>
      <c r="CK445" s="215">
        <f t="shared" si="2814"/>
        <v>0</v>
      </c>
      <c r="CL445" s="215">
        <f t="shared" si="2814"/>
        <v>0</v>
      </c>
      <c r="CM445" s="215">
        <f t="shared" si="2813"/>
        <v>8291.4514192246461</v>
      </c>
      <c r="CN445" s="215">
        <f t="shared" ref="CN445:CQ445" si="2815">SUM(CN5,CN27,CN49,CN71,CN93,CN115,CN137,CN159,CN181,CN203,CN225,CN247,CN269,CN291,CN313,CN335,CN357,CN379,CN401,CN423)</f>
        <v>1534.1272679265815</v>
      </c>
      <c r="CO445" s="215">
        <f t="shared" si="2815"/>
        <v>369.6473769348425</v>
      </c>
      <c r="CP445" s="215">
        <f t="shared" si="2815"/>
        <v>0</v>
      </c>
      <c r="CQ445" s="215">
        <f t="shared" si="2815"/>
        <v>0</v>
      </c>
      <c r="CR445" s="215">
        <f t="shared" ref="CR445:CY445" si="2816">SUM(CR5,CR27,CR49,CR71,CR93,CR115,CR137,CR159,CR181,CR203,CR225,CR247,CR269,CR291,CR313,CR335,CR357,CR379,CR401,CR423)</f>
        <v>102.15423321098493</v>
      </c>
      <c r="CS445" s="215">
        <f t="shared" si="2816"/>
        <v>0</v>
      </c>
      <c r="CT445" s="215">
        <f t="shared" si="2816"/>
        <v>0</v>
      </c>
      <c r="CU445" s="215">
        <f t="shared" si="2816"/>
        <v>0</v>
      </c>
      <c r="CV445" s="215">
        <f t="shared" si="2816"/>
        <v>0</v>
      </c>
      <c r="CW445" s="215">
        <f t="shared" si="2816"/>
        <v>0</v>
      </c>
      <c r="CX445" s="215">
        <f t="shared" si="2816"/>
        <v>0</v>
      </c>
      <c r="CY445" s="215">
        <f t="shared" si="2816"/>
        <v>0</v>
      </c>
      <c r="CZ445" s="190"/>
      <c r="DA445" s="67">
        <v>2005</v>
      </c>
      <c r="DB445" s="218">
        <f t="shared" si="2802"/>
        <v>19806.29342970506</v>
      </c>
      <c r="DC445" s="218">
        <f t="shared" si="2803"/>
        <v>108865.32614090554</v>
      </c>
      <c r="DD445" s="73">
        <f t="shared" si="2804"/>
        <v>7709.535855654939</v>
      </c>
      <c r="DE445" s="73">
        <f t="shared" si="2805"/>
        <v>5189.646872251582</v>
      </c>
      <c r="DF445" s="73">
        <f t="shared" si="2806"/>
        <v>23642.125438395058</v>
      </c>
      <c r="DG445" s="73">
        <f t="shared" si="2807"/>
        <v>54161.850848396643</v>
      </c>
      <c r="DH445" s="72">
        <f t="shared" ref="DH445:DH463" si="2817">DD445/(DD445+DG445)</f>
        <v>0.12460583585320043</v>
      </c>
      <c r="DI445" s="72">
        <f t="shared" ref="DI445:DI463" si="2818">DE445/(DE445+DF445)</f>
        <v>0.17999749777210933</v>
      </c>
      <c r="DJ445" s="73">
        <f>SUM(AV444:AV445,BB444:BB445,BI444:BI445)</f>
        <v>12099.033859094485</v>
      </c>
      <c r="DK445" s="73">
        <v>0</v>
      </c>
      <c r="DL445" s="190"/>
    </row>
    <row r="446" spans="22:116" x14ac:dyDescent="0.25">
      <c r="V446" s="63"/>
      <c r="W446" s="18"/>
      <c r="X446" s="18"/>
      <c r="Y446" s="196"/>
      <c r="Z446" s="196"/>
      <c r="AA446" s="196"/>
      <c r="AB446" s="196"/>
      <c r="AC446" s="196"/>
      <c r="AD446" s="196"/>
      <c r="AE446" s="196"/>
      <c r="AF446" s="196"/>
      <c r="AG446" s="196"/>
      <c r="AH446" s="196"/>
      <c r="AI446" s="196"/>
      <c r="AJ446" s="196"/>
      <c r="AK446" s="196"/>
      <c r="AL446" s="196"/>
      <c r="AM446" s="196"/>
      <c r="AN446" s="196"/>
      <c r="AO446" s="196"/>
      <c r="AP446" s="190"/>
      <c r="AQ446" s="66">
        <v>2</v>
      </c>
      <c r="AR446" s="66">
        <v>2006</v>
      </c>
      <c r="AS446" s="215">
        <f t="shared" si="2808"/>
        <v>34129.366234797264</v>
      </c>
      <c r="AT446" s="215">
        <f t="shared" si="2793"/>
        <v>4600.8538746215972</v>
      </c>
      <c r="AU446" s="215">
        <f t="shared" si="2793"/>
        <v>5218.4649705873035</v>
      </c>
      <c r="AV446" s="215">
        <f t="shared" si="2793"/>
        <v>847.98845900474169</v>
      </c>
      <c r="AW446" s="215">
        <f t="shared" si="2793"/>
        <v>17889.256500904772</v>
      </c>
      <c r="AX446" s="215">
        <f t="shared" si="2793"/>
        <v>6781.0646191510732</v>
      </c>
      <c r="AY446" s="215">
        <f t="shared" si="2793"/>
        <v>4404.6622598193244</v>
      </c>
      <c r="AZ446" s="215">
        <f t="shared" si="2793"/>
        <v>624.87739869154927</v>
      </c>
      <c r="BA446" s="215">
        <f t="shared" si="2793"/>
        <v>3555.7539583813677</v>
      </c>
      <c r="BB446" s="215">
        <f t="shared" si="2793"/>
        <v>851.06811612506237</v>
      </c>
      <c r="BC446" s="215">
        <f t="shared" si="2793"/>
        <v>13459.558197925615</v>
      </c>
      <c r="BD446" s="215">
        <f t="shared" si="2793"/>
        <v>8074.2508051884597</v>
      </c>
      <c r="BE446" s="215">
        <f t="shared" si="2793"/>
        <v>2485.681316200707</v>
      </c>
      <c r="BF446" s="215">
        <f t="shared" si="2793"/>
        <v>4449.438132718923</v>
      </c>
      <c r="BG446" s="215">
        <f t="shared" si="2793"/>
        <v>241.06460795415808</v>
      </c>
      <c r="BH446" s="215">
        <f t="shared" si="2793"/>
        <v>1271.8120097075796</v>
      </c>
      <c r="BI446" s="215">
        <f t="shared" si="2793"/>
        <v>10055.604679126021</v>
      </c>
      <c r="BJ446" s="195"/>
      <c r="BK446" s="66">
        <v>2</v>
      </c>
      <c r="BL446" s="66">
        <v>2006</v>
      </c>
      <c r="BM446" s="215">
        <f t="shared" ref="BM446:BO446" si="2819">SUM(BM6,BM28,BM50,BM72,BM94,BM116,BM138,BM160,BM182,BM204,BM226,BM248,BM270,BM292,BM314,BM336,BM358,BM380,BM402,BM424)</f>
        <v>2147.6882629479214</v>
      </c>
      <c r="BN446" s="215">
        <f t="shared" si="2819"/>
        <v>1368.6651505047455</v>
      </c>
      <c r="BO446" s="215">
        <f t="shared" si="2819"/>
        <v>36.225951973961209</v>
      </c>
      <c r="BP446" s="215">
        <f t="shared" ref="BP446" si="2820">SUM(BP6,BP28,BP50,BP72,BP94,BP116,BP138,BP160,BP182,BP204,BP226,BP248,BP270,BP292,BP314,BP336,BP358,BP380,BP402,BP424)</f>
        <v>3.1745929547388281</v>
      </c>
      <c r="BQ446" s="215">
        <f t="shared" ref="BQ446:BS446" si="2821">SUM(BQ6,BQ28,BQ50,BQ72,BQ94,BQ116,BQ138,BQ160,BQ182,BQ204,BQ226,BQ248,BQ270,BQ292,BQ314,BQ336,BQ358,BQ380,BQ402,BQ424)</f>
        <v>442.64893402912179</v>
      </c>
      <c r="BR446" s="215">
        <f t="shared" si="2821"/>
        <v>183.52958014673916</v>
      </c>
      <c r="BS446" s="215">
        <f t="shared" si="2821"/>
        <v>505.36357511488211</v>
      </c>
      <c r="BT446" s="215">
        <f t="shared" ref="BT446:BW446" si="2822">SUM(BT6,BT28,BT50,BT72,BT94,BT116,BT138,BT160,BT182,BT204,BT226,BT248,BT270,BT292,BT314,BT336,BT358,BT380,BT402,BT424)</f>
        <v>115.07691468334588</v>
      </c>
      <c r="BU446" s="215">
        <f t="shared" si="2822"/>
        <v>22.156509985903931</v>
      </c>
      <c r="BV446" s="215">
        <f t="shared" si="2822"/>
        <v>1.7258577724619526</v>
      </c>
      <c r="BW446" s="215">
        <f t="shared" si="2822"/>
        <v>1.3106379751251296</v>
      </c>
      <c r="BX446" s="220">
        <f t="shared" ref="BX446:BX452" si="2823">(BP445*pInt_LTFU_AIDS_LTFU_2004_2012)+(BX445*pAIDS_LTFU_2004_2012)</f>
        <v>0</v>
      </c>
      <c r="BY446" s="195"/>
      <c r="BZ446" s="66">
        <v>2</v>
      </c>
      <c r="CA446" s="66">
        <v>2006</v>
      </c>
      <c r="CB446" s="215">
        <f t="shared" ref="CB446:CM446" si="2824">SUM(CB6,CB28,CB50,CB72,CB94,CB116,CB138,CB160,CB182,CB204,CB226,CB248,CB270,CB292,CB314,CB336,CB358,CB380,CB402,CB424)</f>
        <v>653.65442125901347</v>
      </c>
      <c r="CC446" s="215">
        <f t="shared" si="2824"/>
        <v>100.35145759701955</v>
      </c>
      <c r="CD446" s="215">
        <f t="shared" si="2824"/>
        <v>93.982580148708792</v>
      </c>
      <c r="CE446" s="215">
        <f t="shared" si="2824"/>
        <v>571.73374031171625</v>
      </c>
      <c r="CF446" s="215">
        <f t="shared" si="2824"/>
        <v>195.06147087926163</v>
      </c>
      <c r="CG446" s="215">
        <f t="shared" si="2824"/>
        <v>11.627490620827693</v>
      </c>
      <c r="CH446" s="215">
        <f t="shared" si="2824"/>
        <v>1.1160144421607423</v>
      </c>
      <c r="CI446" s="215">
        <f t="shared" ref="CI446:CL446" si="2825">SUM(CI6,CI28,CI50,CI72,CI94,CI116,CI138,CI160,CI182,CI204,CI226,CI248,CI270,CI292,CI314,CI336,CI358,CI380,CI402,CI424)</f>
        <v>50.036609081156818</v>
      </c>
      <c r="CJ446" s="215">
        <f t="shared" si="2825"/>
        <v>21.292561849545621</v>
      </c>
      <c r="CK446" s="215">
        <f t="shared" si="2825"/>
        <v>0.20022894039360703</v>
      </c>
      <c r="CL446" s="215">
        <f t="shared" si="2825"/>
        <v>0</v>
      </c>
      <c r="CM446" s="215">
        <f t="shared" si="2824"/>
        <v>6757.3862396571913</v>
      </c>
      <c r="CN446" s="215">
        <f t="shared" ref="CN446:CQ446" si="2826">SUM(CN6,CN28,CN50,CN72,CN94,CN116,CN138,CN160,CN182,CN204,CN226,CN248,CN270,CN292,CN314,CN336,CN358,CN380,CN402,CN424)</f>
        <v>2492.4986453174415</v>
      </c>
      <c r="CO446" s="215">
        <f t="shared" si="2826"/>
        <v>456.70525035766394</v>
      </c>
      <c r="CP446" s="215">
        <f t="shared" si="2826"/>
        <v>52.849003591907035</v>
      </c>
      <c r="CQ446" s="215">
        <f t="shared" si="2826"/>
        <v>4.4989353205405909</v>
      </c>
      <c r="CR446" s="215">
        <f t="shared" ref="CR446:CY446" si="2827">SUM(CR6,CR28,CR50,CR72,CR94,CR116,CR138,CR160,CR182,CR204,CR226,CR248,CR270,CR292,CR314,CR336,CR358,CR380,CR402,CR424)</f>
        <v>118.19038275596323</v>
      </c>
      <c r="CS446" s="215">
        <f t="shared" si="2827"/>
        <v>0</v>
      </c>
      <c r="CT446" s="215">
        <f t="shared" si="2827"/>
        <v>140.92559283523772</v>
      </c>
      <c r="CU446" s="215">
        <f t="shared" si="2827"/>
        <v>32.550629290076422</v>
      </c>
      <c r="CV446" s="215">
        <f t="shared" si="2827"/>
        <v>0</v>
      </c>
      <c r="CW446" s="215">
        <f t="shared" si="2827"/>
        <v>0</v>
      </c>
      <c r="CX446" s="215">
        <f t="shared" si="2827"/>
        <v>0</v>
      </c>
      <c r="CY446" s="215">
        <f t="shared" si="2827"/>
        <v>0</v>
      </c>
      <c r="CZ446" s="190"/>
      <c r="DA446" s="66">
        <v>2006</v>
      </c>
      <c r="DB446" s="218">
        <f t="shared" si="2802"/>
        <v>19456.169298961133</v>
      </c>
      <c r="DC446" s="218">
        <f t="shared" si="2803"/>
        <v>107186.10488664967</v>
      </c>
      <c r="DD446" s="73">
        <f t="shared" si="2804"/>
        <v>12205.723715384662</v>
      </c>
      <c r="DE446" s="73">
        <f t="shared" si="2805"/>
        <v>7176.184056873788</v>
      </c>
      <c r="DF446" s="73">
        <f t="shared" si="2806"/>
        <v>22805.621012821655</v>
      </c>
      <c r="DG446" s="73">
        <f t="shared" si="2807"/>
        <v>51031.696091258877</v>
      </c>
      <c r="DH446" s="72">
        <f t="shared" si="2817"/>
        <v>0.19301425884713855</v>
      </c>
      <c r="DI446" s="72">
        <f t="shared" si="2818"/>
        <v>0.23935130123727016</v>
      </c>
      <c r="DJ446" s="73">
        <f>SUM(AV444:AV446,BB444:BB446,BI444:BI446)</f>
        <v>23853.69511335031</v>
      </c>
      <c r="DK446" s="73">
        <v>0</v>
      </c>
      <c r="DL446" s="190"/>
    </row>
    <row r="447" spans="22:116" x14ac:dyDescent="0.25">
      <c r="V447" s="63"/>
      <c r="W447" s="18"/>
      <c r="X447" s="18"/>
      <c r="Y447" s="196"/>
      <c r="Z447" s="196"/>
      <c r="AA447" s="196"/>
      <c r="AB447" s="196"/>
      <c r="AC447" s="196"/>
      <c r="AD447" s="196"/>
      <c r="AE447" s="196"/>
      <c r="AF447" s="196"/>
      <c r="AG447" s="196"/>
      <c r="AH447" s="196"/>
      <c r="AI447" s="196"/>
      <c r="AJ447" s="196"/>
      <c r="AK447" s="196"/>
      <c r="AL447" s="196"/>
      <c r="AM447" s="196"/>
      <c r="AN447" s="196"/>
      <c r="AO447" s="196"/>
      <c r="AP447" s="190"/>
      <c r="AQ447" s="66">
        <v>3</v>
      </c>
      <c r="AR447" s="66">
        <v>2007</v>
      </c>
      <c r="AS447" s="215">
        <f t="shared" si="2808"/>
        <v>31815.830071853721</v>
      </c>
      <c r="AT447" s="215">
        <f t="shared" si="2793"/>
        <v>4542.3349259900533</v>
      </c>
      <c r="AU447" s="215">
        <f t="shared" si="2793"/>
        <v>4858.9163687254531</v>
      </c>
      <c r="AV447" s="215">
        <f t="shared" si="2793"/>
        <v>794.04685815745233</v>
      </c>
      <c r="AW447" s="215">
        <f t="shared" si="2793"/>
        <v>15317.99220921191</v>
      </c>
      <c r="AX447" s="215">
        <f t="shared" si="2793"/>
        <v>7069.6106080620812</v>
      </c>
      <c r="AY447" s="215">
        <f t="shared" si="2793"/>
        <v>6462.034616319138</v>
      </c>
      <c r="AZ447" s="215">
        <f t="shared" si="2793"/>
        <v>1189.5791726580392</v>
      </c>
      <c r="BA447" s="215">
        <f t="shared" si="2793"/>
        <v>3913.921582317661</v>
      </c>
      <c r="BB447" s="215">
        <f t="shared" si="2793"/>
        <v>800.95154087824858</v>
      </c>
      <c r="BC447" s="215">
        <f t="shared" si="2793"/>
        <v>6296.2601741540175</v>
      </c>
      <c r="BD447" s="215">
        <f t="shared" si="2793"/>
        <v>11500.958679440218</v>
      </c>
      <c r="BE447" s="215">
        <f t="shared" si="2793"/>
        <v>4627.8868729191336</v>
      </c>
      <c r="BF447" s="215">
        <f t="shared" si="2793"/>
        <v>6190.1488539882885</v>
      </c>
      <c r="BG447" s="215">
        <f t="shared" si="2793"/>
        <v>591.92359014245073</v>
      </c>
      <c r="BH447" s="215">
        <f t="shared" si="2793"/>
        <v>1737.4605815977375</v>
      </c>
      <c r="BI447" s="215">
        <f t="shared" si="2793"/>
        <v>9662.2481802340826</v>
      </c>
      <c r="BJ447" s="195"/>
      <c r="BK447" s="66">
        <v>3</v>
      </c>
      <c r="BL447" s="66">
        <v>2007</v>
      </c>
      <c r="BM447" s="215">
        <f t="shared" ref="BM447:BO447" si="2828">SUM(BM7,BM29,BM51,BM73,BM95,BM117,BM139,BM161,BM183,BM205,BM227,BM249,BM271,BM293,BM315,BM337,BM359,BM381,BM403,BM425)</f>
        <v>2179.9768240437443</v>
      </c>
      <c r="BN447" s="215">
        <f t="shared" si="2828"/>
        <v>1644.3021114214728</v>
      </c>
      <c r="BO447" s="215">
        <f t="shared" si="2828"/>
        <v>79.260355805388997</v>
      </c>
      <c r="BP447" s="215">
        <f t="shared" ref="BP447" si="2829">SUM(BP7,BP29,BP51,BP73,BP95,BP117,BP139,BP161,BP183,BP205,BP227,BP249,BP271,BP293,BP315,BP337,BP359,BP381,BP403,BP425)</f>
        <v>10.382291047054558</v>
      </c>
      <c r="BQ447" s="215">
        <f t="shared" ref="BQ447:BS447" si="2830">SUM(BQ7,BQ29,BQ51,BQ73,BQ95,BQ117,BQ139,BQ161,BQ183,BQ205,BQ227,BQ249,BQ271,BQ293,BQ315,BQ337,BQ359,BQ381,BQ403,BQ425)</f>
        <v>570.3272853261708</v>
      </c>
      <c r="BR447" s="215">
        <f t="shared" si="2830"/>
        <v>368.6069199139809</v>
      </c>
      <c r="BS447" s="215">
        <f t="shared" si="2830"/>
        <v>625.31792623142724</v>
      </c>
      <c r="BT447" s="215">
        <f t="shared" ref="BT447:BW447" si="2831">SUM(BT7,BT29,BT51,BT73,BT95,BT117,BT139,BT161,BT183,BT205,BT227,BT249,BT271,BT293,BT315,BT337,BT359,BT381,BT403,BT425)</f>
        <v>103.64117600417765</v>
      </c>
      <c r="BU447" s="215">
        <f t="shared" si="2831"/>
        <v>52.824542859499218</v>
      </c>
      <c r="BV447" s="215">
        <f t="shared" si="2831"/>
        <v>9.0805205048544142</v>
      </c>
      <c r="BW447" s="215">
        <f t="shared" si="2831"/>
        <v>6.8990923322267257</v>
      </c>
      <c r="BX447" s="220">
        <f t="shared" si="2823"/>
        <v>0.76311842540072539</v>
      </c>
      <c r="BY447" s="195"/>
      <c r="BZ447" s="66">
        <v>3</v>
      </c>
      <c r="CA447" s="66">
        <v>2007</v>
      </c>
      <c r="CB447" s="215">
        <f t="shared" ref="CB447:CM447" si="2832">SUM(CB7,CB29,CB51,CB73,CB95,CB117,CB139,CB161,CB183,CB205,CB227,CB249,CB271,CB293,CB315,CB337,CB359,CB381,CB403,CB425)</f>
        <v>620.64404076919527</v>
      </c>
      <c r="CC447" s="215">
        <f t="shared" si="2832"/>
        <v>78.504800130157122</v>
      </c>
      <c r="CD447" s="215">
        <f t="shared" si="2832"/>
        <v>94.898017258099941</v>
      </c>
      <c r="CE447" s="215">
        <f t="shared" si="2832"/>
        <v>498.90519829245574</v>
      </c>
      <c r="CF447" s="215">
        <f t="shared" si="2832"/>
        <v>177.44633220150482</v>
      </c>
      <c r="CG447" s="215">
        <f t="shared" si="2832"/>
        <v>22.275122506766728</v>
      </c>
      <c r="CH447" s="215">
        <f t="shared" si="2832"/>
        <v>3.1601107613946611</v>
      </c>
      <c r="CI447" s="215">
        <f t="shared" ref="CI447:CL447" si="2833">SUM(CI7,CI29,CI51,CI73,CI95,CI117,CI139,CI161,CI183,CI205,CI227,CI249,CI271,CI293,CI315,CI337,CI359,CI381,CI403,CI425)</f>
        <v>59.895884361779963</v>
      </c>
      <c r="CJ447" s="215">
        <f t="shared" si="2833"/>
        <v>38.170069185044589</v>
      </c>
      <c r="CK447" s="215">
        <f t="shared" si="2833"/>
        <v>1.0102888150766922</v>
      </c>
      <c r="CL447" s="215">
        <f t="shared" si="2833"/>
        <v>8.8534754225347734E-2</v>
      </c>
      <c r="CM447" s="215">
        <f t="shared" si="2832"/>
        <v>5525.3470112934265</v>
      </c>
      <c r="CN447" s="215">
        <f t="shared" ref="CN447:CQ447" si="2834">SUM(CN7,CN29,CN51,CN73,CN95,CN117,CN139,CN161,CN183,CN205,CN227,CN249,CN271,CN293,CN315,CN337,CN359,CN381,CN403,CN425)</f>
        <v>3110.1003015807946</v>
      </c>
      <c r="CO447" s="215">
        <f t="shared" si="2834"/>
        <v>367.39591182522867</v>
      </c>
      <c r="CP447" s="215">
        <f t="shared" si="2834"/>
        <v>114.59615335907783</v>
      </c>
      <c r="CQ447" s="215">
        <f t="shared" si="2834"/>
        <v>22.711227840025519</v>
      </c>
      <c r="CR447" s="215">
        <f t="shared" ref="CR447:CY447" si="2835">SUM(CR7,CR29,CR51,CR73,CR95,CR117,CR139,CR161,CR183,CR205,CR227,CR249,CR271,CR293,CR315,CR337,CR359,CR381,CR403,CR425)</f>
        <v>181.71391131300089</v>
      </c>
      <c r="CS447" s="215">
        <f t="shared" si="2835"/>
        <v>75.341597564770751</v>
      </c>
      <c r="CT447" s="215">
        <f t="shared" si="2835"/>
        <v>207.45919578607902</v>
      </c>
      <c r="CU447" s="215">
        <f t="shared" si="2835"/>
        <v>47.240769515933245</v>
      </c>
      <c r="CV447" s="215">
        <f t="shared" si="2835"/>
        <v>9.0955738985678565</v>
      </c>
      <c r="CW447" s="215">
        <f t="shared" si="2835"/>
        <v>0.70849005181015989</v>
      </c>
      <c r="CX447" s="215">
        <f t="shared" si="2835"/>
        <v>0.53803620536827113</v>
      </c>
      <c r="CY447" s="215">
        <f t="shared" si="2835"/>
        <v>0</v>
      </c>
      <c r="CZ447" s="190"/>
      <c r="DA447" s="66">
        <v>2007</v>
      </c>
      <c r="DB447" s="218">
        <f t="shared" si="2802"/>
        <v>23112.904213492351</v>
      </c>
      <c r="DC447" s="218">
        <f t="shared" si="2803"/>
        <v>106114.85830737989</v>
      </c>
      <c r="DD447" s="73">
        <f t="shared" si="2804"/>
        <v>19061.573106027052</v>
      </c>
      <c r="DE447" s="73">
        <f t="shared" si="2805"/>
        <v>11409.959317049874</v>
      </c>
      <c r="DF447" s="73">
        <f t="shared" si="2806"/>
        <v>19534.679435191974</v>
      </c>
      <c r="DG447" s="73">
        <f t="shared" si="2807"/>
        <v>45836.203834783628</v>
      </c>
      <c r="DH447" s="72">
        <f t="shared" si="2817"/>
        <v>0.29371688838297116</v>
      </c>
      <c r="DI447" s="72">
        <f t="shared" si="2818"/>
        <v>0.36872168417940426</v>
      </c>
      <c r="DJ447" s="73">
        <f>SUM(AV444:AV447,BB444:BB447,BI444:BI447)</f>
        <v>35110.941692620094</v>
      </c>
      <c r="DK447" s="218">
        <v>0</v>
      </c>
      <c r="DL447" s="190"/>
    </row>
    <row r="448" spans="22:116" x14ac:dyDescent="0.25">
      <c r="V448" s="63"/>
      <c r="W448" s="18"/>
      <c r="X448" s="18"/>
      <c r="Y448" s="196"/>
      <c r="Z448" s="196"/>
      <c r="AA448" s="196"/>
      <c r="AB448" s="196"/>
      <c r="AC448" s="196"/>
      <c r="AD448" s="196"/>
      <c r="AE448" s="196"/>
      <c r="AF448" s="196"/>
      <c r="AG448" s="196"/>
      <c r="AH448" s="196"/>
      <c r="AI448" s="196"/>
      <c r="AJ448" s="196"/>
      <c r="AK448" s="196"/>
      <c r="AL448" s="196"/>
      <c r="AM448" s="196"/>
      <c r="AN448" s="196"/>
      <c r="AO448" s="196"/>
      <c r="AP448" s="190"/>
      <c r="AQ448" s="66">
        <v>4</v>
      </c>
      <c r="AR448" s="66">
        <v>2008</v>
      </c>
      <c r="AS448" s="215">
        <f t="shared" si="2808"/>
        <v>29383.723194820872</v>
      </c>
      <c r="AT448" s="215">
        <f t="shared" si="2793"/>
        <v>4345.4301923503408</v>
      </c>
      <c r="AU448" s="215">
        <f t="shared" si="2793"/>
        <v>4603.4398464294727</v>
      </c>
      <c r="AV448" s="215">
        <f t="shared" si="2793"/>
        <v>744.43817869392615</v>
      </c>
      <c r="AW448" s="215">
        <f t="shared" si="2793"/>
        <v>13634.693039370628</v>
      </c>
      <c r="AX448" s="215">
        <f t="shared" si="2793"/>
        <v>6711.8767136755605</v>
      </c>
      <c r="AY448" s="215">
        <f t="shared" si="2793"/>
        <v>8503.4940796788851</v>
      </c>
      <c r="AZ448" s="215">
        <f t="shared" si="2793"/>
        <v>1815.3855211759815</v>
      </c>
      <c r="BA448" s="215">
        <f t="shared" si="2793"/>
        <v>4089.5640897443732</v>
      </c>
      <c r="BB448" s="215">
        <f t="shared" si="2793"/>
        <v>760.04243174256635</v>
      </c>
      <c r="BC448" s="215">
        <f t="shared" si="2793"/>
        <v>5030.2015485239654</v>
      </c>
      <c r="BD448" s="215">
        <f t="shared" si="2793"/>
        <v>8143.6687733220115</v>
      </c>
      <c r="BE448" s="215">
        <f t="shared" si="2793"/>
        <v>6105.5783944797968</v>
      </c>
      <c r="BF448" s="215">
        <f t="shared" si="2793"/>
        <v>9571.6342470012132</v>
      </c>
      <c r="BG448" s="215">
        <f t="shared" si="2793"/>
        <v>1042.7108028531088</v>
      </c>
      <c r="BH448" s="215">
        <f t="shared" si="2793"/>
        <v>2221.8918712212007</v>
      </c>
      <c r="BI448" s="215">
        <f t="shared" si="2793"/>
        <v>8627.2053822959988</v>
      </c>
      <c r="BJ448" s="195"/>
      <c r="BK448" s="66">
        <v>4</v>
      </c>
      <c r="BL448" s="66">
        <v>2008</v>
      </c>
      <c r="BM448" s="215">
        <f t="shared" ref="BM448:BO448" si="2836">SUM(BM8,BM30,BM52,BM74,BM96,BM118,BM140,BM162,BM184,BM206,BM228,BM250,BM272,BM294,BM316,BM338,BM360,BM382,BM404,BM426)</f>
        <v>2246.8041556550615</v>
      </c>
      <c r="BN448" s="215">
        <f t="shared" si="2836"/>
        <v>1693.3497133945305</v>
      </c>
      <c r="BO448" s="215">
        <f t="shared" si="2836"/>
        <v>127.74145555172304</v>
      </c>
      <c r="BP448" s="215">
        <f t="shared" ref="BP448" si="2837">SUM(BP8,BP30,BP52,BP74,BP96,BP118,BP140,BP162,BP184,BP206,BP228,BP250,BP272,BP294,BP316,BP338,BP360,BP382,BP404,BP426)</f>
        <v>21.668765143057563</v>
      </c>
      <c r="BQ448" s="215">
        <f t="shared" ref="BQ448:BS448" si="2838">SUM(BQ8,BQ30,BQ52,BQ74,BQ96,BQ118,BQ140,BQ162,BQ184,BQ206,BQ228,BQ250,BQ272,BQ294,BQ316,BQ338,BQ360,BQ382,BQ404,BQ426)</f>
        <v>799.3875825363483</v>
      </c>
      <c r="BR448" s="215">
        <f t="shared" si="2838"/>
        <v>474.80234314595913</v>
      </c>
      <c r="BS448" s="215">
        <f t="shared" si="2838"/>
        <v>658.9639309745844</v>
      </c>
      <c r="BT448" s="215">
        <f t="shared" ref="BT448:BW448" si="2839">SUM(BT8,BT30,BT52,BT74,BT96,BT118,BT140,BT162,BT184,BT206,BT228,BT250,BT272,BT294,BT316,BT338,BT360,BT382,BT404,BT426)</f>
        <v>169.09278371836771</v>
      </c>
      <c r="BU448" s="215">
        <f t="shared" si="2839"/>
        <v>78.237844872499366</v>
      </c>
      <c r="BV448" s="215">
        <f t="shared" si="2839"/>
        <v>21.012290773963215</v>
      </c>
      <c r="BW448" s="215">
        <f t="shared" si="2839"/>
        <v>17.734698413257735</v>
      </c>
      <c r="BX448" s="220">
        <f t="shared" si="2823"/>
        <v>2.660396786220848</v>
      </c>
      <c r="BY448" s="195"/>
      <c r="BZ448" s="66">
        <v>4</v>
      </c>
      <c r="CA448" s="66">
        <v>2008</v>
      </c>
      <c r="CB448" s="215">
        <f t="shared" ref="CB448:CM448" si="2840">SUM(CB8,CB30,CB52,CB74,CB96,CB118,CB140,CB162,CB184,CB206,CB228,CB250,CB272,CB294,CB316,CB338,CB360,CB382,CB404,CB426)</f>
        <v>578.57228289485897</v>
      </c>
      <c r="CC448" s="215">
        <f t="shared" si="2840"/>
        <v>77.506285834476714</v>
      </c>
      <c r="CD448" s="215">
        <f t="shared" si="2840"/>
        <v>88.35960996459049</v>
      </c>
      <c r="CE448" s="215">
        <f t="shared" si="2840"/>
        <v>427.19639802764556</v>
      </c>
      <c r="CF448" s="215">
        <f t="shared" si="2840"/>
        <v>184.99697952303475</v>
      </c>
      <c r="CG448" s="215">
        <f t="shared" si="2840"/>
        <v>32.679602709738866</v>
      </c>
      <c r="CH448" s="215">
        <f t="shared" si="2840"/>
        <v>6.0159032042431688</v>
      </c>
      <c r="CI448" s="215">
        <f t="shared" ref="CI448:CL448" si="2841">SUM(CI8,CI30,CI52,CI74,CI96,CI118,CI140,CI162,CI184,CI206,CI228,CI250,CI272,CI294,CI316,CI338,CI360,CI382,CI404,CI426)</f>
        <v>60.796365104245396</v>
      </c>
      <c r="CJ448" s="215">
        <f t="shared" si="2841"/>
        <v>45.857180867742784</v>
      </c>
      <c r="CK448" s="215">
        <f t="shared" si="2841"/>
        <v>2.21045539415337</v>
      </c>
      <c r="CL448" s="215">
        <f t="shared" si="2841"/>
        <v>0.28954691176230651</v>
      </c>
      <c r="CM448" s="215">
        <f t="shared" si="2840"/>
        <v>2584.7075976794995</v>
      </c>
      <c r="CN448" s="215">
        <f t="shared" ref="CN448:CQ448" si="2842">SUM(CN8,CN30,CN52,CN74,CN96,CN118,CN140,CN162,CN184,CN206,CN228,CN250,CN272,CN294,CN316,CN338,CN360,CN382,CN404,CN426)</f>
        <v>4430.0252643143394</v>
      </c>
      <c r="CO448" s="215">
        <f t="shared" si="2842"/>
        <v>684.02441874525584</v>
      </c>
      <c r="CP448" s="215">
        <f t="shared" si="2842"/>
        <v>159.42850001010981</v>
      </c>
      <c r="CQ448" s="215">
        <f t="shared" si="2842"/>
        <v>55.766425580678863</v>
      </c>
      <c r="CR448" s="215">
        <f t="shared" ref="CR448:CY448" si="2843">SUM(CR8,CR30,CR52,CR74,CR96,CR118,CR140,CR162,CR184,CR206,CR228,CR250,CR272,CR294,CR316,CR338,CR360,CR382,CR404,CR426)</f>
        <v>234.12775628264845</v>
      </c>
      <c r="CS448" s="215">
        <f t="shared" si="2843"/>
        <v>151.31857326510783</v>
      </c>
      <c r="CT448" s="215">
        <f t="shared" si="2843"/>
        <v>256.70222484297585</v>
      </c>
      <c r="CU448" s="215">
        <f t="shared" si="2843"/>
        <v>42.54623024475471</v>
      </c>
      <c r="CV448" s="215">
        <f t="shared" si="2843"/>
        <v>21.68525338793506</v>
      </c>
      <c r="CW448" s="215">
        <f t="shared" si="2843"/>
        <v>3.7276874987039825</v>
      </c>
      <c r="CX448" s="215">
        <f t="shared" si="2843"/>
        <v>2.8321790832912606</v>
      </c>
      <c r="CY448" s="215">
        <f t="shared" si="2843"/>
        <v>0.31327136069746253</v>
      </c>
      <c r="CZ448" s="190"/>
      <c r="DA448" s="66">
        <v>2008</v>
      </c>
      <c r="DB448" s="218">
        <f t="shared" si="2802"/>
        <v>19200.97567934791</v>
      </c>
      <c r="DC448" s="218">
        <f t="shared" si="2803"/>
        <v>105203.29231464742</v>
      </c>
      <c r="DD448" s="73">
        <f t="shared" si="2804"/>
        <v>27038.803045188983</v>
      </c>
      <c r="DE448" s="73">
        <f t="shared" si="2805"/>
        <v>16719.923444334119</v>
      </c>
      <c r="DF448" s="73">
        <f t="shared" si="2806"/>
        <v>15395.762193067178</v>
      </c>
      <c r="DG448" s="73">
        <f t="shared" si="2807"/>
        <v>39831.896035857739</v>
      </c>
      <c r="DH448" s="72">
        <f t="shared" si="2817"/>
        <v>0.40434455474165421</v>
      </c>
      <c r="DI448" s="72">
        <f t="shared" si="2818"/>
        <v>0.5206154909195656</v>
      </c>
      <c r="DJ448" s="73">
        <f>SUM(AV444:AV448,BB444:BB448,BI444:BI448)</f>
        <v>45242.627685352585</v>
      </c>
      <c r="DK448" s="218">
        <v>0</v>
      </c>
      <c r="DL448" s="190"/>
    </row>
    <row r="449" spans="22:116" x14ac:dyDescent="0.25">
      <c r="V449" s="63"/>
      <c r="W449" s="18"/>
      <c r="X449" s="18"/>
      <c r="Y449" s="196"/>
      <c r="Z449" s="196"/>
      <c r="AA449" s="196"/>
      <c r="AB449" s="196"/>
      <c r="AC449" s="196"/>
      <c r="AD449" s="196"/>
      <c r="AE449" s="196"/>
      <c r="AF449" s="196"/>
      <c r="AG449" s="196"/>
      <c r="AH449" s="196"/>
      <c r="AI449" s="196"/>
      <c r="AJ449" s="196"/>
      <c r="AK449" s="196"/>
      <c r="AL449" s="196"/>
      <c r="AM449" s="196"/>
      <c r="AN449" s="196"/>
      <c r="AO449" s="196"/>
      <c r="AP449" s="190"/>
      <c r="AQ449" s="66">
        <v>5</v>
      </c>
      <c r="AR449" s="66">
        <v>2009</v>
      </c>
      <c r="AS449" s="215">
        <f t="shared" si="2808"/>
        <v>27210.270931858315</v>
      </c>
      <c r="AT449" s="215">
        <f t="shared" si="2793"/>
        <v>4079.1154033174198</v>
      </c>
      <c r="AU449" s="215">
        <f t="shared" si="2793"/>
        <v>4374.2587873480743</v>
      </c>
      <c r="AV449" s="215">
        <f t="shared" si="2793"/>
        <v>692.20455132034544</v>
      </c>
      <c r="AW449" s="215">
        <f t="shared" si="2793"/>
        <v>12349.201182827517</v>
      </c>
      <c r="AX449" s="215">
        <f t="shared" si="2793"/>
        <v>6228.3296322877231</v>
      </c>
      <c r="AY449" s="215">
        <f t="shared" si="2793"/>
        <v>10428.014914081961</v>
      </c>
      <c r="AZ449" s="215">
        <f t="shared" si="2793"/>
        <v>2473.31800983426</v>
      </c>
      <c r="BA449" s="215">
        <f t="shared" si="2793"/>
        <v>4088.6310826656913</v>
      </c>
      <c r="BB449" s="215">
        <f t="shared" si="2793"/>
        <v>722.12375656243319</v>
      </c>
      <c r="BC449" s="215">
        <f t="shared" si="2793"/>
        <v>4437.7809743848038</v>
      </c>
      <c r="BD449" s="215">
        <f t="shared" si="2793"/>
        <v>6720.1990820195369</v>
      </c>
      <c r="BE449" s="215">
        <f t="shared" si="2793"/>
        <v>4786.2431978776267</v>
      </c>
      <c r="BF449" s="215">
        <f t="shared" si="2793"/>
        <v>13938.494610123866</v>
      </c>
      <c r="BG449" s="215">
        <f t="shared" si="2793"/>
        <v>1635.0712853489019</v>
      </c>
      <c r="BH449" s="215">
        <f t="shared" si="2793"/>
        <v>2266.9545577914118</v>
      </c>
      <c r="BI449" s="215">
        <f t="shared" si="2793"/>
        <v>7361.1203549975289</v>
      </c>
      <c r="BJ449" s="195"/>
      <c r="BK449" s="66">
        <v>5</v>
      </c>
      <c r="BL449" s="66">
        <v>2009</v>
      </c>
      <c r="BM449" s="215">
        <f t="shared" ref="BM449:BO449" si="2844">SUM(BM9,BM31,BM53,BM75,BM97,BM119,BM141,BM163,BM185,BM207,BM229,BM251,BM273,BM295,BM317,BM339,BM361,BM383,BM405,BM427)</f>
        <v>2210.8452457151075</v>
      </c>
      <c r="BN449" s="215">
        <f t="shared" si="2844"/>
        <v>1663.7778888866237</v>
      </c>
      <c r="BO449" s="215">
        <f t="shared" si="2844"/>
        <v>178.38380474396831</v>
      </c>
      <c r="BP449" s="215">
        <f t="shared" ref="BP449" si="2845">SUM(BP9,BP31,BP53,BP75,BP97,BP119,BP141,BP163,BP185,BP207,BP229,BP251,BP273,BP295,BP317,BP339,BP361,BP383,BP405,BP427)</f>
        <v>35.624143319991454</v>
      </c>
      <c r="BQ449" s="215">
        <f t="shared" ref="BQ449:BS449" si="2846">SUM(BQ9,BQ31,BQ53,BQ75,BQ97,BQ119,BQ141,BQ163,BQ185,BQ207,BQ229,BQ251,BQ273,BQ295,BQ317,BQ339,BQ361,BQ383,BQ405,BQ427)</f>
        <v>651.38838467372022</v>
      </c>
      <c r="BR449" s="215">
        <f t="shared" si="2846"/>
        <v>509.50796386286049</v>
      </c>
      <c r="BS449" s="215">
        <f t="shared" si="2846"/>
        <v>682.28840257079537</v>
      </c>
      <c r="BT449" s="215">
        <f t="shared" ref="BT449:BW449" si="2847">SUM(BT9,BT31,BT53,BT75,BT97,BT119,BT141,BT163,BT185,BT207,BT229,BT251,BT273,BT295,BT317,BT339,BT361,BT383,BT405,BT427)</f>
        <v>230.06693021650244</v>
      </c>
      <c r="BU449" s="215">
        <f t="shared" si="2847"/>
        <v>120.23377101556589</v>
      </c>
      <c r="BV449" s="215">
        <f t="shared" si="2847"/>
        <v>35.241026918870304</v>
      </c>
      <c r="BW449" s="215">
        <f t="shared" si="2847"/>
        <v>32.445199657932868</v>
      </c>
      <c r="BX449" s="220">
        <f t="shared" si="2823"/>
        <v>5.7828788751642222</v>
      </c>
      <c r="BY449" s="195"/>
      <c r="BZ449" s="66">
        <v>5</v>
      </c>
      <c r="CA449" s="66">
        <v>2009</v>
      </c>
      <c r="CB449" s="215">
        <f t="shared" ref="CB449:CM449" si="2848">SUM(CB9,CB31,CB53,CB75,CB97,CB119,CB141,CB163,CB185,CB207,CB229,CB251,CB273,CB295,CB317,CB339,CB361,CB383,CB405,CB427)</f>
        <v>534.34431131872111</v>
      </c>
      <c r="CC449" s="215">
        <f t="shared" si="2848"/>
        <v>74.146481941478953</v>
      </c>
      <c r="CD449" s="215">
        <f t="shared" si="2848"/>
        <v>83.713758060145352</v>
      </c>
      <c r="CE449" s="215">
        <f t="shared" si="2848"/>
        <v>380.25164623917868</v>
      </c>
      <c r="CF449" s="215">
        <f t="shared" si="2848"/>
        <v>175.63582887365553</v>
      </c>
      <c r="CG449" s="215">
        <f t="shared" si="2848"/>
        <v>43.003608718953721</v>
      </c>
      <c r="CH449" s="215">
        <f t="shared" si="2848"/>
        <v>9.1807118221282824</v>
      </c>
      <c r="CI449" s="215">
        <f t="shared" ref="CI449:CL449" si="2849">SUM(CI9,CI31,CI53,CI75,CI97,CI119,CI141,CI163,CI185,CI207,CI229,CI251,CI273,CI295,CI317,CI339,CI361,CI383,CI405,CI427)</f>
        <v>62.660081638647696</v>
      </c>
      <c r="CJ449" s="215">
        <f t="shared" si="2849"/>
        <v>47.225046747853575</v>
      </c>
      <c r="CK449" s="215">
        <f t="shared" si="2849"/>
        <v>3.5625223557488837</v>
      </c>
      <c r="CL449" s="215">
        <f t="shared" si="2849"/>
        <v>0.60431016626672129</v>
      </c>
      <c r="CM449" s="215">
        <f t="shared" si="2848"/>
        <v>2064.9718723029118</v>
      </c>
      <c r="CN449" s="215">
        <f t="shared" ref="CN449:CQ449" si="2850">SUM(CN9,CN31,CN53,CN75,CN97,CN119,CN141,CN163,CN185,CN207,CN229,CN251,CN273,CN295,CN317,CN339,CN361,CN383,CN405,CN427)</f>
        <v>3136.8392336298898</v>
      </c>
      <c r="CO449" s="215">
        <f t="shared" si="2850"/>
        <v>902.43448620715935</v>
      </c>
      <c r="CP449" s="215">
        <f t="shared" si="2850"/>
        <v>246.51932072063343</v>
      </c>
      <c r="CQ449" s="215">
        <f t="shared" si="2850"/>
        <v>98.236082085331319</v>
      </c>
      <c r="CR449" s="215">
        <f t="shared" ref="CR449:CY449" si="2851">SUM(CR9,CR31,CR53,CR75,CR97,CR119,CR141,CR163,CR185,CR207,CR229,CR251,CR273,CR295,CR317,CR339,CR361,CR383,CR405,CR427)</f>
        <v>328.16038424745778</v>
      </c>
      <c r="CS449" s="215">
        <f t="shared" si="2851"/>
        <v>194.91335964214389</v>
      </c>
      <c r="CT449" s="215">
        <f t="shared" si="2851"/>
        <v>270.51440567504955</v>
      </c>
      <c r="CU449" s="215">
        <f t="shared" si="2851"/>
        <v>69.415079857046308</v>
      </c>
      <c r="CV449" s="215">
        <f t="shared" si="2851"/>
        <v>32.117788413213134</v>
      </c>
      <c r="CW449" s="215">
        <f t="shared" si="2851"/>
        <v>8.6258550482169198</v>
      </c>
      <c r="CX449" s="215">
        <f t="shared" si="2851"/>
        <v>7.280355077998486</v>
      </c>
      <c r="CY449" s="215">
        <f t="shared" si="2851"/>
        <v>1.0921320904771972</v>
      </c>
      <c r="CZ449" s="190"/>
      <c r="DA449" s="66">
        <v>2009</v>
      </c>
      <c r="DB449" s="218">
        <f t="shared" si="2802"/>
        <v>17027.644117624681</v>
      </c>
      <c r="DC449" s="218">
        <f t="shared" si="2803"/>
        <v>105015.88365176709</v>
      </c>
      <c r="DD449" s="73">
        <f t="shared" si="2804"/>
        <v>33261.142017266618</v>
      </c>
      <c r="DE449" s="73">
        <f t="shared" si="2805"/>
        <v>20359.809093350395</v>
      </c>
      <c r="DF449" s="73">
        <f t="shared" si="2806"/>
        <v>13424.934614195752</v>
      </c>
      <c r="DG449" s="73">
        <f t="shared" si="2807"/>
        <v>36091.096511976684</v>
      </c>
      <c r="DH449" s="72">
        <f t="shared" si="2817"/>
        <v>0.47959723756056716</v>
      </c>
      <c r="DI449" s="72">
        <f t="shared" si="2818"/>
        <v>0.60263322609734149</v>
      </c>
      <c r="DJ449" s="73">
        <f>SUM(AV444:AV449,BB444:BB449,BI444:BI449)</f>
        <v>54018.076348232891</v>
      </c>
      <c r="DK449" s="218">
        <v>0</v>
      </c>
      <c r="DL449" s="190"/>
    </row>
    <row r="450" spans="22:116" x14ac:dyDescent="0.25">
      <c r="V450" s="63"/>
      <c r="W450" s="18"/>
      <c r="X450" s="18"/>
      <c r="Y450" s="196"/>
      <c r="Z450" s="196"/>
      <c r="AA450" s="196"/>
      <c r="AB450" s="196"/>
      <c r="AC450" s="196"/>
      <c r="AD450" s="196"/>
      <c r="AE450" s="196"/>
      <c r="AF450" s="196"/>
      <c r="AG450" s="196"/>
      <c r="AH450" s="196"/>
      <c r="AI450" s="196"/>
      <c r="AJ450" s="196"/>
      <c r="AK450" s="196"/>
      <c r="AL450" s="196"/>
      <c r="AM450" s="196"/>
      <c r="AN450" s="196"/>
      <c r="AO450" s="196"/>
      <c r="AP450" s="190"/>
      <c r="AQ450" s="66">
        <v>6</v>
      </c>
      <c r="AR450" s="66">
        <v>2010</v>
      </c>
      <c r="AS450" s="215">
        <f t="shared" si="2808"/>
        <v>25832.823639290815</v>
      </c>
      <c r="AT450" s="215">
        <f t="shared" si="2793"/>
        <v>3801.5367190100169</v>
      </c>
      <c r="AU450" s="215">
        <f t="shared" si="2793"/>
        <v>4141.1542254728547</v>
      </c>
      <c r="AV450" s="215">
        <f t="shared" si="2793"/>
        <v>643.96840348833916</v>
      </c>
      <c r="AW450" s="215">
        <f t="shared" si="2793"/>
        <v>11304.281357638176</v>
      </c>
      <c r="AX450" s="215">
        <f t="shared" si="2793"/>
        <v>5754.8551474772676</v>
      </c>
      <c r="AY450" s="215">
        <f t="shared" si="2793"/>
        <v>12198.303815214917</v>
      </c>
      <c r="AZ450" s="215">
        <f t="shared" si="2793"/>
        <v>3134.9878761241002</v>
      </c>
      <c r="BA450" s="215">
        <f t="shared" si="2793"/>
        <v>3991.2904731589156</v>
      </c>
      <c r="BB450" s="215">
        <f t="shared" si="2793"/>
        <v>686.65373259642752</v>
      </c>
      <c r="BC450" s="215">
        <f t="shared" si="2793"/>
        <v>4011.2223431467801</v>
      </c>
      <c r="BD450" s="215">
        <f t="shared" si="2793"/>
        <v>5995.2728793697515</v>
      </c>
      <c r="BE450" s="215">
        <f t="shared" si="2793"/>
        <v>4104.608462385293</v>
      </c>
      <c r="BF450" s="215">
        <f t="shared" si="2793"/>
        <v>16929.633341922548</v>
      </c>
      <c r="BG450" s="215">
        <f t="shared" si="2793"/>
        <v>2297.6131278102375</v>
      </c>
      <c r="BH450" s="215">
        <f t="shared" si="2793"/>
        <v>2214.3262242497317</v>
      </c>
      <c r="BI450" s="215">
        <f t="shared" si="2793"/>
        <v>6561.3918834109372</v>
      </c>
      <c r="BJ450" s="195"/>
      <c r="BK450" s="66">
        <v>6</v>
      </c>
      <c r="BL450" s="66">
        <v>2010</v>
      </c>
      <c r="BM450" s="215">
        <f t="shared" ref="BM450:BO450" si="2852">SUM(BM10,BM32,BM54,BM76,BM98,BM120,BM142,BM164,BM186,BM208,BM230,BM252,BM274,BM296,BM318,BM340,BM362,BM384,BM406,BM428)</f>
        <v>2106.8205403616521</v>
      </c>
      <c r="BN450" s="215">
        <f t="shared" si="2852"/>
        <v>1604.9647210864694</v>
      </c>
      <c r="BO450" s="215">
        <f t="shared" si="2852"/>
        <v>228.29234794922189</v>
      </c>
      <c r="BP450" s="215">
        <f t="shared" ref="BP450" si="2853">SUM(BP10,BP32,BP54,BP76,BP98,BP120,BP142,BP164,BP186,BP208,BP230,BP252,BP274,BP296,BP318,BP340,BP362,BP384,BP406,BP428)</f>
        <v>51.212863761572329</v>
      </c>
      <c r="BQ450" s="215">
        <f t="shared" ref="BQ450:BS450" si="2854">SUM(BQ10,BQ32,BQ54,BQ76,BQ98,BQ120,BQ142,BQ164,BQ186,BQ208,BQ230,BQ252,BQ274,BQ296,BQ318,BQ340,BQ362,BQ384,BQ406,BQ428)</f>
        <v>535.74452497386756</v>
      </c>
      <c r="BR450" s="215">
        <f t="shared" si="2854"/>
        <v>509.88835911858502</v>
      </c>
      <c r="BS450" s="215">
        <f t="shared" si="2854"/>
        <v>678.67756633041142</v>
      </c>
      <c r="BT450" s="215">
        <f t="shared" ref="BT450:BW450" si="2855">SUM(BT10,BT32,BT54,BT76,BT98,BT120,BT142,BT164,BT186,BT208,BT230,BT252,BT274,BT296,BT318,BT340,BT362,BT384,BT406,BT428)</f>
        <v>201.39433309469047</v>
      </c>
      <c r="BU450" s="215">
        <f t="shared" si="2855"/>
        <v>176.44772127780539</v>
      </c>
      <c r="BV450" s="215">
        <f t="shared" si="2855"/>
        <v>50.484942240219084</v>
      </c>
      <c r="BW450" s="215">
        <f t="shared" si="2855"/>
        <v>51.877475965462224</v>
      </c>
      <c r="BX450" s="220">
        <f t="shared" si="2823"/>
        <v>9.8113012486901319</v>
      </c>
      <c r="BY450" s="195"/>
      <c r="BZ450" s="66">
        <v>6</v>
      </c>
      <c r="CA450" s="66">
        <v>2010</v>
      </c>
      <c r="CB450" s="215">
        <f t="shared" ref="CB450:CM450" si="2856">SUM(CB10,CB32,CB54,CB76,CB98,CB120,CB142,CB164,CB186,CB208,CB230,CB252,CB274,CB296,CB318,CB340,CB362,CB384,CB406,CB428)</f>
        <v>494.81998538709274</v>
      </c>
      <c r="CC450" s="215">
        <f t="shared" si="2856"/>
        <v>69.60232777912708</v>
      </c>
      <c r="CD450" s="215">
        <f t="shared" si="2856"/>
        <v>79.546090322119227</v>
      </c>
      <c r="CE450" s="215">
        <f t="shared" si="2856"/>
        <v>344.40115857025069</v>
      </c>
      <c r="CF450" s="215">
        <f t="shared" si="2856"/>
        <v>162.98240926212617</v>
      </c>
      <c r="CG450" s="215">
        <f t="shared" si="2856"/>
        <v>52.736236290474245</v>
      </c>
      <c r="CH450" s="215">
        <f t="shared" si="2856"/>
        <v>12.50798776783183</v>
      </c>
      <c r="CI450" s="215">
        <f t="shared" ref="CI450:CL450" si="2857">SUM(CI10,CI32,CI54,CI76,CI98,CI120,CI142,CI164,CI186,CI208,CI230,CI252,CI274,CI296,CI318,CI340,CI362,CI384,CI406,CI428)</f>
        <v>61.657240235313466</v>
      </c>
      <c r="CJ450" s="215">
        <f t="shared" si="2857"/>
        <v>46.4003318152212</v>
      </c>
      <c r="CK450" s="215">
        <f t="shared" si="2857"/>
        <v>4.9748634032639147</v>
      </c>
      <c r="CL450" s="215">
        <f t="shared" si="2857"/>
        <v>0.99350525194606631</v>
      </c>
      <c r="CM450" s="215">
        <f t="shared" si="2856"/>
        <v>1821.7744953449489</v>
      </c>
      <c r="CN450" s="215">
        <f t="shared" ref="CN450:CQ450" si="2858">SUM(CN10,CN32,CN54,CN76,CN98,CN120,CN142,CN164,CN186,CN208,CN230,CN252,CN274,CN296,CN318,CN340,CN362,CN384,CN406,CN428)</f>
        <v>2588.5365337229086</v>
      </c>
      <c r="CO450" s="215">
        <f t="shared" si="2858"/>
        <v>707.4302616512739</v>
      </c>
      <c r="CP450" s="215">
        <f t="shared" si="2858"/>
        <v>358.98866739840963</v>
      </c>
      <c r="CQ450" s="215">
        <f t="shared" si="2858"/>
        <v>154.04366825719995</v>
      </c>
      <c r="CR450" s="215">
        <f t="shared" ref="CR450:CY450" si="2859">SUM(CR10,CR32,CR54,CR76,CR98,CR120,CR142,CR164,CR186,CR208,CR230,CR252,CR274,CR296,CR318,CR340,CR362,CR384,CR406,CR428)</f>
        <v>267.40453226784905</v>
      </c>
      <c r="CS450" s="215">
        <f t="shared" si="2859"/>
        <v>209.16052844838063</v>
      </c>
      <c r="CT450" s="215">
        <f t="shared" si="2859"/>
        <v>280.08944502842036</v>
      </c>
      <c r="CU450" s="215">
        <f t="shared" si="2859"/>
        <v>94.445865649967772</v>
      </c>
      <c r="CV450" s="215">
        <f t="shared" si="2859"/>
        <v>49.357735043619947</v>
      </c>
      <c r="CW450" s="215">
        <f t="shared" si="2859"/>
        <v>14.46696094312377</v>
      </c>
      <c r="CX450" s="215">
        <f t="shared" si="2859"/>
        <v>13.319232646760062</v>
      </c>
      <c r="CY450" s="215">
        <f t="shared" si="2859"/>
        <v>2.3739570080751262</v>
      </c>
      <c r="CZ450" s="190"/>
      <c r="DA450" s="66">
        <v>2010</v>
      </c>
      <c r="DB450" s="218">
        <f t="shared" si="2802"/>
        <v>15551.664745857035</v>
      </c>
      <c r="DC450" s="218">
        <f t="shared" si="2803"/>
        <v>105711.90963227142</v>
      </c>
      <c r="DD450" s="73">
        <f t="shared" si="2804"/>
        <v>38665.146623457098</v>
      </c>
      <c r="DE450" s="73">
        <f t="shared" si="2805"/>
        <v>23331.85493211808</v>
      </c>
      <c r="DF450" s="73">
        <f t="shared" si="2806"/>
        <v>12220.821446766264</v>
      </c>
      <c r="DG450" s="73">
        <f t="shared" si="2807"/>
        <v>33271.248425040627</v>
      </c>
      <c r="DH450" s="72">
        <f t="shared" si="2817"/>
        <v>0.53749074578160361</v>
      </c>
      <c r="DI450" s="72">
        <f t="shared" si="2818"/>
        <v>0.65626156195586649</v>
      </c>
      <c r="DJ450" s="73">
        <f>SUM(AV444:AV450,BB444:BB450,BI444:BI450)</f>
        <v>61910.090367728597</v>
      </c>
      <c r="DK450" s="218">
        <f>SUM(AV450,BB450,BI450)</f>
        <v>7892.0140194957039</v>
      </c>
      <c r="DL450" s="190"/>
    </row>
    <row r="451" spans="22:116" x14ac:dyDescent="0.25">
      <c r="V451" s="63"/>
      <c r="W451" s="18"/>
      <c r="X451" s="18"/>
      <c r="Y451" s="196"/>
      <c r="Z451" s="196"/>
      <c r="AA451" s="196"/>
      <c r="AB451" s="196"/>
      <c r="AC451" s="196"/>
      <c r="AD451" s="196"/>
      <c r="AE451" s="196"/>
      <c r="AF451" s="196"/>
      <c r="AG451" s="196"/>
      <c r="AH451" s="196"/>
      <c r="AI451" s="196"/>
      <c r="AJ451" s="196"/>
      <c r="AK451" s="196"/>
      <c r="AL451" s="196"/>
      <c r="AM451" s="196"/>
      <c r="AN451" s="196"/>
      <c r="AO451" s="196"/>
      <c r="AP451" s="190"/>
      <c r="AQ451" s="66">
        <v>7</v>
      </c>
      <c r="AR451" s="66">
        <v>2011</v>
      </c>
      <c r="AS451" s="215">
        <f t="shared" si="2808"/>
        <v>24959.85252502521</v>
      </c>
      <c r="AT451" s="215">
        <f t="shared" si="2793"/>
        <v>3577.9490597166409</v>
      </c>
      <c r="AU451" s="215">
        <f t="shared" si="2793"/>
        <v>3902.0020287967723</v>
      </c>
      <c r="AV451" s="215">
        <f t="shared" si="2793"/>
        <v>609.94409542447204</v>
      </c>
      <c r="AW451" s="215">
        <f t="shared" si="2793"/>
        <v>10532.763265342432</v>
      </c>
      <c r="AX451" s="215">
        <f t="shared" si="2793"/>
        <v>5364.5580200390004</v>
      </c>
      <c r="AY451" s="215">
        <f t="shared" si="2793"/>
        <v>13805.453763251337</v>
      </c>
      <c r="AZ451" s="215">
        <f t="shared" si="2793"/>
        <v>3784.3807057842255</v>
      </c>
      <c r="BA451" s="215">
        <f t="shared" si="2793"/>
        <v>3850.5320257324497</v>
      </c>
      <c r="BB451" s="215">
        <f t="shared" si="2793"/>
        <v>654.70674612004257</v>
      </c>
      <c r="BC451" s="215">
        <f t="shared" si="2793"/>
        <v>3668.2893297704491</v>
      </c>
      <c r="BD451" s="215">
        <f t="shared" si="2793"/>
        <v>5460.867196625888</v>
      </c>
      <c r="BE451" s="215">
        <f t="shared" si="2793"/>
        <v>3717.0707237232459</v>
      </c>
      <c r="BF451" s="215">
        <f t="shared" si="2793"/>
        <v>19160.652424247928</v>
      </c>
      <c r="BG451" s="215">
        <f t="shared" si="2793"/>
        <v>2960.9625607337607</v>
      </c>
      <c r="BH451" s="215">
        <f t="shared" si="2793"/>
        <v>2165.8111560688276</v>
      </c>
      <c r="BI451" s="215">
        <f t="shared" si="2793"/>
        <v>6124.1540058687269</v>
      </c>
      <c r="BJ451" s="195"/>
      <c r="BK451" s="66">
        <v>7</v>
      </c>
      <c r="BL451" s="66">
        <v>2011</v>
      </c>
      <c r="BM451" s="215">
        <f t="shared" ref="BM451:BO451" si="2860">SUM(BM11,BM33,BM55,BM77,BM99,BM121,BM143,BM165,BM187,BM209,BM231,BM253,BM275,BM297,BM319,BM341,BM363,BM385,BM407,BM429)</f>
        <v>1974.7648302597095</v>
      </c>
      <c r="BN451" s="215">
        <f t="shared" si="2860"/>
        <v>1532.5349212817453</v>
      </c>
      <c r="BO451" s="215">
        <f t="shared" si="2860"/>
        <v>275.66016890005358</v>
      </c>
      <c r="BP451" s="215">
        <f t="shared" ref="BP451" si="2861">SUM(BP11,BP33,BP55,BP77,BP99,BP121,BP143,BP165,BP187,BP209,BP231,BP253,BP275,BP297,BP319,BP341,BP363,BP385,BP407,BP429)</f>
        <v>67.572105290941792</v>
      </c>
      <c r="BQ451" s="215">
        <f t="shared" ref="BQ451:BS451" si="2862">SUM(BQ11,BQ33,BQ55,BQ77,BQ99,BQ121,BQ143,BQ165,BQ187,BQ209,BQ231,BQ253,BQ275,BQ297,BQ319,BQ341,BQ363,BQ385,BQ407,BQ429)</f>
        <v>468.16065337648263</v>
      </c>
      <c r="BR451" s="215">
        <f t="shared" si="2862"/>
        <v>495.83275251411567</v>
      </c>
      <c r="BS451" s="215">
        <f t="shared" si="2862"/>
        <v>652.8926222413869</v>
      </c>
      <c r="BT451" s="215">
        <f t="shared" ref="BT451:BW451" si="2863">SUM(BT11,BT33,BT55,BT77,BT99,BT121,BT143,BT165,BT187,BT209,BT231,BT253,BT275,BT297,BT319,BT341,BT363,BT385,BT407,BT429)</f>
        <v>173.59577488825121</v>
      </c>
      <c r="BU451" s="215">
        <f t="shared" si="2863"/>
        <v>220.87514507921719</v>
      </c>
      <c r="BV451" s="215">
        <f t="shared" si="2863"/>
        <v>65.771523724123469</v>
      </c>
      <c r="BW451" s="215">
        <f t="shared" si="2863"/>
        <v>74.254844220875484</v>
      </c>
      <c r="BX451" s="220">
        <f t="shared" si="2823"/>
        <v>14.427840024375133</v>
      </c>
      <c r="BY451" s="195"/>
      <c r="BZ451" s="66">
        <v>7</v>
      </c>
      <c r="CA451" s="66">
        <v>2011</v>
      </c>
      <c r="CB451" s="215">
        <f t="shared" ref="CB451:CM451" si="2864">SUM(CB11,CB33,CB55,CB77,CB99,CB121,CB143,CB165,CB187,CB209,CB231,CB253,CB275,CB297,CB319,CB341,CB363,CB385,CB407,CB429)</f>
        <v>469.77104519511101</v>
      </c>
      <c r="CC451" s="215">
        <f t="shared" si="2864"/>
        <v>64.865976717828303</v>
      </c>
      <c r="CD451" s="215">
        <f t="shared" si="2864"/>
        <v>75.307073511532707</v>
      </c>
      <c r="CE451" s="215">
        <f t="shared" si="2864"/>
        <v>315.25987298583067</v>
      </c>
      <c r="CF451" s="215">
        <f t="shared" si="2864"/>
        <v>150.59256851597934</v>
      </c>
      <c r="CG451" s="215">
        <f t="shared" si="2864"/>
        <v>61.688886872751489</v>
      </c>
      <c r="CH451" s="215">
        <f t="shared" si="2864"/>
        <v>15.8541642647437</v>
      </c>
      <c r="CI451" s="215">
        <f t="shared" ref="CI451:CL451" si="2865">SUM(CI11,CI33,CI55,CI77,CI99,CI121,CI143,CI165,CI187,CI209,CI231,CI253,CI275,CI297,CI319,CI341,CI363,CI385,CI407,CI429)</f>
        <v>58.756143353559047</v>
      </c>
      <c r="CJ451" s="215">
        <f t="shared" si="2865"/>
        <v>44.760118587686598</v>
      </c>
      <c r="CK451" s="215">
        <f t="shared" si="2865"/>
        <v>6.3667396750947374</v>
      </c>
      <c r="CL451" s="215">
        <f t="shared" si="2865"/>
        <v>1.4282518643969091</v>
      </c>
      <c r="CM451" s="215">
        <f t="shared" si="2864"/>
        <v>1646.6658904714491</v>
      </c>
      <c r="CN451" s="215">
        <f t="shared" ref="CN451:CQ451" si="2866">SUM(CN11,CN33,CN55,CN77,CN99,CN121,CN143,CN165,CN187,CN209,CN231,CN253,CN275,CN297,CN319,CN341,CN363,CN385,CN407,CN429)</f>
        <v>2309.3040382403392</v>
      </c>
      <c r="CO451" s="215">
        <f t="shared" si="2866"/>
        <v>606.68129856185863</v>
      </c>
      <c r="CP451" s="215">
        <f t="shared" si="2866"/>
        <v>436.02603315182904</v>
      </c>
      <c r="CQ451" s="215">
        <f t="shared" si="2866"/>
        <v>216.463194978232</v>
      </c>
      <c r="CR451" s="215">
        <f t="shared" ref="CR451:CY451" si="2867">SUM(CR11,CR33,CR55,CR77,CR99,CR121,CR143,CR165,CR187,CR209,CR231,CR253,CR275,CR297,CR319,CR341,CR363,CR385,CR407,CR429)</f>
        <v>219.93102346683244</v>
      </c>
      <c r="CS451" s="215">
        <f t="shared" si="2867"/>
        <v>209.31668630723604</v>
      </c>
      <c r="CT451" s="215">
        <f t="shared" si="2867"/>
        <v>278.60714353414471</v>
      </c>
      <c r="CU451" s="215">
        <f t="shared" si="2867"/>
        <v>82.675341946044057</v>
      </c>
      <c r="CV451" s="215">
        <f t="shared" si="2867"/>
        <v>72.43439012449268</v>
      </c>
      <c r="CW451" s="215">
        <f t="shared" si="2867"/>
        <v>20.724812851978086</v>
      </c>
      <c r="CX451" s="215">
        <f t="shared" si="2867"/>
        <v>21.296468469774169</v>
      </c>
      <c r="CY451" s="215">
        <f t="shared" si="2867"/>
        <v>4.0276837645164658</v>
      </c>
      <c r="CZ451" s="190"/>
      <c r="DA451" s="66">
        <v>2011</v>
      </c>
      <c r="DB451" s="218">
        <f t="shared" si="2802"/>
        <v>14403.37427638153</v>
      </c>
      <c r="DC451" s="218">
        <f t="shared" si="2803"/>
        <v>106911.14478485816</v>
      </c>
      <c r="DD451" s="73">
        <f t="shared" si="2804"/>
        <v>43428.520177740495</v>
      </c>
      <c r="DE451" s="73">
        <f t="shared" si="2805"/>
        <v>25838.685708704936</v>
      </c>
      <c r="DF451" s="73">
        <f t="shared" si="2806"/>
        <v>11294.967682465165</v>
      </c>
      <c r="DG451" s="73">
        <f t="shared" si="2807"/>
        <v>31042.820993579047</v>
      </c>
      <c r="DH451" s="72">
        <f t="shared" si="2817"/>
        <v>0.5831574870906947</v>
      </c>
      <c r="DI451" s="72">
        <f t="shared" si="2818"/>
        <v>0.69582934478644753</v>
      </c>
      <c r="DJ451" s="73">
        <f>SUM(AV444:AV451,BB444:BB451,BI444:BI451)</f>
        <v>69298.895215141834</v>
      </c>
      <c r="DK451" s="218">
        <f>SUM(AV450:AV451,BB450:BB451,BI450:BI451)</f>
        <v>15280.818866908947</v>
      </c>
      <c r="DL451" s="190"/>
    </row>
    <row r="452" spans="22:116" x14ac:dyDescent="0.25">
      <c r="V452" s="63"/>
      <c r="W452" s="18"/>
      <c r="X452" s="18"/>
      <c r="Y452" s="196"/>
      <c r="Z452" s="196"/>
      <c r="AA452" s="196"/>
      <c r="AB452" s="196"/>
      <c r="AC452" s="196"/>
      <c r="AD452" s="196"/>
      <c r="AE452" s="196"/>
      <c r="AF452" s="196"/>
      <c r="AG452" s="196"/>
      <c r="AH452" s="196"/>
      <c r="AI452" s="196"/>
      <c r="AJ452" s="196"/>
      <c r="AK452" s="196"/>
      <c r="AL452" s="196"/>
      <c r="AM452" s="196"/>
      <c r="AN452" s="196"/>
      <c r="AO452" s="196"/>
      <c r="AP452" s="190"/>
      <c r="AQ452" s="66">
        <v>8</v>
      </c>
      <c r="AR452" s="66">
        <v>2012</v>
      </c>
      <c r="AS452" s="215">
        <f t="shared" si="2808"/>
        <v>24406.598276783407</v>
      </c>
      <c r="AT452" s="215">
        <f t="shared" si="2793"/>
        <v>3415.3621920854525</v>
      </c>
      <c r="AU452" s="215">
        <f t="shared" si="2793"/>
        <v>3675.4188670674398</v>
      </c>
      <c r="AV452" s="215">
        <f t="shared" si="2793"/>
        <v>585.90498647225604</v>
      </c>
      <c r="AW452" s="215">
        <f t="shared" si="2793"/>
        <v>9991.9255699909318</v>
      </c>
      <c r="AX452" s="215">
        <f t="shared" si="2793"/>
        <v>5072.1704862731012</v>
      </c>
      <c r="AY452" s="215">
        <f t="shared" si="2793"/>
        <v>15259.913839575045</v>
      </c>
      <c r="AZ452" s="215">
        <f t="shared" si="2793"/>
        <v>4413.744242277352</v>
      </c>
      <c r="BA452" s="215">
        <f t="shared" si="2793"/>
        <v>3702.1670707017684</v>
      </c>
      <c r="BB452" s="215">
        <f t="shared" si="2793"/>
        <v>630.46314387901225</v>
      </c>
      <c r="BC452" s="215">
        <f t="shared" si="2793"/>
        <v>3413.1518110233487</v>
      </c>
      <c r="BD452" s="215">
        <f t="shared" si="2793"/>
        <v>5041.0605094016919</v>
      </c>
      <c r="BE452" s="215">
        <f t="shared" si="2793"/>
        <v>3424.4752576891055</v>
      </c>
      <c r="BF452" s="215">
        <f t="shared" si="2793"/>
        <v>20923.895020052598</v>
      </c>
      <c r="BG452" s="215">
        <f t="shared" si="2793"/>
        <v>3602.555628728695</v>
      </c>
      <c r="BH452" s="215">
        <f t="shared" si="2793"/>
        <v>2120.0894962251637</v>
      </c>
      <c r="BI452" s="215">
        <f t="shared" si="2793"/>
        <v>5820.2883866318052</v>
      </c>
      <c r="BJ452" s="195"/>
      <c r="BK452" s="66">
        <v>8</v>
      </c>
      <c r="BL452" s="66">
        <v>2012</v>
      </c>
      <c r="BM452" s="215">
        <f t="shared" ref="BM452:BO452" si="2868">SUM(BM12,BM34,BM56,BM78,BM100,BM122,BM144,BM166,BM188,BM210,BM232,BM254,BM276,BM298,BM320,BM342,BM364,BM386,BM408,BM430)</f>
        <v>1845.5877697969636</v>
      </c>
      <c r="BN452" s="215">
        <f t="shared" si="2868"/>
        <v>1452.920229888106</v>
      </c>
      <c r="BO452" s="215">
        <f t="shared" si="2868"/>
        <v>319.56620929146811</v>
      </c>
      <c r="BP452" s="215">
        <f t="shared" ref="BP452" si="2869">SUM(BP12,BP34,BP56,BP78,BP100,BP122,BP144,BP166,BP188,BP210,BP232,BP254,BP276,BP298,BP320,BP342,BP364,BP386,BP408,BP430)</f>
        <v>84.092861725230151</v>
      </c>
      <c r="BQ452" s="215">
        <f t="shared" ref="BQ452:BS452" si="2870">SUM(BQ12,BQ34,BQ56,BQ78,BQ100,BQ122,BQ144,BQ166,BQ188,BQ210,BQ232,BQ254,BQ276,BQ298,BQ320,BQ342,BQ364,BQ386,BQ408,BQ430)</f>
        <v>422.15106892237316</v>
      </c>
      <c r="BR452" s="215">
        <f t="shared" si="2870"/>
        <v>475.38886155909012</v>
      </c>
      <c r="BS452" s="215">
        <f t="shared" si="2870"/>
        <v>615.58465329049932</v>
      </c>
      <c r="BT452" s="215">
        <f t="shared" ref="BT452:BW452" si="2871">SUM(BT12,BT34,BT56,BT78,BT100,BT122,BT144,BT166,BT188,BT210,BT232,BT254,BT276,BT298,BT320,BT342,BT364,BT386,BT408,BT430)</f>
        <v>155.31025515042987</v>
      </c>
      <c r="BU452" s="215">
        <f t="shared" si="2871"/>
        <v>254.55170102183808</v>
      </c>
      <c r="BV452" s="215">
        <f t="shared" si="2871"/>
        <v>80.456565301584845</v>
      </c>
      <c r="BW452" s="215">
        <f t="shared" si="2871"/>
        <v>97.289885096903831</v>
      </c>
      <c r="BX452" s="220">
        <f t="shared" si="2823"/>
        <v>19.356505882444146</v>
      </c>
      <c r="BY452" s="195"/>
      <c r="BZ452" s="66">
        <v>8</v>
      </c>
      <c r="CA452" s="66">
        <v>2012</v>
      </c>
      <c r="CB452" s="215">
        <f t="shared" ref="CB452:CM452" si="2872">SUM(CB12,CB34,CB56,CB78,CB100,CB122,CB144,CB166,CB188,CB210,CB232,CB254,CB276,CB298,CB320,CB342,CB364,CB386,CB408,CB430)</f>
        <v>453.89602671087709</v>
      </c>
      <c r="CC452" s="215">
        <f t="shared" si="2872"/>
        <v>61.050879567880287</v>
      </c>
      <c r="CD452" s="215">
        <f t="shared" si="2872"/>
        <v>70.958080193498589</v>
      </c>
      <c r="CE452" s="215">
        <f t="shared" si="2872"/>
        <v>293.74336184387477</v>
      </c>
      <c r="CF452" s="215">
        <f t="shared" si="2872"/>
        <v>140.37930590569405</v>
      </c>
      <c r="CG452" s="215">
        <f t="shared" si="2872"/>
        <v>69.81651615907127</v>
      </c>
      <c r="CH452" s="215">
        <f t="shared" si="2872"/>
        <v>19.138253709614897</v>
      </c>
      <c r="CI452" s="215">
        <f t="shared" ref="CI452:CL452" si="2873">SUM(CI12,CI34,CI56,CI78,CI100,CI122,CI144,CI166,CI188,CI210,CI232,CI254,CI276,CI298,CI320,CI342,CI364,CI386,CI408,CI430)</f>
        <v>55.073302748599936</v>
      </c>
      <c r="CJ452" s="215">
        <f t="shared" si="2873"/>
        <v>42.740157409756634</v>
      </c>
      <c r="CK452" s="215">
        <f t="shared" si="2873"/>
        <v>7.6877589194082727</v>
      </c>
      <c r="CL452" s="215">
        <f t="shared" si="2873"/>
        <v>1.8844871829922603</v>
      </c>
      <c r="CM452" s="215">
        <f t="shared" si="2872"/>
        <v>1505.8868342298567</v>
      </c>
      <c r="CN452" s="215">
        <f t="shared" ref="CN452:CQ452" si="2874">SUM(CN12,CN34,CN56,CN78,CN100,CN122,CN144,CN166,CN188,CN210,CN232,CN254,CN276,CN298,CN320,CN342,CN364,CN386,CN408,CN430)</f>
        <v>2103.4576612612941</v>
      </c>
      <c r="CO452" s="215">
        <f t="shared" si="2874"/>
        <v>549.40131663720319</v>
      </c>
      <c r="CP452" s="215">
        <f t="shared" si="2874"/>
        <v>493.48636798043327</v>
      </c>
      <c r="CQ452" s="215">
        <f t="shared" si="2874"/>
        <v>278.95880657602737</v>
      </c>
      <c r="CR452" s="215">
        <f t="shared" ref="CR452:CY452" si="2875">SUM(CR12,CR34,CR56,CR78,CR100,CR122,CR144,CR166,CR188,CR210,CR232,CR254,CR276,CR298,CR320,CR342,CR364,CR386,CR408,CR430)</f>
        <v>192.18684810453851</v>
      </c>
      <c r="CS452" s="215">
        <f t="shared" si="2875"/>
        <v>203.54665264031448</v>
      </c>
      <c r="CT452" s="215">
        <f t="shared" si="2875"/>
        <v>268.0220439592851</v>
      </c>
      <c r="CU452" s="215">
        <f t="shared" si="2875"/>
        <v>71.263624098731071</v>
      </c>
      <c r="CV452" s="215">
        <f t="shared" si="2875"/>
        <v>90.672502379799099</v>
      </c>
      <c r="CW452" s="215">
        <f t="shared" si="2875"/>
        <v>27.000179849388299</v>
      </c>
      <c r="CX452" s="215">
        <f t="shared" si="2875"/>
        <v>30.482707943051668</v>
      </c>
      <c r="CY452" s="215">
        <f t="shared" si="2875"/>
        <v>5.9228409718817572</v>
      </c>
      <c r="CZ452" s="190"/>
      <c r="DA452" s="66">
        <v>2012</v>
      </c>
      <c r="DB452" s="218">
        <f t="shared" si="2802"/>
        <v>13528.593187760245</v>
      </c>
      <c r="DC452" s="218">
        <f t="shared" si="2803"/>
        <v>108462.52826787508</v>
      </c>
      <c r="DD452" s="73">
        <f t="shared" si="2804"/>
        <v>47624.583988322796</v>
      </c>
      <c r="DE452" s="73">
        <f t="shared" si="2805"/>
        <v>27950.925906470398</v>
      </c>
      <c r="DF452" s="73">
        <f t="shared" si="2806"/>
        <v>10574.301816650204</v>
      </c>
      <c r="DG452" s="73">
        <f t="shared" si="2807"/>
        <v>29340.564943616006</v>
      </c>
      <c r="DH452" s="72">
        <f t="shared" si="2817"/>
        <v>0.61878115808543133</v>
      </c>
      <c r="DI452" s="72">
        <f t="shared" si="2818"/>
        <v>0.7255226654947422</v>
      </c>
      <c r="DJ452" s="73">
        <f>SUM(AV444:AV452,BB444:BB452,BI444:BI452)</f>
        <v>76335.551732124906</v>
      </c>
      <c r="DK452" s="73">
        <f>SUM(AV450:AV452,BB450:BB452,BI450:BI452)</f>
        <v>22317.475383892019</v>
      </c>
      <c r="DL452" s="190"/>
    </row>
    <row r="453" spans="22:116" x14ac:dyDescent="0.25">
      <c r="V453" s="63"/>
      <c r="W453" s="18"/>
      <c r="X453" s="18"/>
      <c r="Y453" s="196"/>
      <c r="Z453" s="196"/>
      <c r="AA453" s="196"/>
      <c r="AB453" s="196"/>
      <c r="AC453" s="196"/>
      <c r="AD453" s="196"/>
      <c r="AE453" s="196"/>
      <c r="AF453" s="196"/>
      <c r="AG453" s="196"/>
      <c r="AH453" s="196"/>
      <c r="AI453" s="196"/>
      <c r="AJ453" s="196"/>
      <c r="AK453" s="196"/>
      <c r="AL453" s="196"/>
      <c r="AM453" s="196"/>
      <c r="AN453" s="196"/>
      <c r="AO453" s="196"/>
      <c r="AP453" s="190"/>
      <c r="AQ453" s="66">
        <v>9</v>
      </c>
      <c r="AR453" s="66">
        <v>2013</v>
      </c>
      <c r="AS453" s="215">
        <f t="shared" si="2808"/>
        <v>24055.967816971341</v>
      </c>
      <c r="AT453" s="215">
        <f t="shared" si="2793"/>
        <v>3303.1701285426857</v>
      </c>
      <c r="AU453" s="215">
        <f t="shared" si="2793"/>
        <v>3438.7320236770211</v>
      </c>
      <c r="AV453" s="215">
        <f t="shared" si="2793"/>
        <v>568.9493736025413</v>
      </c>
      <c r="AW453" s="215">
        <f t="shared" si="2793"/>
        <v>9624.5363786477628</v>
      </c>
      <c r="AX453" s="215">
        <f t="shared" si="2793"/>
        <v>4865.2353821274946</v>
      </c>
      <c r="AY453" s="215">
        <f>SUM(AY13,AY35,AY57,AY79,AY101,AY123,AY145,AY167,AY189,AY211,AY233,AY255,AY277,AY299,AY321,AY343,AY365,AY387,AY409,AY431)</f>
        <v>16693.22384370803</v>
      </c>
      <c r="AZ453" s="215">
        <f t="shared" si="2793"/>
        <v>5095.7766578989058</v>
      </c>
      <c r="BA453" s="215">
        <f t="shared" si="2793"/>
        <v>3418.7937750111523</v>
      </c>
      <c r="BB453" s="215">
        <f t="shared" si="2793"/>
        <v>614.12936615091905</v>
      </c>
      <c r="BC453" s="215">
        <f t="shared" si="2793"/>
        <v>3233.2813473185138</v>
      </c>
      <c r="BD453" s="215">
        <f t="shared" si="2793"/>
        <v>4728.6648196601827</v>
      </c>
      <c r="BE453" s="215">
        <f t="shared" si="2793"/>
        <v>3259.480146654374</v>
      </c>
      <c r="BF453" s="215">
        <f t="shared" si="2793"/>
        <v>22328.669975499015</v>
      </c>
      <c r="BG453" s="215">
        <f t="shared" si="2793"/>
        <v>4296.9157271310669</v>
      </c>
      <c r="BH453" s="215">
        <f t="shared" si="2793"/>
        <v>1927.3530160661037</v>
      </c>
      <c r="BI453" s="215">
        <f t="shared" si="2793"/>
        <v>5597.6884892079879</v>
      </c>
      <c r="BJ453" s="195"/>
      <c r="BK453" s="66">
        <v>9</v>
      </c>
      <c r="BL453" s="66">
        <v>2013</v>
      </c>
      <c r="BM453" s="215">
        <f t="shared" ref="BM453:BO453" si="2876">SUM(BM13,BM35,BM57,BM79,BM101,BM123,BM145,BM167,BM189,BM211,BM233,BM255,BM277,BM299,BM321,BM343,BM365,BM387,BM409,BM431)</f>
        <v>1660.9802059528956</v>
      </c>
      <c r="BN453" s="215">
        <f t="shared" si="2876"/>
        <v>1313.9684338255367</v>
      </c>
      <c r="BO453" s="215">
        <f t="shared" si="2876"/>
        <v>346.8461232630915</v>
      </c>
      <c r="BP453" s="215">
        <f t="shared" ref="BP453" si="2877">SUM(BP13,BP35,BP57,BP79,BP101,BP123,BP145,BP167,BP189,BP211,BP233,BP255,BP277,BP299,BP321,BP343,BP365,BP387,BP409,BP431)</f>
        <v>96.999011969628825</v>
      </c>
      <c r="BQ453" s="215">
        <f t="shared" ref="BQ453:BS453" si="2878">SUM(BQ13,BQ35,BQ57,BQ79,BQ101,BQ123,BQ145,BQ167,BQ189,BQ211,BQ233,BQ255,BQ277,BQ299,BQ321,BQ343,BQ365,BQ387,BQ409,BQ431)</f>
        <v>357.68986567706094</v>
      </c>
      <c r="BR453" s="215">
        <f t="shared" si="2878"/>
        <v>418.22935412724979</v>
      </c>
      <c r="BS453" s="215">
        <f t="shared" si="2878"/>
        <v>532.96032907695349</v>
      </c>
      <c r="BT453" s="215">
        <f t="shared" ref="BT453:BW453" si="2879">SUM(BT13,BT35,BT57,BT79,BT101,BT123,BT145,BT167,BT189,BT211,BT233,BT255,BT277,BT299,BT321,BT343,BT365,BT387,BT409,BT431)</f>
        <v>131.10724718244046</v>
      </c>
      <c r="BU453" s="215">
        <f t="shared" si="2879"/>
        <v>262.86068410115189</v>
      </c>
      <c r="BV453" s="215">
        <f t="shared" si="2879"/>
        <v>88.491370800355625</v>
      </c>
      <c r="BW453" s="215">
        <f t="shared" si="2879"/>
        <v>112.99132045214803</v>
      </c>
      <c r="BX453" s="220">
        <f t="shared" ref="BX453:BX463" si="2880">(BP452*pInt_LTFU_AIDS_LTFU_2013plus_u)+(BX452*pAIDS_LTFU_2013plus_u)</f>
        <v>23.022844648743408</v>
      </c>
      <c r="BY453" s="195"/>
      <c r="BZ453" s="66">
        <v>9</v>
      </c>
      <c r="CA453" s="66">
        <v>2013</v>
      </c>
      <c r="CB453" s="215">
        <f t="shared" ref="CB453:CM453" si="2881">SUM(CB13,CB35,CB57,CB79,CB101,CB123,CB145,CB167,CB189,CB211,CB233,CB255,CB277,CB299,CB321,CB343,CB365,CB387,CB409,CB431)</f>
        <v>443.83507363488883</v>
      </c>
      <c r="CC453" s="215">
        <f t="shared" si="2881"/>
        <v>58.276644633452051</v>
      </c>
      <c r="CD453" s="215">
        <f t="shared" si="2881"/>
        <v>66.837655334200321</v>
      </c>
      <c r="CE453" s="215">
        <f t="shared" si="2881"/>
        <v>278.66018957063204</v>
      </c>
      <c r="CF453" s="215">
        <f t="shared" si="2881"/>
        <v>132.72813335947259</v>
      </c>
      <c r="CG453" s="215">
        <f t="shared" si="2881"/>
        <v>77.171966922426918</v>
      </c>
      <c r="CH453" s="215">
        <f t="shared" si="2881"/>
        <v>22.321051629120173</v>
      </c>
      <c r="CI453" s="215">
        <f t="shared" ref="CI453:CL453" si="2882">SUM(CI13,CI35,CI57,CI79,CI101,CI123,CI145,CI167,CI189,CI211,CI233,CI255,CI277,CI299,CI321,CI343,CI365,CI387,CI409,CI431)</f>
        <v>51.470743471653847</v>
      </c>
      <c r="CJ453" s="215">
        <f t="shared" si="2882"/>
        <v>40.519820114311891</v>
      </c>
      <c r="CK453" s="215">
        <f t="shared" si="2882"/>
        <v>8.9122341672536685</v>
      </c>
      <c r="CL453" s="215">
        <f t="shared" si="2882"/>
        <v>2.3452269160478583</v>
      </c>
      <c r="CM453" s="215">
        <f t="shared" si="2881"/>
        <v>1401.1491224901522</v>
      </c>
      <c r="CN453" s="215">
        <f t="shared" ref="CN453:CQ453" si="2883">SUM(CN13,CN35,CN57,CN79,CN101,CN123,CN145,CN167,CN189,CN211,CN233,CN255,CN277,CN299,CN321,CN343,CN365,CN387,CN409,CN431)</f>
        <v>1941.7533823079323</v>
      </c>
      <c r="CO453" s="215">
        <f t="shared" si="2883"/>
        <v>506.15426910182197</v>
      </c>
      <c r="CP453" s="215">
        <f t="shared" si="2883"/>
        <v>538.89902748731265</v>
      </c>
      <c r="CQ453" s="215">
        <f t="shared" si="2883"/>
        <v>339.40470309927349</v>
      </c>
      <c r="CR453" s="215">
        <f t="shared" ref="CR453:CY453" si="2884">SUM(CR13,CR35,CR57,CR79,CR101,CR123,CR145,CR167,CR189,CR211,CR233,CR255,CR277,CR299,CR321,CR343,CR365,CR387,CR409,CR431)</f>
        <v>173.29923558293686</v>
      </c>
      <c r="CS453" s="215">
        <f t="shared" si="2884"/>
        <v>195.1541340950202</v>
      </c>
      <c r="CT453" s="215">
        <f t="shared" si="2884"/>
        <v>252.70657284880059</v>
      </c>
      <c r="CU453" s="215">
        <f t="shared" si="2884"/>
        <v>63.757148748827731</v>
      </c>
      <c r="CV453" s="215">
        <f t="shared" si="2884"/>
        <v>104.49722492952544</v>
      </c>
      <c r="CW453" s="215">
        <f t="shared" si="2884"/>
        <v>33.028605849526343</v>
      </c>
      <c r="CX453" s="215">
        <f t="shared" si="2884"/>
        <v>39.938931720069917</v>
      </c>
      <c r="CY453" s="215">
        <f t="shared" si="2884"/>
        <v>7.9461309467891548</v>
      </c>
      <c r="CZ453" s="190"/>
      <c r="DA453" s="66">
        <v>2013</v>
      </c>
      <c r="DB453" s="218">
        <f t="shared" si="2802"/>
        <v>12897.070330330364</v>
      </c>
      <c r="DC453" s="218">
        <f t="shared" si="2803"/>
        <v>110269.80103891366</v>
      </c>
      <c r="DD453" s="73">
        <f t="shared" si="2804"/>
        <v>51674.0663508914</v>
      </c>
      <c r="DE453" s="73">
        <f t="shared" si="2805"/>
        <v>29885.06584928446</v>
      </c>
      <c r="DF453" s="73">
        <f t="shared" si="2806"/>
        <v>9889.2991830447991</v>
      </c>
      <c r="DG453" s="73">
        <f t="shared" si="2807"/>
        <v>27797.86471883121</v>
      </c>
      <c r="DH453" s="72">
        <f t="shared" si="2817"/>
        <v>0.6502178272924628</v>
      </c>
      <c r="DI453" s="72">
        <f t="shared" si="2818"/>
        <v>0.75136500167867881</v>
      </c>
      <c r="DJ453" s="73">
        <f>SUM(AV444:AV453,BB444:BB453,BI444:BI453)</f>
        <v>83116.318961086348</v>
      </c>
      <c r="DK453" s="73">
        <f>SUM(AV450:AV453,BB450:BB453,BI450:BI453)</f>
        <v>29098.242612853464</v>
      </c>
      <c r="DL453" s="190"/>
    </row>
    <row r="454" spans="22:116" x14ac:dyDescent="0.25">
      <c r="V454" s="63"/>
      <c r="W454" s="18"/>
      <c r="X454" s="18"/>
      <c r="Y454" s="196"/>
      <c r="Z454" s="196"/>
      <c r="AA454" s="196"/>
      <c r="AB454" s="196"/>
      <c r="AC454" s="196"/>
      <c r="AD454" s="196"/>
      <c r="AE454" s="196"/>
      <c r="AF454" s="196"/>
      <c r="AG454" s="196"/>
      <c r="AH454" s="196"/>
      <c r="AI454" s="196"/>
      <c r="AJ454" s="196"/>
      <c r="AK454" s="196"/>
      <c r="AL454" s="196"/>
      <c r="AM454" s="196"/>
      <c r="AN454" s="196"/>
      <c r="AO454" s="196"/>
      <c r="AP454" s="190"/>
      <c r="AQ454" s="66">
        <v>10</v>
      </c>
      <c r="AR454" s="66">
        <v>2014</v>
      </c>
      <c r="AS454" s="215">
        <f t="shared" si="2808"/>
        <v>23833.752226691249</v>
      </c>
      <c r="AT454" s="215">
        <f t="shared" si="2793"/>
        <v>3228.0578445187489</v>
      </c>
      <c r="AU454" s="215">
        <f t="shared" si="2793"/>
        <v>3250.3436939997864</v>
      </c>
      <c r="AV454" s="215">
        <f t="shared" si="2793"/>
        <v>556.35463868204602</v>
      </c>
      <c r="AW454" s="215">
        <f t="shared" si="2793"/>
        <v>9380.0088118015756</v>
      </c>
      <c r="AX454" s="215">
        <f t="shared" si="2793"/>
        <v>4723.9026595016039</v>
      </c>
      <c r="AY454" s="215">
        <f t="shared" si="2793"/>
        <v>17978.535183536034</v>
      </c>
      <c r="AZ454" s="215">
        <f t="shared" si="2793"/>
        <v>5728.3090411959256</v>
      </c>
      <c r="BA454" s="215">
        <f t="shared" si="2793"/>
        <v>3251.2181357586192</v>
      </c>
      <c r="BB454" s="215">
        <f t="shared" si="2793"/>
        <v>601.2631363318726</v>
      </c>
      <c r="BC454" s="215">
        <f t="shared" si="2793"/>
        <v>3110.6431882597944</v>
      </c>
      <c r="BD454" s="215">
        <f t="shared" si="2793"/>
        <v>4507.5353229543462</v>
      </c>
      <c r="BE454" s="215">
        <f t="shared" si="2793"/>
        <v>3055.6661842972071</v>
      </c>
      <c r="BF454" s="215">
        <f t="shared" si="2793"/>
        <v>23503.742023551113</v>
      </c>
      <c r="BG454" s="215">
        <f t="shared" si="2793"/>
        <v>4905.0060658206894</v>
      </c>
      <c r="BH454" s="215">
        <f t="shared" si="2793"/>
        <v>1841.8955810111863</v>
      </c>
      <c r="BI454" s="215">
        <f t="shared" si="2793"/>
        <v>5401.6073010018599</v>
      </c>
      <c r="BJ454" s="195"/>
      <c r="BK454" s="66">
        <v>10</v>
      </c>
      <c r="BL454" s="66">
        <v>2014</v>
      </c>
      <c r="BM454" s="215">
        <f t="shared" ref="BM454:BO454" si="2885">SUM(BM14,BM36,BM58,BM80,BM102,BM124,BM146,BM168,BM190,BM212,BM234,BM256,BM278,BM300,BM322,BM344,BM366,BM388,BM410,BM432)</f>
        <v>1549.662694762826</v>
      </c>
      <c r="BN454" s="215">
        <f t="shared" si="2885"/>
        <v>1211.2687254796249</v>
      </c>
      <c r="BO454" s="215">
        <f t="shared" si="2885"/>
        <v>378.33413246775854</v>
      </c>
      <c r="BP454" s="215">
        <f t="shared" ref="BP454" si="2886">SUM(BP14,BP36,BP58,BP80,BP102,BP124,BP146,BP168,BP190,BP212,BP234,BP256,BP278,BP300,BP322,BP344,BP366,BP388,BP410,BP432)</f>
        <v>111.95258304841013</v>
      </c>
      <c r="BQ454" s="215">
        <f t="shared" ref="BQ454:BS454" si="2887">SUM(BQ14,BQ36,BQ58,BQ80,BQ102,BQ124,BQ146,BQ168,BQ190,BQ212,BQ234,BQ256,BQ278,BQ300,BQ322,BQ344,BQ366,BQ388,BQ410,BQ432)</f>
        <v>329.96691761631325</v>
      </c>
      <c r="BR454" s="215">
        <f t="shared" si="2887"/>
        <v>376.53469162185382</v>
      </c>
      <c r="BS454" s="215">
        <f t="shared" si="2887"/>
        <v>476.59622298350911</v>
      </c>
      <c r="BT454" s="215">
        <f t="shared" ref="BT454:BW454" si="2888">SUM(BT14,BT36,BT58,BT80,BT102,BT124,BT146,BT168,BT190,BT212,BT234,BT256,BT278,BT300,BT322,BT344,BT366,BT388,BT410,BT432)</f>
        <v>122.36452780961335</v>
      </c>
      <c r="BU454" s="215">
        <f t="shared" si="2888"/>
        <v>279.23446935047355</v>
      </c>
      <c r="BV454" s="215">
        <f t="shared" si="2888"/>
        <v>96.214732342981634</v>
      </c>
      <c r="BW454" s="215">
        <f t="shared" si="2888"/>
        <v>134.32682279929617</v>
      </c>
      <c r="BX454" s="220">
        <f t="shared" si="2880"/>
        <v>26.657196487145431</v>
      </c>
      <c r="BY454" s="195"/>
      <c r="BZ454" s="66">
        <v>10</v>
      </c>
      <c r="CA454" s="66">
        <v>2014</v>
      </c>
      <c r="CB454" s="215">
        <f t="shared" ref="CB454:CM454" si="2889">SUM(CB14,CB36,CB58,CB80,CB102,CB124,CB146,CB168,CB190,CB212,CB234,CB256,CB278,CB300,CB322,CB344,CB366,CB388,CB410,CB432)</f>
        <v>437.45884315063665</v>
      </c>
      <c r="CC454" s="215">
        <f t="shared" si="2889"/>
        <v>56.362300956249484</v>
      </c>
      <c r="CD454" s="215">
        <f t="shared" si="2889"/>
        <v>62.53349457515985</v>
      </c>
      <c r="CE454" s="215">
        <f t="shared" si="2889"/>
        <v>268.41424238169776</v>
      </c>
      <c r="CF454" s="215">
        <f t="shared" si="2889"/>
        <v>127.31307284955355</v>
      </c>
      <c r="CG454" s="215">
        <f t="shared" si="2889"/>
        <v>84.420458191209505</v>
      </c>
      <c r="CH454" s="215">
        <f t="shared" si="2889"/>
        <v>25.770204984224261</v>
      </c>
      <c r="CI454" s="215">
        <f t="shared" ref="CI454:CL454" si="2890">SUM(CI14,CI36,CI58,CI80,CI102,CI124,CI146,CI168,CI190,CI212,CI234,CI256,CI278,CI300,CI322,CI344,CI366,CI388,CI410,CI432)</f>
        <v>46.322308530198683</v>
      </c>
      <c r="CJ454" s="215">
        <f t="shared" si="2890"/>
        <v>36.64465775839269</v>
      </c>
      <c r="CK454" s="215">
        <f t="shared" si="2890"/>
        <v>9.6730310672660043</v>
      </c>
      <c r="CL454" s="215">
        <f t="shared" si="2890"/>
        <v>2.7051605693301126</v>
      </c>
      <c r="CM454" s="215">
        <f t="shared" si="2889"/>
        <v>1327.3096461539492</v>
      </c>
      <c r="CN454" s="215">
        <f t="shared" ref="CN454:CQ454" si="2891">SUM(CN14,CN36,CN58,CN80,CN102,CN124,CN146,CN168,CN190,CN212,CN234,CN256,CN278,CN300,CN322,CN344,CN366,CN388,CN410,CN432)</f>
        <v>1821.4224745470194</v>
      </c>
      <c r="CO454" s="215">
        <f t="shared" si="2891"/>
        <v>481.76718099433941</v>
      </c>
      <c r="CP454" s="215">
        <f t="shared" si="2891"/>
        <v>575.0792824830055</v>
      </c>
      <c r="CQ454" s="215">
        <f t="shared" si="2891"/>
        <v>404.8218978159598</v>
      </c>
      <c r="CR454" s="215">
        <f t="shared" ref="CR454:CY454" si="2892">SUM(CR14,CR36,CR58,CR80,CR102,CR124,CR146,CR168,CR190,CR212,CR234,CR256,CR278,CR300,CR322,CR344,CR366,CR388,CR410,CR432)</f>
        <v>146.8369616020006</v>
      </c>
      <c r="CS454" s="215">
        <f t="shared" si="2892"/>
        <v>171.68931386011835</v>
      </c>
      <c r="CT454" s="215">
        <f t="shared" si="2892"/>
        <v>218.78807001682691</v>
      </c>
      <c r="CU454" s="215">
        <f t="shared" si="2892"/>
        <v>53.821457266706744</v>
      </c>
      <c r="CV454" s="215">
        <f t="shared" si="2892"/>
        <v>107.90818494389278</v>
      </c>
      <c r="CW454" s="215">
        <f t="shared" si="2892"/>
        <v>36.327011926168538</v>
      </c>
      <c r="CX454" s="215">
        <f t="shared" si="2892"/>
        <v>46.384602345907126</v>
      </c>
      <c r="CY454" s="215">
        <f t="shared" si="2892"/>
        <v>9.4512170459660965</v>
      </c>
      <c r="CZ454" s="190"/>
      <c r="DA454" s="66">
        <v>2014</v>
      </c>
      <c r="DB454" s="218">
        <f t="shared" si="2802"/>
        <v>12459.4958269747</v>
      </c>
      <c r="DC454" s="218">
        <f t="shared" si="2803"/>
        <v>112298.61596289788</v>
      </c>
      <c r="DD454" s="73">
        <f t="shared" si="2804"/>
        <v>55171.258498400974</v>
      </c>
      <c r="DE454" s="73">
        <f t="shared" si="2805"/>
        <v>31464.414273669008</v>
      </c>
      <c r="DF454" s="73">
        <f t="shared" si="2806"/>
        <v>9460.0740922253262</v>
      </c>
      <c r="DG454" s="73">
        <f t="shared" si="2807"/>
        <v>26815.203699287125</v>
      </c>
      <c r="DH454" s="72">
        <f t="shared" si="2817"/>
        <v>0.67293132328811134</v>
      </c>
      <c r="DI454" s="72">
        <f t="shared" si="2818"/>
        <v>0.768840748657736</v>
      </c>
      <c r="DJ454" s="73">
        <f>SUM(AV444:AV454,BB444:BB454,BI444:BI454)</f>
        <v>89675.544037102125</v>
      </c>
      <c r="DK454" s="73">
        <f>SUM(AV450:AV454,BB450:BB454,BI450:BI454)</f>
        <v>35657.467688869241</v>
      </c>
      <c r="DL454" s="190"/>
    </row>
    <row r="455" spans="22:116" x14ac:dyDescent="0.25">
      <c r="V455" s="63"/>
      <c r="W455" s="18"/>
      <c r="X455" s="18"/>
      <c r="Y455" s="196"/>
      <c r="Z455" s="196"/>
      <c r="AA455" s="196"/>
      <c r="AB455" s="196"/>
      <c r="AC455" s="196"/>
      <c r="AD455" s="196"/>
      <c r="AE455" s="196"/>
      <c r="AF455" s="196"/>
      <c r="AG455" s="196"/>
      <c r="AH455" s="196"/>
      <c r="AI455" s="196"/>
      <c r="AJ455" s="196"/>
      <c r="AK455" s="196"/>
      <c r="AL455" s="196"/>
      <c r="AM455" s="196"/>
      <c r="AN455" s="196"/>
      <c r="AO455" s="196"/>
      <c r="AP455" s="190"/>
      <c r="AQ455" s="66">
        <v>11</v>
      </c>
      <c r="AR455" s="66">
        <v>2015</v>
      </c>
      <c r="AS455" s="215">
        <f t="shared" si="2808"/>
        <v>23692.920855138429</v>
      </c>
      <c r="AT455" s="215">
        <f t="shared" si="2793"/>
        <v>3178.6979779008602</v>
      </c>
      <c r="AU455" s="215">
        <f t="shared" si="2793"/>
        <v>3104.7501720619771</v>
      </c>
      <c r="AV455" s="215">
        <f t="shared" si="2793"/>
        <v>547.60614023145263</v>
      </c>
      <c r="AW455" s="215">
        <f t="shared" si="2793"/>
        <v>9219.487242575553</v>
      </c>
      <c r="AX455" s="215">
        <f t="shared" si="2793"/>
        <v>4629.5861833289246</v>
      </c>
      <c r="AY455" s="215">
        <f t="shared" si="2793"/>
        <v>19154.897929417904</v>
      </c>
      <c r="AZ455" s="215">
        <f t="shared" si="2793"/>
        <v>6330.9042602031959</v>
      </c>
      <c r="BA455" s="215">
        <f t="shared" si="2793"/>
        <v>3148.5702553017991</v>
      </c>
      <c r="BB455" s="215">
        <f t="shared" si="2793"/>
        <v>595.77065808831219</v>
      </c>
      <c r="BC455" s="215">
        <f t="shared" si="2793"/>
        <v>3028.8158355082246</v>
      </c>
      <c r="BD455" s="215">
        <f t="shared" si="2793"/>
        <v>4356.281069896404</v>
      </c>
      <c r="BE455" s="215">
        <f t="shared" si="2793"/>
        <v>2922.9069588467314</v>
      </c>
      <c r="BF455" s="215">
        <f t="shared" si="2793"/>
        <v>24432.684502029242</v>
      </c>
      <c r="BG455" s="215">
        <f t="shared" si="2793"/>
        <v>5455.2154841913471</v>
      </c>
      <c r="BH455" s="215">
        <f t="shared" si="2793"/>
        <v>1799.1267216104711</v>
      </c>
      <c r="BI455" s="215">
        <f t="shared" si="2793"/>
        <v>5288.4337165670495</v>
      </c>
      <c r="BJ455" s="195"/>
      <c r="BK455" s="66">
        <v>11</v>
      </c>
      <c r="BL455" s="66">
        <v>2015</v>
      </c>
      <c r="BM455" s="215">
        <f t="shared" ref="BM455:BO455" si="2893">SUM(BM15,BM37,BM59,BM81,BM103,BM125,BM147,BM169,BM191,BM213,BM235,BM257,BM279,BM301,BM323,BM345,BM367,BM389,BM411,BM433)</f>
        <v>1479.5181261809989</v>
      </c>
      <c r="BN455" s="215">
        <f t="shared" si="2893"/>
        <v>1132.6725806302884</v>
      </c>
      <c r="BO455" s="215">
        <f t="shared" si="2893"/>
        <v>409.36972774833407</v>
      </c>
      <c r="BP455" s="215">
        <f t="shared" ref="BP455" si="2894">SUM(BP15,BP37,BP59,BP81,BP103,BP125,BP147,BP169,BP191,BP213,BP235,BP257,BP279,BP301,BP323,BP345,BP367,BP389,BP411,BP433)</f>
        <v>127.00982074217758</v>
      </c>
      <c r="BQ455" s="215">
        <f t="shared" ref="BQ455:BS455" si="2895">SUM(BQ15,BQ37,BQ59,BQ81,BQ103,BQ125,BQ147,BQ169,BQ191,BQ213,BQ235,BQ257,BQ279,BQ301,BQ323,BQ345,BQ367,BQ389,BQ411,BQ433)</f>
        <v>312.94110093016093</v>
      </c>
      <c r="BR455" s="215">
        <f t="shared" si="2895"/>
        <v>345.79813861375982</v>
      </c>
      <c r="BS455" s="215">
        <f t="shared" si="2895"/>
        <v>441.65977594145517</v>
      </c>
      <c r="BT455" s="215">
        <f t="shared" ref="BT455:BW455" si="2896">SUM(BT15,BT37,BT59,BT81,BT103,BT125,BT147,BT169,BT191,BT213,BT235,BT257,BT279,BT301,BT323,BT345,BT367,BT389,BT411,BT433)</f>
        <v>114.63410509515874</v>
      </c>
      <c r="BU455" s="215">
        <f t="shared" si="2896"/>
        <v>294.29808595941739</v>
      </c>
      <c r="BV455" s="215">
        <f t="shared" si="2896"/>
        <v>104.90446284175742</v>
      </c>
      <c r="BW455" s="215">
        <f t="shared" si="2896"/>
        <v>154.11197941318329</v>
      </c>
      <c r="BX455" s="220">
        <f t="shared" si="2880"/>
        <v>30.779072815578399</v>
      </c>
      <c r="BY455" s="195"/>
      <c r="BZ455" s="66">
        <v>11</v>
      </c>
      <c r="CA455" s="66">
        <v>2015</v>
      </c>
      <c r="CB455" s="215">
        <f t="shared" ref="CB455:CM455" si="2897">SUM(CB15,CB37,CB59,CB81,CB103,CB125,CB147,CB169,CB191,CB213,CB235,CB257,CB279,CB301,CB323,CB345,CB367,CB389,CB411,CB433)</f>
        <v>433.41784277212003</v>
      </c>
      <c r="CC455" s="215">
        <f t="shared" si="2897"/>
        <v>55.080653026254367</v>
      </c>
      <c r="CD455" s="215">
        <f t="shared" si="2897"/>
        <v>59.107644433078157</v>
      </c>
      <c r="CE455" s="215">
        <f t="shared" si="2897"/>
        <v>261.59472619782514</v>
      </c>
      <c r="CF455" s="215">
        <f t="shared" si="2897"/>
        <v>123.61468997628187</v>
      </c>
      <c r="CG455" s="215">
        <f t="shared" si="2897"/>
        <v>90.920495166843509</v>
      </c>
      <c r="CH455" s="215">
        <f t="shared" si="2897"/>
        <v>28.969028298322396</v>
      </c>
      <c r="CI455" s="215">
        <f t="shared" ref="CI455:CL455" si="2898">SUM(CI15,CI37,CI59,CI81,CI103,CI125,CI147,CI169,CI191,CI213,CI235,CI257,CI279,CI301,CI323,CI345,CI367,CI389,CI411,CI433)</f>
        <v>43.217825960400695</v>
      </c>
      <c r="CJ455" s="215">
        <f t="shared" si="2898"/>
        <v>33.780513105186827</v>
      </c>
      <c r="CK455" s="215">
        <f t="shared" si="2898"/>
        <v>10.551185588405247</v>
      </c>
      <c r="CL455" s="215">
        <f t="shared" si="2898"/>
        <v>3.1221937950464742</v>
      </c>
      <c r="CM455" s="215">
        <f t="shared" si="2897"/>
        <v>1276.9648743820155</v>
      </c>
      <c r="CN455" s="215">
        <f t="shared" ref="CN455:CQ455" si="2899">SUM(CN15,CN37,CN59,CN81,CN103,CN125,CN147,CN169,CN191,CN213,CN235,CN257,CN279,CN301,CN323,CN345,CN367,CN389,CN411,CN433)</f>
        <v>1736.246161476425</v>
      </c>
      <c r="CO455" s="215">
        <f t="shared" si="2899"/>
        <v>451.64247592660496</v>
      </c>
      <c r="CP455" s="215">
        <f t="shared" si="2899"/>
        <v>605.34349396542405</v>
      </c>
      <c r="CQ455" s="215">
        <f t="shared" si="2899"/>
        <v>462.11142839659385</v>
      </c>
      <c r="CR455" s="215">
        <f t="shared" ref="CR455:CY455" si="2900">SUM(CR15,CR37,CR59,CR81,CR103,CR125,CR147,CR169,CR191,CR213,CR235,CR257,CR279,CR301,CR323,CR345,CR367,CR389,CR411,CR433)</f>
        <v>135.45628283385923</v>
      </c>
      <c r="CS455" s="215">
        <f t="shared" si="2900"/>
        <v>154.57304039309003</v>
      </c>
      <c r="CT455" s="215">
        <f t="shared" si="2900"/>
        <v>195.64977375420244</v>
      </c>
      <c r="CU455" s="215">
        <f t="shared" si="2900"/>
        <v>50.232442111315365</v>
      </c>
      <c r="CV455" s="215">
        <f t="shared" si="2900"/>
        <v>114.62986511054513</v>
      </c>
      <c r="CW455" s="215">
        <f t="shared" si="2900"/>
        <v>39.497565668657963</v>
      </c>
      <c r="CX455" s="215">
        <f t="shared" si="2900"/>
        <v>55.143140508506498</v>
      </c>
      <c r="CY455" s="215">
        <f t="shared" si="2900"/>
        <v>10.943172039808186</v>
      </c>
      <c r="CZ455" s="190"/>
      <c r="DA455" s="66">
        <v>2015</v>
      </c>
      <c r="DB455" s="218">
        <f t="shared" si="2802"/>
        <v>12164.565231126189</v>
      </c>
      <c r="DC455" s="218">
        <f t="shared" si="2803"/>
        <v>114454.84544801107</v>
      </c>
      <c r="DD455" s="73">
        <f t="shared" si="2804"/>
        <v>58296.60913468842</v>
      </c>
      <c r="DE455" s="73">
        <f t="shared" si="2805"/>
        <v>32810.806945067321</v>
      </c>
      <c r="DF455" s="73">
        <f t="shared" si="2806"/>
        <v>9184.2236270151006</v>
      </c>
      <c r="DG455" s="73">
        <f t="shared" si="2807"/>
        <v>26181.867308221375</v>
      </c>
      <c r="DH455" s="72">
        <f t="shared" si="2817"/>
        <v>0.69007647378779402</v>
      </c>
      <c r="DI455" s="72">
        <f t="shared" si="2818"/>
        <v>0.78130213261183767</v>
      </c>
      <c r="DJ455" s="73">
        <f>SUM(AV444:AV455,BB444:BB455,BI444:BI455)</f>
        <v>96107.35455198893</v>
      </c>
      <c r="DK455" s="73">
        <f>SUM(AV450:AV455,BB450:BB455,BI450:BI455)</f>
        <v>42089.278203756061</v>
      </c>
      <c r="DL455" s="190"/>
    </row>
    <row r="456" spans="22:116" x14ac:dyDescent="0.25">
      <c r="V456" s="63"/>
      <c r="W456" s="18"/>
      <c r="X456" s="18"/>
      <c r="Y456" s="196"/>
      <c r="Z456" s="196"/>
      <c r="AA456" s="196"/>
      <c r="AB456" s="196"/>
      <c r="AC456" s="196"/>
      <c r="AD456" s="196"/>
      <c r="AE456" s="196"/>
      <c r="AF456" s="196"/>
      <c r="AG456" s="196"/>
      <c r="AH456" s="196"/>
      <c r="AI456" s="196"/>
      <c r="AJ456" s="196"/>
      <c r="AK456" s="196"/>
      <c r="AL456" s="196"/>
      <c r="AM456" s="196"/>
      <c r="AN456" s="196"/>
      <c r="AO456" s="196"/>
      <c r="AP456" s="190"/>
      <c r="AQ456" s="66">
        <v>12</v>
      </c>
      <c r="AR456" s="66">
        <v>2016</v>
      </c>
      <c r="AS456" s="215">
        <f t="shared" si="2808"/>
        <v>23603.667553025603</v>
      </c>
      <c r="AT456" s="215">
        <f t="shared" si="2793"/>
        <v>3146.6459816621505</v>
      </c>
      <c r="AU456" s="215">
        <f t="shared" si="2793"/>
        <v>2994.8960333115733</v>
      </c>
      <c r="AV456" s="215">
        <f t="shared" si="2793"/>
        <v>541.5552587999864</v>
      </c>
      <c r="AW456" s="215">
        <f t="shared" si="2793"/>
        <v>9115.1205816359579</v>
      </c>
      <c r="AX456" s="215">
        <f t="shared" si="2793"/>
        <v>4567.6133626098117</v>
      </c>
      <c r="AY456" s="215">
        <f t="shared" si="2793"/>
        <v>20248.503491143525</v>
      </c>
      <c r="AZ456" s="215">
        <f t="shared" si="2793"/>
        <v>6914.3487287038952</v>
      </c>
      <c r="BA456" s="215">
        <f t="shared" si="2793"/>
        <v>3086.9326828461762</v>
      </c>
      <c r="BB456" s="215">
        <f t="shared" si="2793"/>
        <v>594.95967289769521</v>
      </c>
      <c r="BC456" s="215">
        <f t="shared" si="2793"/>
        <v>2975.0085736432011</v>
      </c>
      <c r="BD456" s="215">
        <f t="shared" si="2793"/>
        <v>4255.1587549579945</v>
      </c>
      <c r="BE456" s="215">
        <f t="shared" si="2793"/>
        <v>2835.7412317439976</v>
      </c>
      <c r="BF456" s="215">
        <f t="shared" si="2793"/>
        <v>25190.323902962595</v>
      </c>
      <c r="BG456" s="215">
        <f t="shared" si="2793"/>
        <v>5956.972162404224</v>
      </c>
      <c r="BH456" s="215">
        <f t="shared" si="2793"/>
        <v>1780.2745129602679</v>
      </c>
      <c r="BI456" s="215">
        <f t="shared" si="2793"/>
        <v>5235.1629627024049</v>
      </c>
      <c r="BJ456" s="195"/>
      <c r="BK456" s="66">
        <v>12</v>
      </c>
      <c r="BL456" s="66">
        <v>2016</v>
      </c>
      <c r="BM456" s="215">
        <f t="shared" ref="BM456:BO456" si="2901">SUM(BM16,BM38,BM60,BM82,BM104,BM126,BM148,BM170,BM192,BM214,BM236,BM258,BM280,BM302,BM324,BM346,BM368,BM390,BM412,BM434)</f>
        <v>1434.3582555792627</v>
      </c>
      <c r="BN456" s="215">
        <f t="shared" si="2901"/>
        <v>1072.238941200279</v>
      </c>
      <c r="BO456" s="215">
        <f t="shared" si="2901"/>
        <v>438.65778573919835</v>
      </c>
      <c r="BP456" s="215">
        <f t="shared" ref="BP456" si="2902">SUM(BP16,BP38,BP60,BP82,BP104,BP126,BP148,BP170,BP192,BP214,BP236,BP258,BP280,BP302,BP324,BP346,BP368,BP390,BP412,BP434)</f>
        <v>141.6777003274369</v>
      </c>
      <c r="BQ456" s="215">
        <f t="shared" ref="BQ456:BS456" si="2903">SUM(BQ16,BQ38,BQ60,BQ82,BQ104,BQ126,BQ148,BQ170,BQ192,BQ214,BQ236,BQ258,BQ280,BQ302,BQ324,BQ346,BQ368,BQ390,BQ412,BQ434)</f>
        <v>301.57632737552899</v>
      </c>
      <c r="BR456" s="215">
        <f t="shared" si="2903"/>
        <v>322.44553457039706</v>
      </c>
      <c r="BS456" s="215">
        <f t="shared" si="2903"/>
        <v>419.72944508899519</v>
      </c>
      <c r="BT456" s="215">
        <f t="shared" ref="BT456:BW456" si="2904">SUM(BT16,BT38,BT60,BT82,BT104,BT126,BT148,BT170,BT192,BT214,BT236,BT258,BT280,BT302,BT324,BT346,BT368,BT390,BT412,BT434)</f>
        <v>109.30336351407259</v>
      </c>
      <c r="BU456" s="215">
        <f t="shared" si="2904"/>
        <v>306.51399441589513</v>
      </c>
      <c r="BV456" s="215">
        <f t="shared" si="2904"/>
        <v>113.62564658189409</v>
      </c>
      <c r="BW456" s="215">
        <f t="shared" si="2904"/>
        <v>172.08359995127225</v>
      </c>
      <c r="BX456" s="220">
        <f t="shared" si="2880"/>
        <v>34.996601462212581</v>
      </c>
      <c r="BY456" s="195"/>
      <c r="BZ456" s="66">
        <v>12</v>
      </c>
      <c r="CA456" s="66">
        <v>2016</v>
      </c>
      <c r="CB456" s="215">
        <f t="shared" ref="CB456:CM456" si="2905">SUM(CB16,CB38,CB60,CB82,CB104,CB126,CB148,CB170,CB192,CB214,CB236,CB258,CB280,CB302,CB324,CB346,CB368,CB390,CB412,CB434)</f>
        <v>430.85681802568058</v>
      </c>
      <c r="CC456" s="215">
        <f t="shared" si="2905"/>
        <v>54.238421003919754</v>
      </c>
      <c r="CD456" s="215">
        <f t="shared" si="2905"/>
        <v>56.460019770386054</v>
      </c>
      <c r="CE456" s="215">
        <f t="shared" si="2905"/>
        <v>257.11801441716091</v>
      </c>
      <c r="CF456" s="215">
        <f t="shared" si="2905"/>
        <v>121.14662431064193</v>
      </c>
      <c r="CG456" s="215">
        <f t="shared" si="2905"/>
        <v>96.869560664090045</v>
      </c>
      <c r="CH456" s="215">
        <f t="shared" si="2905"/>
        <v>32.016454305947661</v>
      </c>
      <c r="CI456" s="215">
        <f t="shared" ref="CI456:CL456" si="2906">SUM(CI16,CI38,CI60,CI82,CI104,CI126,CI148,CI170,CI192,CI214,CI236,CI258,CI280,CI302,CI324,CI346,CI368,CI390,CI412,CI434)</f>
        <v>41.26159653880984</v>
      </c>
      <c r="CJ456" s="215">
        <f t="shared" si="2906"/>
        <v>31.588581583097159</v>
      </c>
      <c r="CK456" s="215">
        <f t="shared" si="2906"/>
        <v>11.416722946919661</v>
      </c>
      <c r="CL456" s="215">
        <f t="shared" si="2906"/>
        <v>3.5421181310280025</v>
      </c>
      <c r="CM456" s="215">
        <f t="shared" si="2905"/>
        <v>1243.3735400811897</v>
      </c>
      <c r="CN456" s="215">
        <f t="shared" ref="CN456:CQ456" si="2907">SUM(CN16,CN38,CN60,CN82,CN104,CN126,CN148,CN170,CN192,CN214,CN236,CN258,CN280,CN302,CN324,CN346,CN368,CN390,CN412,CN434)</f>
        <v>1677.9849172568872</v>
      </c>
      <c r="CO456" s="215">
        <f t="shared" si="2907"/>
        <v>432.02001009814546</v>
      </c>
      <c r="CP456" s="215">
        <f t="shared" si="2907"/>
        <v>629.26859002252831</v>
      </c>
      <c r="CQ456" s="215">
        <f t="shared" si="2907"/>
        <v>513.94786994806475</v>
      </c>
      <c r="CR456" s="215">
        <f t="shared" ref="CR456:CY456" si="2908">SUM(CR16,CR38,CR60,CR82,CR104,CR126,CR148,CR170,CR192,CR214,CR236,CR258,CR280,CR302,CR324,CR346,CR368,CR390,CR412,CR434)</f>
        <v>128.46693415255109</v>
      </c>
      <c r="CS456" s="215">
        <f t="shared" si="2908"/>
        <v>141.95523237864063</v>
      </c>
      <c r="CT456" s="215">
        <f t="shared" si="2908"/>
        <v>181.30784733950225</v>
      </c>
      <c r="CU456" s="215">
        <f t="shared" si="2908"/>
        <v>47.058989653720602</v>
      </c>
      <c r="CV456" s="215">
        <f t="shared" si="2908"/>
        <v>120.81370174066016</v>
      </c>
      <c r="CW456" s="215">
        <f t="shared" si="2908"/>
        <v>43.064828110285212</v>
      </c>
      <c r="CX456" s="215">
        <f t="shared" si="2908"/>
        <v>63.265238898137305</v>
      </c>
      <c r="CY456" s="215">
        <f t="shared" si="2908"/>
        <v>12.635263022091566</v>
      </c>
      <c r="CZ456" s="190"/>
      <c r="DA456" s="66">
        <v>2016</v>
      </c>
      <c r="DB456" s="218">
        <f t="shared" si="2802"/>
        <v>11969.418099229957</v>
      </c>
      <c r="DC456" s="218">
        <f t="shared" si="2803"/>
        <v>116671.20755361099</v>
      </c>
      <c r="DD456" s="73">
        <f t="shared" si="2804"/>
        <v>61145.889516958232</v>
      </c>
      <c r="DE456" s="73">
        <f t="shared" si="2805"/>
        <v>33983.037297110815</v>
      </c>
      <c r="DF456" s="73">
        <f t="shared" si="2806"/>
        <v>9010.4418415614637</v>
      </c>
      <c r="DG456" s="73">
        <f t="shared" si="2807"/>
        <v>25780.108468653409</v>
      </c>
      <c r="DH456" s="72">
        <f t="shared" si="2817"/>
        <v>0.70342464779155434</v>
      </c>
      <c r="DI456" s="72">
        <f t="shared" si="2818"/>
        <v>0.79042305898299248</v>
      </c>
      <c r="DJ456" s="73">
        <f>SUM(AV444:AV456,BB444:BB456,BI444:BI456)</f>
        <v>102479.03244638903</v>
      </c>
      <c r="DK456" s="73">
        <f>SUM(AV450:AV456,BB450:BB456,BI450:BI456)</f>
        <v>48460.956098156152</v>
      </c>
      <c r="DL456" s="190"/>
    </row>
    <row r="457" spans="22:116" x14ac:dyDescent="0.25">
      <c r="V457" s="63"/>
      <c r="W457" s="18"/>
      <c r="X457" s="18"/>
      <c r="Y457" s="196"/>
      <c r="Z457" s="196"/>
      <c r="AA457" s="196"/>
      <c r="AB457" s="196"/>
      <c r="AC457" s="196"/>
      <c r="AD457" s="196"/>
      <c r="AE457" s="196"/>
      <c r="AF457" s="196"/>
      <c r="AG457" s="196"/>
      <c r="AH457" s="196"/>
      <c r="AI457" s="196"/>
      <c r="AJ457" s="196"/>
      <c r="AK457" s="196"/>
      <c r="AL457" s="196"/>
      <c r="AM457" s="196"/>
      <c r="AN457" s="196"/>
      <c r="AO457" s="196"/>
      <c r="AP457" s="190"/>
      <c r="AQ457" s="66">
        <v>13</v>
      </c>
      <c r="AR457" s="66">
        <v>2017</v>
      </c>
      <c r="AS457" s="215">
        <f t="shared" si="2808"/>
        <v>23547.102372624337</v>
      </c>
      <c r="AT457" s="215">
        <f t="shared" si="2793"/>
        <v>3125.9954756615184</v>
      </c>
      <c r="AU457" s="215">
        <f t="shared" si="2793"/>
        <v>2913.6008711857048</v>
      </c>
      <c r="AV457" s="215">
        <f t="shared" si="2793"/>
        <v>537.38757493423225</v>
      </c>
      <c r="AW457" s="215">
        <f t="shared" si="2793"/>
        <v>9047.7265486116721</v>
      </c>
      <c r="AX457" s="215">
        <f t="shared" si="2793"/>
        <v>4527.3212827836942</v>
      </c>
      <c r="AY457" s="215">
        <f t="shared" si="2793"/>
        <v>21277.810051605207</v>
      </c>
      <c r="AZ457" s="215">
        <f t="shared" si="2793"/>
        <v>7485.3393941523027</v>
      </c>
      <c r="BA457" s="215">
        <f t="shared" si="2793"/>
        <v>3053.219213402786</v>
      </c>
      <c r="BB457" s="215">
        <f t="shared" si="2793"/>
        <v>597.18948387160094</v>
      </c>
      <c r="BC457" s="215">
        <f t="shared" si="2793"/>
        <v>2939.982781240064</v>
      </c>
      <c r="BD457" s="215">
        <f t="shared" si="2793"/>
        <v>4188.590402197211</v>
      </c>
      <c r="BE457" s="215">
        <f t="shared" si="2793"/>
        <v>2779.6747622461717</v>
      </c>
      <c r="BF457" s="215">
        <f t="shared" si="2793"/>
        <v>25825.571674786897</v>
      </c>
      <c r="BG457" s="215">
        <f t="shared" si="2793"/>
        <v>6416.4857821819996</v>
      </c>
      <c r="BH457" s="215">
        <f t="shared" si="2793"/>
        <v>1775.9645213391148</v>
      </c>
      <c r="BI457" s="215">
        <f t="shared" si="2793"/>
        <v>5220.2853607864636</v>
      </c>
      <c r="BJ457" s="195"/>
      <c r="BK457" s="66">
        <v>13</v>
      </c>
      <c r="BL457" s="66">
        <v>2017</v>
      </c>
      <c r="BM457" s="215">
        <f t="shared" ref="BM457:BO457" si="2909">SUM(BM17,BM39,BM61,BM83,BM105,BM127,BM149,BM171,BM193,BM215,BM237,BM259,BM281,BM303,BM325,BM347,BM369,BM391,BM413,BM435)</f>
        <v>1405.0555525957479</v>
      </c>
      <c r="BN457" s="215">
        <f t="shared" si="2909"/>
        <v>1026.1896361055751</v>
      </c>
      <c r="BO457" s="215">
        <f t="shared" si="2909"/>
        <v>466.05906971451975</v>
      </c>
      <c r="BP457" s="215">
        <f t="shared" ref="BP457" si="2910">SUM(BP17,BP39,BP61,BP83,BP105,BP127,BP149,BP171,BP193,BP215,BP237,BP259,BP281,BP303,BP325,BP347,BP369,BP391,BP413,BP435)</f>
        <v>155.91495498694346</v>
      </c>
      <c r="BQ457" s="215">
        <f t="shared" ref="BQ457:BS457" si="2911">SUM(BQ17,BQ39,BQ61,BQ83,BQ105,BQ127,BQ149,BQ171,BQ193,BQ215,BQ237,BQ259,BQ281,BQ303,BQ325,BQ347,BQ369,BQ391,BQ413,BQ435)</f>
        <v>293.98092027444739</v>
      </c>
      <c r="BR457" s="215">
        <f t="shared" si="2911"/>
        <v>304.53019164921841</v>
      </c>
      <c r="BS457" s="215">
        <f t="shared" si="2911"/>
        <v>405.69200860732798</v>
      </c>
      <c r="BT457" s="215">
        <f t="shared" ref="BT457:BW457" si="2912">SUM(BT17,BT39,BT61,BT83,BT105,BT127,BT149,BT171,BT193,BT215,BT237,BT259,BT281,BT303,BT325,BT347,BT369,BT391,BT413,BT435)</f>
        <v>105.76633587841619</v>
      </c>
      <c r="BU457" s="215">
        <f t="shared" si="2912"/>
        <v>316.46707098692963</v>
      </c>
      <c r="BV457" s="215">
        <f t="shared" si="2912"/>
        <v>121.93131533141555</v>
      </c>
      <c r="BW457" s="215">
        <f t="shared" si="2912"/>
        <v>188.46226586140614</v>
      </c>
      <c r="BX457" s="220">
        <f t="shared" si="2880"/>
        <v>39.134412749953469</v>
      </c>
      <c r="BY457" s="195"/>
      <c r="BZ457" s="66">
        <v>13</v>
      </c>
      <c r="CA457" s="66">
        <v>2017</v>
      </c>
      <c r="CB457" s="215">
        <f t="shared" ref="CB457:CM457" si="2913">SUM(CB17,CB39,CB61,CB83,CB105,CB127,CB149,CB171,CB193,CB215,CB237,CB259,CB281,CB303,CB325,CB347,CB369,CB391,CB413,CB435)</f>
        <v>429.23374276274706</v>
      </c>
      <c r="CC457" s="215">
        <f t="shared" si="2913"/>
        <v>53.691514793233068</v>
      </c>
      <c r="CD457" s="215">
        <f t="shared" si="2913"/>
        <v>54.462317378252102</v>
      </c>
      <c r="CE457" s="215">
        <f t="shared" si="2913"/>
        <v>254.20738089426655</v>
      </c>
      <c r="CF457" s="215">
        <f t="shared" si="2913"/>
        <v>119.52492471767081</v>
      </c>
      <c r="CG457" s="215">
        <f t="shared" si="2913"/>
        <v>102.40010907497295</v>
      </c>
      <c r="CH457" s="215">
        <f t="shared" si="2913"/>
        <v>34.967031727128088</v>
      </c>
      <c r="CI457" s="215">
        <f t="shared" ref="CI457:CL457" si="2914">SUM(CI17,CI39,CI61,CI83,CI105,CI127,CI149,CI171,CI193,CI215,CI237,CI259,CI281,CI303,CI325,CI347,CI369,CI391,CI413,CI435)</f>
        <v>40.002153800299091</v>
      </c>
      <c r="CJ457" s="215">
        <f t="shared" si="2914"/>
        <v>29.903175771970311</v>
      </c>
      <c r="CK457" s="215">
        <f t="shared" si="2914"/>
        <v>12.233524046439587</v>
      </c>
      <c r="CL457" s="215">
        <f t="shared" si="2914"/>
        <v>3.9511838388534537</v>
      </c>
      <c r="CM457" s="215">
        <f t="shared" si="2913"/>
        <v>1221.2848660578768</v>
      </c>
      <c r="CN457" s="215">
        <f t="shared" ref="CN457:CQ457" si="2915">SUM(CN17,CN39,CN61,CN83,CN105,CN127,CN149,CN171,CN193,CN215,CN237,CN259,CN281,CN303,CN325,CN347,CN369,CN391,CN413,CN435)</f>
        <v>1639.0338678314226</v>
      </c>
      <c r="CO457" s="215">
        <f t="shared" si="2915"/>
        <v>419.1364873472217</v>
      </c>
      <c r="CP457" s="215">
        <f t="shared" si="2915"/>
        <v>648.78174165886389</v>
      </c>
      <c r="CQ457" s="215">
        <f t="shared" si="2915"/>
        <v>561.21947209595874</v>
      </c>
      <c r="CR457" s="215">
        <f t="shared" ref="CR457:CY457" si="2916">SUM(CR17,CR39,CR61,CR83,CR105,CR127,CR149,CR171,CR193,CR215,CR237,CR259,CR281,CR303,CR325,CR347,CR369,CR391,CR413,CR435)</f>
        <v>123.8015271109002</v>
      </c>
      <c r="CS457" s="215">
        <f t="shared" si="2916"/>
        <v>132.36864424108944</v>
      </c>
      <c r="CT457" s="215">
        <f t="shared" si="2916"/>
        <v>172.30512330870977</v>
      </c>
      <c r="CU457" s="215">
        <f t="shared" si="2916"/>
        <v>44.870641668600896</v>
      </c>
      <c r="CV457" s="215">
        <f t="shared" si="2916"/>
        <v>125.82851220380272</v>
      </c>
      <c r="CW457" s="215">
        <f t="shared" si="2916"/>
        <v>46.645002571058491</v>
      </c>
      <c r="CX457" s="215">
        <f t="shared" si="2916"/>
        <v>70.642854000209013</v>
      </c>
      <c r="CY457" s="215">
        <f t="shared" si="2916"/>
        <v>14.36662069074937</v>
      </c>
      <c r="CZ457" s="190"/>
      <c r="DA457" s="66">
        <v>2017</v>
      </c>
      <c r="DB457" s="218">
        <f t="shared" si="2802"/>
        <v>11841.907160642424</v>
      </c>
      <c r="DC457" s="218">
        <f t="shared" si="2803"/>
        <v>118904.38513401868</v>
      </c>
      <c r="DD457" s="73">
        <f t="shared" si="2804"/>
        <v>63784.88166497257</v>
      </c>
      <c r="DE457" s="73">
        <f t="shared" si="2805"/>
        <v>35021.732219215068</v>
      </c>
      <c r="DF457" s="73">
        <f t="shared" si="2806"/>
        <v>8904.5377047763886</v>
      </c>
      <c r="DG457" s="73">
        <f t="shared" si="2807"/>
        <v>25532.804749574541</v>
      </c>
      <c r="DH457" s="72">
        <f t="shared" si="2817"/>
        <v>0.71413495160331386</v>
      </c>
      <c r="DI457" s="72">
        <f t="shared" si="2818"/>
        <v>0.7972844559716884</v>
      </c>
      <c r="DJ457" s="73">
        <f>SUM(AV444:AV457,BB444:BB457,BI444:BI457)</f>
        <v>108833.89486598133</v>
      </c>
      <c r="DK457" s="73">
        <f>SUM(AV450:AV457,BB450:BB457,BI450:BI457)</f>
        <v>54815.818517748441</v>
      </c>
      <c r="DL457" s="190"/>
    </row>
    <row r="458" spans="22:116" x14ac:dyDescent="0.25">
      <c r="V458" s="63"/>
      <c r="W458" s="18"/>
      <c r="X458" s="18"/>
      <c r="Y458" s="196"/>
      <c r="Z458" s="196"/>
      <c r="AA458" s="196"/>
      <c r="AB458" s="196"/>
      <c r="AC458" s="196"/>
      <c r="AD458" s="196"/>
      <c r="AE458" s="196"/>
      <c r="AF458" s="196"/>
      <c r="AG458" s="196"/>
      <c r="AH458" s="196"/>
      <c r="AI458" s="196"/>
      <c r="AJ458" s="196"/>
      <c r="AK458" s="196"/>
      <c r="AL458" s="196"/>
      <c r="AM458" s="196"/>
      <c r="AN458" s="196"/>
      <c r="AO458" s="196"/>
      <c r="AP458" s="190"/>
      <c r="AQ458" s="66">
        <v>14</v>
      </c>
      <c r="AR458" s="66">
        <v>2018</v>
      </c>
      <c r="AS458" s="215">
        <f t="shared" si="2808"/>
        <v>23511.253619042272</v>
      </c>
      <c r="AT458" s="215">
        <f t="shared" si="2793"/>
        <v>3112.7602546643961</v>
      </c>
      <c r="AU458" s="215">
        <f t="shared" si="2793"/>
        <v>2854.381674136042</v>
      </c>
      <c r="AV458" s="215">
        <f t="shared" si="2793"/>
        <v>534.5282169665752</v>
      </c>
      <c r="AW458" s="215">
        <f t="shared" si="2793"/>
        <v>9004.4212301378338</v>
      </c>
      <c r="AX458" s="215">
        <f t="shared" si="2793"/>
        <v>4501.3165736315395</v>
      </c>
      <c r="AY458" s="215">
        <f t="shared" si="2793"/>
        <v>22256.105346976685</v>
      </c>
      <c r="AZ458" s="215">
        <f t="shared" si="2793"/>
        <v>8048.3559855658568</v>
      </c>
      <c r="BA458" s="215">
        <f t="shared" si="2793"/>
        <v>3039.1957915228427</v>
      </c>
      <c r="BB458" s="215">
        <f t="shared" si="2793"/>
        <v>601.40835764493693</v>
      </c>
      <c r="BC458" s="215">
        <f t="shared" si="2793"/>
        <v>2917.3457782369592</v>
      </c>
      <c r="BD458" s="215">
        <f t="shared" si="2793"/>
        <v>4145.2346955915073</v>
      </c>
      <c r="BE458" s="215">
        <f t="shared" si="2793"/>
        <v>2744.5498222753636</v>
      </c>
      <c r="BF458" s="215">
        <f t="shared" si="2793"/>
        <v>26372.162643564472</v>
      </c>
      <c r="BG458" s="215">
        <f t="shared" si="2793"/>
        <v>6838.5292781595899</v>
      </c>
      <c r="BH458" s="215">
        <f t="shared" si="2793"/>
        <v>1781.0138980421134</v>
      </c>
      <c r="BI458" s="215">
        <f t="shared" si="2793"/>
        <v>5229.8619678596897</v>
      </c>
      <c r="BJ458" s="195"/>
      <c r="BK458" s="66">
        <v>14</v>
      </c>
      <c r="BL458" s="66">
        <v>2018</v>
      </c>
      <c r="BM458" s="215">
        <f t="shared" ref="BM458:BO458" si="2917">SUM(BM18,BM40,BM62,BM84,BM106,BM128,BM150,BM172,BM194,BM216,BM238,BM260,BM282,BM304,BM326,BM348,BM370,BM392,BM414,BM436)</f>
        <v>1386.0274216709881</v>
      </c>
      <c r="BN458" s="215">
        <f t="shared" si="2917"/>
        <v>991.58325343116462</v>
      </c>
      <c r="BO458" s="215">
        <f t="shared" si="2917"/>
        <v>491.78363446515255</v>
      </c>
      <c r="BP458" s="215">
        <f t="shared" ref="BP458" si="2918">SUM(BP18,BP40,BP62,BP84,BP106,BP128,BP150,BP172,BP194,BP216,BP238,BP260,BP282,BP304,BP326,BP348,BP370,BP392,BP414,BP436)</f>
        <v>169.80148195553764</v>
      </c>
      <c r="BQ458" s="215">
        <f t="shared" ref="BQ458:BS458" si="2919">SUM(BQ18,BQ40,BQ62,BQ84,BQ106,BQ128,BQ150,BQ172,BQ194,BQ216,BQ238,BQ260,BQ282,BQ304,BQ326,BQ348,BQ370,BQ392,BQ414,BQ436)</f>
        <v>288.96435491655427</v>
      </c>
      <c r="BR458" s="215">
        <f t="shared" si="2919"/>
        <v>290.861465741301</v>
      </c>
      <c r="BS458" s="215">
        <f t="shared" si="2919"/>
        <v>396.61150952914488</v>
      </c>
      <c r="BT458" s="215">
        <f t="shared" ref="BT458:BW458" si="2920">SUM(BT18,BT40,BT62,BT84,BT106,BT128,BT150,BT172,BT194,BT216,BT238,BT260,BT282,BT304,BT326,BT348,BT370,BT392,BT414,BT436)</f>
        <v>103.47556101734854</v>
      </c>
      <c r="BU458" s="215">
        <f t="shared" si="2920"/>
        <v>324.77030150774829</v>
      </c>
      <c r="BV458" s="215">
        <f t="shared" si="2920"/>
        <v>129.72315043470923</v>
      </c>
      <c r="BW458" s="215">
        <f t="shared" si="2920"/>
        <v>203.45041161654351</v>
      </c>
      <c r="BX458" s="220">
        <f t="shared" si="2880"/>
        <v>43.157143278763471</v>
      </c>
      <c r="BY458" s="195"/>
      <c r="BZ458" s="66">
        <v>14</v>
      </c>
      <c r="CA458" s="66">
        <v>2018</v>
      </c>
      <c r="CB458" s="215">
        <f t="shared" ref="CB458:CM458" si="2921">SUM(CB18,CB40,CB62,CB84,CB106,CB128,CB150,CB172,CB194,CB216,CB238,CB260,CB282,CB304,CB326,CB348,CB370,CB392,CB414,CB436)</f>
        <v>428.20510244491754</v>
      </c>
      <c r="CC458" s="215">
        <f t="shared" si="2921"/>
        <v>53.339153277230878</v>
      </c>
      <c r="CD458" s="215">
        <f t="shared" si="2921"/>
        <v>52.983961244426702</v>
      </c>
      <c r="CE458" s="215">
        <f t="shared" si="2921"/>
        <v>252.32785988633586</v>
      </c>
      <c r="CF458" s="215">
        <f t="shared" si="2921"/>
        <v>118.4705649403399</v>
      </c>
      <c r="CG458" s="215">
        <f t="shared" si="2921"/>
        <v>107.60548655429939</v>
      </c>
      <c r="CH458" s="215">
        <f t="shared" si="2921"/>
        <v>37.854628158552387</v>
      </c>
      <c r="CI458" s="215">
        <f t="shared" ref="CI458:CL458" si="2922">SUM(CI18,CI40,CI62,CI84,CI106,CI128,CI150,CI172,CI194,CI216,CI238,CI260,CI282,CI304,CI326,CI348,CI370,CI392,CI414,CI436)</f>
        <v>39.184944273354468</v>
      </c>
      <c r="CJ458" s="215">
        <f t="shared" si="2922"/>
        <v>28.618928006371942</v>
      </c>
      <c r="CK458" s="215">
        <f t="shared" si="2922"/>
        <v>12.997705778334607</v>
      </c>
      <c r="CL458" s="215">
        <f t="shared" si="2922"/>
        <v>4.3482400473483178</v>
      </c>
      <c r="CM458" s="215">
        <f t="shared" si="2921"/>
        <v>1206.9062620556531</v>
      </c>
      <c r="CN458" s="215">
        <f t="shared" ref="CN458:CQ458" si="2923">SUM(CN18,CN40,CN62,CN84,CN106,CN128,CN150,CN172,CN194,CN216,CN238,CN260,CN282,CN304,CN326,CN348,CN370,CN392,CN414,CN436)</f>
        <v>1613.3925719400424</v>
      </c>
      <c r="CO458" s="215">
        <f t="shared" si="2923"/>
        <v>410.84958767519959</v>
      </c>
      <c r="CP458" s="215">
        <f t="shared" si="2923"/>
        <v>665.1426728392928</v>
      </c>
      <c r="CQ458" s="215">
        <f t="shared" si="2923"/>
        <v>604.5112626368267</v>
      </c>
      <c r="CR458" s="215">
        <f t="shared" ref="CR458:CY458" si="2924">SUM(CR18,CR40,CR62,CR84,CR106,CR128,CR150,CR172,CR194,CR216,CR238,CR260,CR282,CR304,CR326,CR348,CR370,CR392,CR414,CR436)</f>
        <v>120.68350055249607</v>
      </c>
      <c r="CS458" s="215">
        <f t="shared" si="2924"/>
        <v>125.01413193019596</v>
      </c>
      <c r="CT458" s="215">
        <f t="shared" si="2924"/>
        <v>166.54254874499526</v>
      </c>
      <c r="CU458" s="215">
        <f t="shared" si="2924"/>
        <v>43.418639694379451</v>
      </c>
      <c r="CV458" s="215">
        <f t="shared" si="2924"/>
        <v>129.91439682766921</v>
      </c>
      <c r="CW458" s="215">
        <f t="shared" si="2924"/>
        <v>50.054602004198465</v>
      </c>
      <c r="CX458" s="215">
        <f t="shared" si="2924"/>
        <v>77.366537750057461</v>
      </c>
      <c r="CY458" s="215">
        <f t="shared" si="2924"/>
        <v>16.065253208682901</v>
      </c>
      <c r="CZ458" s="190"/>
      <c r="DA458" s="66">
        <v>2018</v>
      </c>
      <c r="DB458" s="218">
        <f t="shared" si="2802"/>
        <v>11759.311523887443</v>
      </c>
      <c r="DC458" s="218">
        <f t="shared" si="2803"/>
        <v>121126.62659154749</v>
      </c>
      <c r="DD458" s="73">
        <f t="shared" si="2804"/>
        <v>66259.703076541962</v>
      </c>
      <c r="DE458" s="73">
        <f t="shared" si="2805"/>
        <v>35955.241743999424</v>
      </c>
      <c r="DF458" s="73">
        <f t="shared" si="2806"/>
        <v>8843.5943718705785</v>
      </c>
      <c r="DG458" s="73">
        <f t="shared" si="2807"/>
        <v>25388.52796716279</v>
      </c>
      <c r="DH458" s="72">
        <f t="shared" si="2817"/>
        <v>0.7229785269389909</v>
      </c>
      <c r="DI458" s="72">
        <f t="shared" si="2818"/>
        <v>0.80259321137278994</v>
      </c>
      <c r="DJ458" s="73">
        <f>SUM(AV444:AV458,BB444:BB458,BI444:BI458)</f>
        <v>115199.69340845253</v>
      </c>
      <c r="DK458" s="73">
        <f>SUM(AV450:AV458,BB450:BB458,BI450:BI458)</f>
        <v>61181.617060219651</v>
      </c>
      <c r="DL458" s="190"/>
    </row>
    <row r="459" spans="22:116" x14ac:dyDescent="0.25">
      <c r="V459" s="63"/>
      <c r="W459" s="18"/>
      <c r="X459" s="18"/>
      <c r="Y459" s="196"/>
      <c r="Z459" s="196"/>
      <c r="AA459" s="196"/>
      <c r="AB459" s="196"/>
      <c r="AC459" s="196"/>
      <c r="AD459" s="196"/>
      <c r="AE459" s="196"/>
      <c r="AF459" s="196"/>
      <c r="AG459" s="196"/>
      <c r="AH459" s="196"/>
      <c r="AI459" s="196"/>
      <c r="AJ459" s="196"/>
      <c r="AK459" s="196"/>
      <c r="AL459" s="196"/>
      <c r="AM459" s="196"/>
      <c r="AN459" s="196"/>
      <c r="AO459" s="196"/>
      <c r="AP459" s="190"/>
      <c r="AQ459" s="66">
        <v>15</v>
      </c>
      <c r="AR459" s="66">
        <v>2019</v>
      </c>
      <c r="AS459" s="215">
        <f t="shared" si="2808"/>
        <v>23488.534109897766</v>
      </c>
      <c r="AT459" s="215">
        <f t="shared" si="2793"/>
        <v>3104.3075624579274</v>
      </c>
      <c r="AU459" s="215">
        <f t="shared" si="2793"/>
        <v>2811.7981971456943</v>
      </c>
      <c r="AV459" s="215">
        <f t="shared" si="2793"/>
        <v>532.57356824788462</v>
      </c>
      <c r="AW459" s="215">
        <f t="shared" si="2793"/>
        <v>8976.6942295346271</v>
      </c>
      <c r="AX459" s="215">
        <f t="shared" si="2793"/>
        <v>4484.6191747799548</v>
      </c>
      <c r="AY459" s="215">
        <f t="shared" si="2793"/>
        <v>23193.020617802158</v>
      </c>
      <c r="AZ459" s="215">
        <f t="shared" si="2793"/>
        <v>8606.4924485245883</v>
      </c>
      <c r="BA459" s="215">
        <f t="shared" si="2793"/>
        <v>3039.1914748509139</v>
      </c>
      <c r="BB459" s="215">
        <f t="shared" si="2793"/>
        <v>606.92372893997788</v>
      </c>
      <c r="BC459" s="215">
        <f t="shared" si="2793"/>
        <v>2902.7909282238247</v>
      </c>
      <c r="BD459" s="215">
        <f t="shared" si="2793"/>
        <v>4117.2086769590796</v>
      </c>
      <c r="BE459" s="215">
        <f t="shared" si="2793"/>
        <v>2723.3696028187342</v>
      </c>
      <c r="BF459" s="215">
        <f t="shared" si="2793"/>
        <v>26853.232138538642</v>
      </c>
      <c r="BG459" s="215">
        <f t="shared" si="2793"/>
        <v>7227.1230228576624</v>
      </c>
      <c r="BH459" s="215">
        <f t="shared" si="2793"/>
        <v>1792.1976304782709</v>
      </c>
      <c r="BI459" s="215">
        <f t="shared" si="2793"/>
        <v>5254.5894794897704</v>
      </c>
      <c r="BJ459" s="195"/>
      <c r="BK459" s="66">
        <v>15</v>
      </c>
      <c r="BL459" s="66">
        <v>2019</v>
      </c>
      <c r="BM459" s="215">
        <f t="shared" ref="BM459:BO459" si="2925">SUM(BM19,BM41,BM63,BM85,BM107,BM129,BM151,BM173,BM195,BM217,BM239,BM261,BM283,BM305,BM327,BM349,BM371,BM393,BM415,BM437)</f>
        <v>1373.7003453224797</v>
      </c>
      <c r="BN459" s="215">
        <f t="shared" si="2925"/>
        <v>965.95124886910378</v>
      </c>
      <c r="BO459" s="215">
        <f t="shared" si="2925"/>
        <v>516.10632284534063</v>
      </c>
      <c r="BP459" s="215">
        <f t="shared" ref="BP459" si="2926">SUM(BP19,BP41,BP63,BP85,BP107,BP129,BP151,BP173,BP195,BP217,BP239,BP261,BP283,BP305,BP327,BP349,BP371,BP393,BP415,BP437)</f>
        <v>183.43355781399003</v>
      </c>
      <c r="BQ459" s="215">
        <f t="shared" ref="BQ459:BS459" si="2927">SUM(BQ19,BQ41,BQ63,BQ85,BQ107,BQ129,BQ151,BQ173,BQ195,BQ217,BQ239,BQ261,BQ283,BQ305,BQ327,BQ349,BQ371,BQ393,BQ415,BQ437)</f>
        <v>285.68697221524405</v>
      </c>
      <c r="BR459" s="215">
        <f t="shared" si="2927"/>
        <v>280.55954628514002</v>
      </c>
      <c r="BS459" s="215">
        <f t="shared" si="2927"/>
        <v>390.72002226650153</v>
      </c>
      <c r="BT459" s="215">
        <f t="shared" ref="BT459:BW459" si="2928">SUM(BT19,BT41,BT63,BT85,BT107,BT129,BT151,BT173,BT195,BT217,BT239,BT261,BT283,BT305,BT327,BT349,BT371,BT393,BT415,BT437)</f>
        <v>102.02955655934896</v>
      </c>
      <c r="BU459" s="215">
        <f t="shared" si="2928"/>
        <v>331.87687817660117</v>
      </c>
      <c r="BV459" s="215">
        <f t="shared" si="2928"/>
        <v>137.03738092103981</v>
      </c>
      <c r="BW459" s="215">
        <f t="shared" si="2928"/>
        <v>217.20840577067864</v>
      </c>
      <c r="BX459" s="220">
        <f t="shared" si="2880"/>
        <v>47.078868283716766</v>
      </c>
      <c r="BY459" s="195"/>
      <c r="BZ459" s="66">
        <v>15</v>
      </c>
      <c r="CA459" s="66">
        <v>2019</v>
      </c>
      <c r="CB459" s="215">
        <f t="shared" ref="CB459:CM459" si="2929">SUM(CB19,CB41,CB63,CB85,CB107,CB129,CB151,CB173,CB195,CB217,CB239,CB261,CB283,CB305,CB327,CB349,CB371,CB393,CB415,CB437)</f>
        <v>427.55319126887514</v>
      </c>
      <c r="CC459" s="215">
        <f t="shared" si="2929"/>
        <v>53.113319463036348</v>
      </c>
      <c r="CD459" s="215">
        <f t="shared" si="2929"/>
        <v>51.907057515973143</v>
      </c>
      <c r="CE459" s="215">
        <f t="shared" si="2929"/>
        <v>251.12013789413263</v>
      </c>
      <c r="CF459" s="215">
        <f t="shared" si="2929"/>
        <v>117.79007588468561</v>
      </c>
      <c r="CG459" s="215">
        <f t="shared" si="2929"/>
        <v>112.55289143275813</v>
      </c>
      <c r="CH459" s="215">
        <f t="shared" si="2929"/>
        <v>40.701898348025118</v>
      </c>
      <c r="CI459" s="215">
        <f t="shared" ref="CI459:CL459" si="2930">SUM(CI19,CI41,CI63,CI85,CI107,CI129,CI151,CI173,CI195,CI217,CI239,CI261,CI283,CI305,CI327,CI349,CI371,CI393,CI415,CI437)</f>
        <v>38.654277533142434</v>
      </c>
      <c r="CJ459" s="215">
        <f t="shared" si="2930"/>
        <v>27.653806610215089</v>
      </c>
      <c r="CK459" s="215">
        <f t="shared" si="2930"/>
        <v>13.715126263487385</v>
      </c>
      <c r="CL459" s="215">
        <f t="shared" si="2930"/>
        <v>4.7355149735315045</v>
      </c>
      <c r="CM459" s="215">
        <f t="shared" si="2929"/>
        <v>1197.6134386918727</v>
      </c>
      <c r="CN459" s="215">
        <f t="shared" ref="CN459:CQ459" si="2931">SUM(CN19,CN41,CN63,CN85,CN107,CN129,CN151,CN173,CN195,CN217,CN239,CN261,CN283,CN305,CN327,CN349,CN371,CN393,CN415,CN437)</f>
        <v>1596.6924966707682</v>
      </c>
      <c r="CO459" s="215">
        <f t="shared" si="2931"/>
        <v>405.65794896259666</v>
      </c>
      <c r="CP459" s="215">
        <f t="shared" si="2931"/>
        <v>679.22023063746053</v>
      </c>
      <c r="CQ459" s="215">
        <f t="shared" si="2931"/>
        <v>644.27291025857448</v>
      </c>
      <c r="CR459" s="215">
        <f t="shared" ref="CR459:CY459" si="2932">SUM(CR19,CR41,CR63,CR85,CR107,CR129,CR151,CR173,CR195,CR217,CR239,CR261,CR283,CR305,CR327,CR349,CR371,CR393,CR415,CR437)</f>
        <v>118.62412653742146</v>
      </c>
      <c r="CS459" s="215">
        <f t="shared" si="2932"/>
        <v>119.40291849117384</v>
      </c>
      <c r="CT459" s="215">
        <f t="shared" si="2932"/>
        <v>162.81487004225562</v>
      </c>
      <c r="CU459" s="215">
        <f t="shared" si="2932"/>
        <v>42.478242851777523</v>
      </c>
      <c r="CV459" s="215">
        <f t="shared" si="2932"/>
        <v>133.32299533199131</v>
      </c>
      <c r="CW459" s="215">
        <f t="shared" si="2932"/>
        <v>53.253265152526019</v>
      </c>
      <c r="CX459" s="215">
        <f t="shared" si="2932"/>
        <v>83.51939248237268</v>
      </c>
      <c r="CY459" s="215">
        <f t="shared" si="2932"/>
        <v>17.716643378980233</v>
      </c>
      <c r="CZ459" s="190"/>
      <c r="DA459" s="66">
        <v>2019</v>
      </c>
      <c r="DB459" s="218">
        <f t="shared" si="2802"/>
        <v>11706.13541419696</v>
      </c>
      <c r="DC459" s="218">
        <f t="shared" si="2803"/>
        <v>123320.57981486985</v>
      </c>
      <c r="DD459" s="73">
        <f t="shared" si="2804"/>
        <v>68603.237830541781</v>
      </c>
      <c r="DE459" s="73">
        <f t="shared" si="2805"/>
        <v>36803.72476421504</v>
      </c>
      <c r="DF459" s="73">
        <f t="shared" si="2806"/>
        <v>8812.197235661175</v>
      </c>
      <c r="DG459" s="73">
        <f t="shared" si="2807"/>
        <v>25312.702114826672</v>
      </c>
      <c r="DH459" s="72">
        <f t="shared" si="2817"/>
        <v>0.73047491054712077</v>
      </c>
      <c r="DI459" s="72">
        <f t="shared" si="2818"/>
        <v>0.80681751350580866</v>
      </c>
      <c r="DJ459" s="73">
        <f>SUM(AV444:AV459,BB444:BB459,BI444:BI459)</f>
        <v>121593.78018513016</v>
      </c>
      <c r="DK459" s="73">
        <f>SUM(AV450:AV459,BB450:BB459,BI450:BI459)</f>
        <v>67575.703836897286</v>
      </c>
      <c r="DL459" s="190"/>
    </row>
    <row r="460" spans="22:116" x14ac:dyDescent="0.25">
      <c r="V460" s="63"/>
      <c r="W460" s="18"/>
      <c r="X460" s="18"/>
      <c r="Y460" s="196"/>
      <c r="Z460" s="196"/>
      <c r="AA460" s="196"/>
      <c r="AB460" s="196"/>
      <c r="AC460" s="196"/>
      <c r="AD460" s="196"/>
      <c r="AE460" s="196"/>
      <c r="AF460" s="196"/>
      <c r="AG460" s="196"/>
      <c r="AH460" s="196"/>
      <c r="AI460" s="196"/>
      <c r="AJ460" s="196"/>
      <c r="AK460" s="196"/>
      <c r="AL460" s="196"/>
      <c r="AM460" s="196"/>
      <c r="AN460" s="196"/>
      <c r="AO460" s="196"/>
      <c r="AP460" s="190"/>
      <c r="AQ460" s="66">
        <v>16</v>
      </c>
      <c r="AR460" s="66">
        <v>2020</v>
      </c>
      <c r="AS460" s="215">
        <f t="shared" si="2808"/>
        <v>23474.135391833948</v>
      </c>
      <c r="AT460" s="215">
        <f t="shared" ref="AT460:BI463" si="2933">SUM(AT20,AT42,AT64,AT86,AT108,AT130,AT152,AT174,AT196,AT218,AT240,AT262,AT284,AT306,AT328,AT350,AT372,AT394,AT416,AT438)</f>
        <v>3098.9222193667124</v>
      </c>
      <c r="AU460" s="215">
        <f t="shared" si="2933"/>
        <v>2781.5037622259629</v>
      </c>
      <c r="AV460" s="215">
        <f t="shared" si="2933"/>
        <v>531.24180146674303</v>
      </c>
      <c r="AW460" s="215">
        <f t="shared" si="2933"/>
        <v>8958.9881827291028</v>
      </c>
      <c r="AX460" s="215">
        <f t="shared" si="2933"/>
        <v>4473.9369291513131</v>
      </c>
      <c r="AY460" s="215">
        <f t="shared" si="2933"/>
        <v>24095.545925151961</v>
      </c>
      <c r="AZ460" s="215">
        <f t="shared" si="2933"/>
        <v>9161.8923015208329</v>
      </c>
      <c r="BA460" s="215">
        <f t="shared" si="2933"/>
        <v>3049.1329724474194</v>
      </c>
      <c r="BB460" s="215">
        <f t="shared" si="2933"/>
        <v>613.27413656946169</v>
      </c>
      <c r="BC460" s="215">
        <f t="shared" si="2933"/>
        <v>2893.4677067220587</v>
      </c>
      <c r="BD460" s="215">
        <f t="shared" si="2933"/>
        <v>4099.1888068701674</v>
      </c>
      <c r="BE460" s="215">
        <f t="shared" si="2933"/>
        <v>2711.3720973639261</v>
      </c>
      <c r="BF460" s="215">
        <f t="shared" si="2933"/>
        <v>27284.621215939729</v>
      </c>
      <c r="BG460" s="215">
        <f t="shared" si="2933"/>
        <v>7585.7569072442584</v>
      </c>
      <c r="BH460" s="215">
        <f t="shared" si="2933"/>
        <v>1807.3593719338403</v>
      </c>
      <c r="BI460" s="215">
        <f t="shared" si="2933"/>
        <v>5288.2800863324046</v>
      </c>
      <c r="BJ460" s="195"/>
      <c r="BK460" s="66">
        <v>16</v>
      </c>
      <c r="BL460" s="66">
        <v>2020</v>
      </c>
      <c r="BM460" s="215">
        <f t="shared" ref="BM460:BO460" si="2934">SUM(BM20,BM42,BM64,BM86,BM108,BM130,BM152,BM174,BM196,BM218,BM240,BM262,BM284,BM306,BM328,BM350,BM372,BM394,BM416,BM438)</f>
        <v>1365.7416967330337</v>
      </c>
      <c r="BN460" s="215">
        <f t="shared" si="2934"/>
        <v>947.22203529463616</v>
      </c>
      <c r="BO460" s="215">
        <f t="shared" si="2934"/>
        <v>539.27519050285696</v>
      </c>
      <c r="BP460" s="215">
        <f t="shared" ref="BP460" si="2935">SUM(BP20,BP42,BP64,BP86,BP108,BP130,BP152,BP174,BP196,BP218,BP240,BP262,BP284,BP306,BP328,BP350,BP372,BP394,BP416,BP438)</f>
        <v>196.89404991689244</v>
      </c>
      <c r="BQ460" s="215">
        <f t="shared" ref="BQ460:BS460" si="2936">SUM(BQ20,BQ42,BQ64,BQ86,BQ108,BQ130,BQ152,BQ174,BQ196,BQ218,BQ240,BQ262,BQ284,BQ306,BQ328,BQ350,BQ372,BQ394,BQ416,BQ438)</f>
        <v>283.56338889688993</v>
      </c>
      <c r="BR460" s="215">
        <f t="shared" si="2936"/>
        <v>272.90338945660761</v>
      </c>
      <c r="BS460" s="215">
        <f t="shared" si="2936"/>
        <v>386.90203374159267</v>
      </c>
      <c r="BT460" s="215">
        <f t="shared" ref="BT460:BW460" si="2937">SUM(BT20,BT42,BT64,BT86,BT108,BT130,BT152,BT174,BT196,BT218,BT240,BT262,BT284,BT306,BT328,BT350,BT372,BT394,BT416,BT438)</f>
        <v>101.14823739499954</v>
      </c>
      <c r="BU460" s="215">
        <f t="shared" si="2937"/>
        <v>338.10235978824784</v>
      </c>
      <c r="BV460" s="215">
        <f t="shared" si="2937"/>
        <v>143.94533065982921</v>
      </c>
      <c r="BW460" s="215">
        <f t="shared" si="2937"/>
        <v>229.86985886088476</v>
      </c>
      <c r="BX460" s="220">
        <f t="shared" si="2880"/>
        <v>50.924773134788644</v>
      </c>
      <c r="BY460" s="195"/>
      <c r="BZ460" s="66">
        <v>16</v>
      </c>
      <c r="CA460" s="66">
        <v>2020</v>
      </c>
      <c r="CB460" s="215">
        <f t="shared" ref="CB460:CM460" si="2938">SUM(CB20,CB42,CB64,CB86,CB108,CB130,CB152,CB174,CB196,CB218,CB240,CB262,CB284,CB306,CB328,CB350,CB372,CB394,CB416,CB438)</f>
        <v>427.14003598603949</v>
      </c>
      <c r="CC460" s="215">
        <f t="shared" si="2938"/>
        <v>52.969090385062159</v>
      </c>
      <c r="CD460" s="215">
        <f t="shared" si="2938"/>
        <v>51.132675095641389</v>
      </c>
      <c r="CE460" s="215">
        <f t="shared" si="2938"/>
        <v>250.3468724018916</v>
      </c>
      <c r="CF460" s="215">
        <f t="shared" si="2938"/>
        <v>117.35313974708392</v>
      </c>
      <c r="CG460" s="215">
        <f t="shared" si="2938"/>
        <v>117.29103052380256</v>
      </c>
      <c r="CH460" s="215">
        <f t="shared" si="2938"/>
        <v>43.524488901973562</v>
      </c>
      <c r="CI460" s="215">
        <f t="shared" ref="CI460:CL460" si="2939">SUM(CI20,CI42,CI64,CI86,CI108,CI130,CI152,CI174,CI196,CI218,CI240,CI262,CI284,CI306,CI328,CI350,CI372,CI394,CI416,CI438)</f>
        <v>38.310493403840709</v>
      </c>
      <c r="CJ460" s="215">
        <f t="shared" si="2939"/>
        <v>26.938967493339472</v>
      </c>
      <c r="CK460" s="215">
        <f t="shared" si="2939"/>
        <v>14.393450467107007</v>
      </c>
      <c r="CL460" s="215">
        <f t="shared" si="2939"/>
        <v>5.1156936304228653</v>
      </c>
      <c r="CM460" s="215">
        <f t="shared" si="2938"/>
        <v>1191.6384582476935</v>
      </c>
      <c r="CN460" s="215">
        <f t="shared" ref="CN460:CQ460" si="2940">SUM(CN20,CN42,CN64,CN86,CN108,CN130,CN152,CN174,CN196,CN218,CN240,CN262,CN284,CN306,CN328,CN350,CN372,CN394,CN416,CN438)</f>
        <v>1585.8972252451128</v>
      </c>
      <c r="CO460" s="215">
        <f t="shared" si="2940"/>
        <v>402.52740845878793</v>
      </c>
      <c r="CP460" s="215">
        <f t="shared" si="2940"/>
        <v>691.61027000378965</v>
      </c>
      <c r="CQ460" s="215">
        <f t="shared" si="2940"/>
        <v>680.88318311424359</v>
      </c>
      <c r="CR460" s="215">
        <f t="shared" ref="CR460:CY460" si="2941">SUM(CR20,CR42,CR64,CR86,CR108,CR130,CR152,CR174,CR196,CR218,CR240,CR262,CR284,CR306,CR328,CR350,CR372,CR394,CR416,CR438)</f>
        <v>117.27871263547479</v>
      </c>
      <c r="CS460" s="215">
        <f t="shared" si="2941"/>
        <v>115.17382872161085</v>
      </c>
      <c r="CT460" s="215">
        <f t="shared" si="2941"/>
        <v>160.39632769041702</v>
      </c>
      <c r="CU460" s="215">
        <f t="shared" si="2941"/>
        <v>41.884636710117064</v>
      </c>
      <c r="CV460" s="215">
        <f t="shared" si="2941"/>
        <v>136.2403497934346</v>
      </c>
      <c r="CW460" s="215">
        <f t="shared" si="2941"/>
        <v>56.255864566508755</v>
      </c>
      <c r="CX460" s="215">
        <f t="shared" si="2941"/>
        <v>89.167251852129624</v>
      </c>
      <c r="CY460" s="215">
        <f t="shared" si="2941"/>
        <v>19.326569293084372</v>
      </c>
      <c r="CZ460" s="190"/>
      <c r="DA460" s="66">
        <v>2020</v>
      </c>
      <c r="DB460" s="218">
        <f t="shared" si="2802"/>
        <v>11672.047955388192</v>
      </c>
      <c r="DC460" s="218">
        <f t="shared" si="2803"/>
        <v>125475.82379050122</v>
      </c>
      <c r="DD460" s="73">
        <f t="shared" si="2804"/>
        <v>70839.188447220702</v>
      </c>
      <c r="DE460" s="73">
        <f t="shared" si="2805"/>
        <v>37581.75022054791</v>
      </c>
      <c r="DF460" s="73">
        <f t="shared" si="2806"/>
        <v>8800.015885526067</v>
      </c>
      <c r="DG460" s="73">
        <f t="shared" si="2807"/>
        <v>25282.073969853904</v>
      </c>
      <c r="DH460" s="72">
        <f t="shared" si="2817"/>
        <v>0.73697729998432793</v>
      </c>
      <c r="DI460" s="72">
        <f t="shared" si="2818"/>
        <v>0.81026992664745356</v>
      </c>
      <c r="DJ460" s="73">
        <f>SUM(AV444:AV460,BB444:BB460,BI444:BI460)</f>
        <v>128026.57620949877</v>
      </c>
      <c r="DK460" s="73">
        <f>SUM(AV450:AV460,BB450:BB460,BI450:BI460)</f>
        <v>74008.499861265896</v>
      </c>
      <c r="DL460" s="190"/>
    </row>
    <row r="461" spans="22:116" x14ac:dyDescent="0.25">
      <c r="V461" s="63"/>
      <c r="W461" s="18"/>
      <c r="X461" s="18"/>
      <c r="Y461" s="196"/>
      <c r="Z461" s="196"/>
      <c r="AA461" s="196"/>
      <c r="AB461" s="196"/>
      <c r="AC461" s="196"/>
      <c r="AD461" s="196"/>
      <c r="AE461" s="196"/>
      <c r="AF461" s="196"/>
      <c r="AG461" s="196"/>
      <c r="AH461" s="196"/>
      <c r="AI461" s="196"/>
      <c r="AJ461" s="196"/>
      <c r="AK461" s="196"/>
      <c r="AL461" s="196"/>
      <c r="AM461" s="196"/>
      <c r="AN461" s="196"/>
      <c r="AO461" s="196"/>
      <c r="AP461" s="190"/>
      <c r="AQ461" s="66">
        <v>17</v>
      </c>
      <c r="AR461" s="66">
        <v>2021</v>
      </c>
      <c r="AS461" s="215">
        <f t="shared" si="2808"/>
        <v>23465.010059039007</v>
      </c>
      <c r="AT461" s="215">
        <f t="shared" si="2933"/>
        <v>3095.4967763517011</v>
      </c>
      <c r="AU461" s="215">
        <f t="shared" si="2933"/>
        <v>2760.1445812678435</v>
      </c>
      <c r="AV461" s="215">
        <f t="shared" si="2933"/>
        <v>530.33716388174605</v>
      </c>
      <c r="AW461" s="215">
        <f t="shared" si="2933"/>
        <v>8947.7032907069515</v>
      </c>
      <c r="AX461" s="215">
        <f t="shared" si="2933"/>
        <v>4467.1206551931464</v>
      </c>
      <c r="AY461" s="215">
        <f t="shared" si="2933"/>
        <v>24968.75783658406</v>
      </c>
      <c r="AZ461" s="215">
        <f t="shared" si="2933"/>
        <v>9716.0185529755181</v>
      </c>
      <c r="BA461" s="215">
        <f t="shared" si="2933"/>
        <v>3066.0586231832194</v>
      </c>
      <c r="BB461" s="215">
        <f t="shared" si="2933"/>
        <v>620.15103681764788</v>
      </c>
      <c r="BC461" s="215">
        <f t="shared" si="2933"/>
        <v>2887.5120544614201</v>
      </c>
      <c r="BD461" s="215">
        <f t="shared" si="2933"/>
        <v>4087.6471394192909</v>
      </c>
      <c r="BE461" s="215">
        <f t="shared" si="2933"/>
        <v>2705.355294149444</v>
      </c>
      <c r="BF461" s="215">
        <f t="shared" si="2933"/>
        <v>27677.200078499074</v>
      </c>
      <c r="BG461" s="215">
        <f t="shared" si="2933"/>
        <v>7917.4799688708963</v>
      </c>
      <c r="BH461" s="215">
        <f t="shared" si="2933"/>
        <v>1825.0099139825525</v>
      </c>
      <c r="BI461" s="215">
        <f t="shared" si="2933"/>
        <v>5326.8607651177135</v>
      </c>
      <c r="BJ461" s="195"/>
      <c r="BK461" s="66">
        <v>17</v>
      </c>
      <c r="BL461" s="66">
        <v>2021</v>
      </c>
      <c r="BM461" s="215">
        <f t="shared" ref="BM461:BO461" si="2942">SUM(BM21,BM43,BM65,BM87,BM109,BM131,BM153,BM175,BM197,BM219,BM241,BM263,BM285,BM307,BM329,BM351,BM373,BM395,BM417,BM439)</f>
        <v>1360.6212890272736</v>
      </c>
      <c r="BN461" s="215">
        <f t="shared" si="2942"/>
        <v>933.70089799796949</v>
      </c>
      <c r="BO461" s="215">
        <f t="shared" si="2942"/>
        <v>561.48962554826244</v>
      </c>
      <c r="BP461" s="215">
        <f t="shared" ref="BP461" si="2943">SUM(BP21,BP43,BP65,BP87,BP109,BP131,BP153,BP175,BP197,BP219,BP241,BP263,BP285,BP307,BP329,BP351,BP373,BP395,BP417,BP439)</f>
        <v>210.24681060971446</v>
      </c>
      <c r="BQ461" s="215">
        <f t="shared" ref="BQ461:BS461" si="2944">SUM(BQ21,BQ43,BQ65,BQ87,BQ109,BQ131,BQ153,BQ175,BQ197,BQ219,BQ241,BQ263,BQ285,BQ307,BQ329,BQ351,BQ373,BQ395,BQ417,BQ439)</f>
        <v>282.19562120105047</v>
      </c>
      <c r="BR461" s="215">
        <f t="shared" si="2944"/>
        <v>267.29040793468897</v>
      </c>
      <c r="BS461" s="215">
        <f t="shared" si="2944"/>
        <v>384.43497543379266</v>
      </c>
      <c r="BT461" s="215">
        <f t="shared" ref="BT461:BW461" si="2945">SUM(BT21,BT43,BT65,BT87,BT109,BT131,BT153,BT175,BT197,BT219,BT241,BT263,BT285,BT307,BT329,BT351,BT373,BT395,BT417,BT439)</f>
        <v>100.63998645395797</v>
      </c>
      <c r="BU461" s="215">
        <f t="shared" si="2945"/>
        <v>343.66357552110134</v>
      </c>
      <c r="BV461" s="215">
        <f t="shared" si="2945"/>
        <v>150.51697607342894</v>
      </c>
      <c r="BW461" s="215">
        <f t="shared" si="2945"/>
        <v>241.5499395968086</v>
      </c>
      <c r="BX461" s="220">
        <f t="shared" si="2880"/>
        <v>54.718431767723494</v>
      </c>
      <c r="BY461" s="195"/>
      <c r="BZ461" s="66">
        <v>17</v>
      </c>
      <c r="CA461" s="66">
        <v>2021</v>
      </c>
      <c r="CB461" s="215">
        <f t="shared" ref="CB461:CM461" si="2946">SUM(CB21,CB43,CB65,CB87,CB109,CB131,CB153,CB175,CB197,CB219,CB241,CB263,CB285,CB307,CB329,CB351,CB373,CB395,CB417,CB439)</f>
        <v>426.87819465855785</v>
      </c>
      <c r="CC461" s="215">
        <f t="shared" si="2946"/>
        <v>52.877199772030494</v>
      </c>
      <c r="CD461" s="215">
        <f t="shared" si="2946"/>
        <v>50.581769451157683</v>
      </c>
      <c r="CE461" s="215">
        <f t="shared" si="2946"/>
        <v>249.85307665403374</v>
      </c>
      <c r="CF461" s="215">
        <f t="shared" si="2946"/>
        <v>117.07360763628164</v>
      </c>
      <c r="CG461" s="215">
        <f t="shared" si="2946"/>
        <v>121.8552537492852</v>
      </c>
      <c r="CH461" s="215">
        <f t="shared" si="2946"/>
        <v>46.333239956189246</v>
      </c>
      <c r="CI461" s="215">
        <f t="shared" ref="CI461:CL461" si="2947">SUM(CI21,CI43,CI65,CI87,CI109,CI131,CI153,CI175,CI197,CI219,CI241,CI263,CI285,CI307,CI329,CI351,CI373,CI395,CI417,CI439)</f>
        <v>38.088538335307994</v>
      </c>
      <c r="CJ461" s="215">
        <f t="shared" si="2947"/>
        <v>26.416637120819022</v>
      </c>
      <c r="CK461" s="215">
        <f t="shared" si="2947"/>
        <v>15.039596298394088</v>
      </c>
      <c r="CL461" s="215">
        <f t="shared" si="2947"/>
        <v>5.4910870673369647</v>
      </c>
      <c r="CM461" s="215">
        <f t="shared" si="2946"/>
        <v>1187.8111384127565</v>
      </c>
      <c r="CN461" s="215">
        <f t="shared" ref="CN461:CQ461" si="2948">SUM(CN21,CN43,CN65,CN87,CN109,CN131,CN153,CN175,CN197,CN219,CN241,CN263,CN285,CN307,CN329,CN351,CN373,CN395,CN417,CN439)</f>
        <v>1578.9561969379467</v>
      </c>
      <c r="CO461" s="215">
        <f t="shared" si="2948"/>
        <v>400.75411820332806</v>
      </c>
      <c r="CP461" s="215">
        <f t="shared" si="2948"/>
        <v>702.72078045403327</v>
      </c>
      <c r="CQ461" s="215">
        <f t="shared" si="2948"/>
        <v>714.67087152102249</v>
      </c>
      <c r="CR461" s="215">
        <f t="shared" ref="CR461:CY461" si="2949">SUM(CR21,CR43,CR65,CR87,CR109,CR131,CR153,CR175,CR197,CR219,CR241,CR263,CR285,CR307,CR329,CR351,CR373,CR395,CR417,CR439)</f>
        <v>116.40695038527636</v>
      </c>
      <c r="CS461" s="215">
        <f t="shared" si="2949"/>
        <v>112.0308635047403</v>
      </c>
      <c r="CT461" s="215">
        <f t="shared" si="2949"/>
        <v>158.82898713027078</v>
      </c>
      <c r="CU461" s="215">
        <f t="shared" si="2949"/>
        <v>41.52284220400287</v>
      </c>
      <c r="CV461" s="215">
        <f t="shared" si="2949"/>
        <v>138.79600174804898</v>
      </c>
      <c r="CW461" s="215">
        <f t="shared" si="2949"/>
        <v>59.091679745737125</v>
      </c>
      <c r="CX461" s="215">
        <f t="shared" si="2949"/>
        <v>94.364964953989414</v>
      </c>
      <c r="CY461" s="215">
        <f t="shared" si="2949"/>
        <v>20.905369916559817</v>
      </c>
      <c r="CZ461" s="190"/>
      <c r="DA461" s="66">
        <v>2021</v>
      </c>
      <c r="DB461" s="218">
        <f t="shared" si="2802"/>
        <v>11650.264570964138</v>
      </c>
      <c r="DC461" s="218">
        <f t="shared" si="2803"/>
        <v>127586.51482468411</v>
      </c>
      <c r="DD461" s="73">
        <f t="shared" si="2804"/>
        <v>72984.811731078997</v>
      </c>
      <c r="DE461" s="73">
        <f t="shared" si="2805"/>
        <v>38300.035341519419</v>
      </c>
      <c r="DF461" s="73">
        <f t="shared" si="2806"/>
        <v>8800.169107863263</v>
      </c>
      <c r="DG461" s="73">
        <f t="shared" si="2807"/>
        <v>25281.051676946583</v>
      </c>
      <c r="DH461" s="72">
        <f t="shared" si="2817"/>
        <v>0.74272803596124681</v>
      </c>
      <c r="DI461" s="72">
        <f t="shared" si="2818"/>
        <v>0.81316070257570605</v>
      </c>
      <c r="DJ461" s="73">
        <f>SUM(AV444:AV461,BB444:BB461,BI444:BI461)</f>
        <v>134503.92517531588</v>
      </c>
      <c r="DK461" s="73">
        <f>SUM(AV450:AV461,BB450:BB461,BI450:BI461)</f>
        <v>80485.848827083013</v>
      </c>
      <c r="DL461" s="190"/>
    </row>
    <row r="462" spans="22:116" x14ac:dyDescent="0.25">
      <c r="V462" s="63"/>
      <c r="W462" s="18"/>
      <c r="X462" s="18"/>
      <c r="Y462" s="196"/>
      <c r="Z462" s="196"/>
      <c r="AA462" s="196"/>
      <c r="AB462" s="196"/>
      <c r="AC462" s="196"/>
      <c r="AD462" s="196"/>
      <c r="AE462" s="196"/>
      <c r="AF462" s="196"/>
      <c r="AG462" s="196"/>
      <c r="AH462" s="196"/>
      <c r="AI462" s="196"/>
      <c r="AJ462" s="196"/>
      <c r="AK462" s="196"/>
      <c r="AL462" s="196"/>
      <c r="AM462" s="196"/>
      <c r="AN462" s="196"/>
      <c r="AO462" s="196"/>
      <c r="AP462" s="190"/>
      <c r="AQ462" s="66">
        <v>18</v>
      </c>
      <c r="AR462" s="66">
        <v>2022</v>
      </c>
      <c r="AS462" s="215">
        <f t="shared" si="2808"/>
        <v>23459.226787344309</v>
      </c>
      <c r="AT462" s="215">
        <f t="shared" si="2933"/>
        <v>3093.3204222811123</v>
      </c>
      <c r="AU462" s="215">
        <f t="shared" si="2933"/>
        <v>2745.1992047837598</v>
      </c>
      <c r="AV462" s="215">
        <f t="shared" si="2933"/>
        <v>529.72435299057815</v>
      </c>
      <c r="AW462" s="215">
        <f t="shared" si="2933"/>
        <v>8940.5212298243914</v>
      </c>
      <c r="AX462" s="215">
        <f t="shared" si="2933"/>
        <v>4462.7793402722427</v>
      </c>
      <c r="AY462" s="215">
        <f t="shared" si="2933"/>
        <v>25816.353126912694</v>
      </c>
      <c r="AZ462" s="215">
        <f t="shared" si="2933"/>
        <v>10269.841223839054</v>
      </c>
      <c r="BA462" s="215">
        <f t="shared" si="2933"/>
        <v>3087.8195199668098</v>
      </c>
      <c r="BB462" s="215">
        <f t="shared" si="2933"/>
        <v>627.34827229744519</v>
      </c>
      <c r="BC462" s="215">
        <f t="shared" si="2933"/>
        <v>2883.7153044945262</v>
      </c>
      <c r="BD462" s="215">
        <f t="shared" si="2933"/>
        <v>4080.2753717471564</v>
      </c>
      <c r="BE462" s="215">
        <f t="shared" si="2933"/>
        <v>2703.1886204507782</v>
      </c>
      <c r="BF462" s="215">
        <f t="shared" si="2933"/>
        <v>28038.481811976049</v>
      </c>
      <c r="BG462" s="215">
        <f t="shared" si="2933"/>
        <v>8224.9569236597381</v>
      </c>
      <c r="BH462" s="215">
        <f t="shared" si="2933"/>
        <v>1844.113334711913</v>
      </c>
      <c r="BI462" s="215">
        <f t="shared" si="2933"/>
        <v>5367.6899771315711</v>
      </c>
      <c r="BJ462" s="195"/>
      <c r="BK462" s="66">
        <v>18</v>
      </c>
      <c r="BL462" s="66">
        <v>2022</v>
      </c>
      <c r="BM462" s="215">
        <f t="shared" ref="BM462:BO462" si="2950">SUM(BM22,BM44,BM66,BM88,BM110,BM132,BM154,BM176,BM198,BM220,BM242,BM264,BM286,BM308,BM330,BM352,BM374,BM396,BM418,BM440)</f>
        <v>1357.3372374754194</v>
      </c>
      <c r="BN462" s="215">
        <f t="shared" si="2950"/>
        <v>924.04185691281305</v>
      </c>
      <c r="BO462" s="215">
        <f t="shared" si="2950"/>
        <v>582.90209895478506</v>
      </c>
      <c r="BP462" s="215">
        <f t="shared" ref="BP462" si="2951">SUM(BP22,BP44,BP66,BP88,BP110,BP132,BP154,BP176,BP198,BP220,BP242,BP264,BP286,BP308,BP330,BP352,BP374,BP396,BP418,BP440)</f>
        <v>223.53832662379244</v>
      </c>
      <c r="BQ462" s="215">
        <f t="shared" ref="BQ462:BS462" si="2952">SUM(BQ22,BQ44,BQ66,BQ88,BQ110,BQ132,BQ154,BQ176,BQ198,BQ220,BQ242,BQ264,BQ286,BQ308,BQ330,BQ352,BQ374,BQ396,BQ418,BQ440)</f>
        <v>281.31846500822098</v>
      </c>
      <c r="BR462" s="215">
        <f t="shared" si="2952"/>
        <v>263.2257944421911</v>
      </c>
      <c r="BS462" s="215">
        <f t="shared" si="2952"/>
        <v>382.84618226939409</v>
      </c>
      <c r="BT462" s="215">
        <f t="shared" ref="BT462:BW462" si="2953">SUM(BT22,BT44,BT66,BT88,BT110,BT132,BT154,BT176,BT198,BT220,BT242,BT264,BT286,BT308,BT330,BT352,BT374,BT396,BT418,BT440)</f>
        <v>100.37548217732491</v>
      </c>
      <c r="BU462" s="215">
        <f t="shared" si="2953"/>
        <v>348.70935678395119</v>
      </c>
      <c r="BV462" s="215">
        <f t="shared" si="2953"/>
        <v>156.81039923709307</v>
      </c>
      <c r="BW462" s="215">
        <f t="shared" si="2953"/>
        <v>252.34904135724733</v>
      </c>
      <c r="BX462" s="220">
        <f t="shared" si="2880"/>
        <v>58.478613436490321</v>
      </c>
      <c r="BY462" s="195"/>
      <c r="BZ462" s="66">
        <v>18</v>
      </c>
      <c r="CA462" s="66">
        <v>2022</v>
      </c>
      <c r="CB462" s="215">
        <f t="shared" ref="CB462:CM462" si="2954">SUM(CB22,CB44,CB66,CB88,CB110,CB132,CB154,CB176,CB198,CB220,CB242,CB264,CB286,CB308,CB330,CB352,CB374,CB396,CB418,CB440)</f>
        <v>426.71225007639794</v>
      </c>
      <c r="CC462" s="215">
        <f t="shared" si="2954"/>
        <v>52.818751117372258</v>
      </c>
      <c r="CD462" s="215">
        <f t="shared" si="2954"/>
        <v>50.193351796807811</v>
      </c>
      <c r="CE462" s="215">
        <f t="shared" si="2954"/>
        <v>249.53835752125505</v>
      </c>
      <c r="CF462" s="215">
        <f t="shared" si="2954"/>
        <v>116.89523994903952</v>
      </c>
      <c r="CG462" s="215">
        <f t="shared" si="2954"/>
        <v>126.27123417052088</v>
      </c>
      <c r="CH462" s="215">
        <f t="shared" si="2954"/>
        <v>49.135550191860951</v>
      </c>
      <c r="CI462" s="215">
        <f t="shared" ref="CI462:CL462" si="2955">SUM(CI22,CI44,CI66,CI88,CI110,CI132,CI154,CI176,CI198,CI220,CI242,CI264,CI286,CI308,CI330,CI352,CI374,CI396,CI418,CI440)</f>
        <v>37.945737653700498</v>
      </c>
      <c r="CJ462" s="215">
        <f t="shared" si="2955"/>
        <v>26.039552378152838</v>
      </c>
      <c r="CK462" s="215">
        <f t="shared" si="2955"/>
        <v>15.659124400119401</v>
      </c>
      <c r="CL462" s="215">
        <f t="shared" si="2955"/>
        <v>5.8634760327960462</v>
      </c>
      <c r="CM462" s="215">
        <f t="shared" si="2954"/>
        <v>1185.3662553835575</v>
      </c>
      <c r="CN462" s="215">
        <f t="shared" ref="CN462:CQ462" si="2956">SUM(CN22,CN44,CN66,CN88,CN110,CN132,CN154,CN176,CN198,CN220,CN242,CN264,CN286,CN308,CN330,CN352,CN374,CN396,CN418,CN440)</f>
        <v>1574.5104911646447</v>
      </c>
      <c r="CO462" s="215">
        <f t="shared" si="2956"/>
        <v>399.86480512491778</v>
      </c>
      <c r="CP462" s="215">
        <f t="shared" si="2956"/>
        <v>712.83172619537618</v>
      </c>
      <c r="CQ462" s="215">
        <f t="shared" si="2956"/>
        <v>745.92323202441935</v>
      </c>
      <c r="CR462" s="215">
        <f t="shared" ref="CR462:CY462" si="2957">SUM(CR22,CR44,CR66,CR88,CR110,CR132,CR154,CR176,CR198,CR220,CR242,CR264,CR286,CR308,CR330,CR352,CR374,CR396,CR418,CR440)</f>
        <v>115.84546158755973</v>
      </c>
      <c r="CS462" s="215">
        <f t="shared" si="2957"/>
        <v>109.7266518641711</v>
      </c>
      <c r="CT462" s="215">
        <f t="shared" si="2957"/>
        <v>157.81622333466635</v>
      </c>
      <c r="CU462" s="215">
        <f t="shared" si="2957"/>
        <v>41.314197701949027</v>
      </c>
      <c r="CV462" s="215">
        <f t="shared" si="2957"/>
        <v>141.07896276926701</v>
      </c>
      <c r="CW462" s="215">
        <f t="shared" si="2957"/>
        <v>61.789437042920156</v>
      </c>
      <c r="CX462" s="215">
        <f t="shared" si="2957"/>
        <v>99.159810240653371</v>
      </c>
      <c r="CY462" s="215">
        <f t="shared" si="2957"/>
        <v>22.462722697469417</v>
      </c>
      <c r="CZ462" s="190"/>
      <c r="DA462" s="66">
        <v>2022</v>
      </c>
      <c r="DB462" s="218">
        <f t="shared" si="2802"/>
        <v>11636.375134300511</v>
      </c>
      <c r="DC462" s="218">
        <f t="shared" si="2803"/>
        <v>129649.79222226453</v>
      </c>
      <c r="DD462" s="73">
        <f t="shared" si="2804"/>
        <v>75052.821706838324</v>
      </c>
      <c r="DE462" s="73">
        <f t="shared" si="2805"/>
        <v>38966.627356086567</v>
      </c>
      <c r="DF462" s="73">
        <f t="shared" si="2806"/>
        <v>8808.104010953597</v>
      </c>
      <c r="DG462" s="73">
        <f t="shared" si="2807"/>
        <v>25299.22410101704</v>
      </c>
      <c r="DH462" s="72">
        <f t="shared" si="2817"/>
        <v>0.74789528307716213</v>
      </c>
      <c r="DI462" s="72">
        <f t="shared" si="2818"/>
        <v>0.81563257900325281</v>
      </c>
      <c r="DJ462" s="73">
        <f>SUM(AV444:AV462,BB444:BB462,BI444:BI462)</f>
        <v>141028.6877777355</v>
      </c>
      <c r="DK462" s="73">
        <f>SUM(AV450:AV462,BB450:BB462,BI450:BI462)</f>
        <v>87010.611429502605</v>
      </c>
      <c r="DL462" s="190"/>
    </row>
    <row r="463" spans="22:116" x14ac:dyDescent="0.25">
      <c r="V463" s="63"/>
      <c r="W463" s="18"/>
      <c r="X463" s="18"/>
      <c r="Y463" s="196"/>
      <c r="Z463" s="196"/>
      <c r="AA463" s="196"/>
      <c r="AB463" s="196"/>
      <c r="AC463" s="196"/>
      <c r="AD463" s="196"/>
      <c r="AE463" s="196"/>
      <c r="AF463" s="196"/>
      <c r="AG463" s="196"/>
      <c r="AH463" s="196"/>
      <c r="AI463" s="196"/>
      <c r="AJ463" s="196"/>
      <c r="AK463" s="196"/>
      <c r="AL463" s="196"/>
      <c r="AM463" s="196"/>
      <c r="AN463" s="196"/>
      <c r="AO463" s="196"/>
      <c r="AP463" s="190"/>
      <c r="AQ463" s="66">
        <v>19</v>
      </c>
      <c r="AR463" s="66">
        <v>2023</v>
      </c>
      <c r="AS463" s="215">
        <f t="shared" si="2808"/>
        <v>23455.561580579113</v>
      </c>
      <c r="AT463" s="215">
        <f t="shared" si="2933"/>
        <v>3091.9387502525738</v>
      </c>
      <c r="AU463" s="215">
        <f t="shared" si="2933"/>
        <v>2734.8093186548981</v>
      </c>
      <c r="AV463" s="215">
        <f t="shared" si="2933"/>
        <v>529.31026626969265</v>
      </c>
      <c r="AW463" s="215">
        <f t="shared" si="2933"/>
        <v>8935.9552154930025</v>
      </c>
      <c r="AX463" s="215">
        <f t="shared" si="2933"/>
        <v>4460.0180536091157</v>
      </c>
      <c r="AY463" s="215">
        <f t="shared" si="2933"/>
        <v>26641.040648236034</v>
      </c>
      <c r="AZ463" s="215">
        <f t="shared" si="2933"/>
        <v>10823.974530334603</v>
      </c>
      <c r="BA463" s="215">
        <f t="shared" si="2933"/>
        <v>3112.8684688043149</v>
      </c>
      <c r="BB463" s="215">
        <f t="shared" si="2933"/>
        <v>634.72845935126884</v>
      </c>
      <c r="BC463" s="215">
        <f t="shared" si="2933"/>
        <v>2881.2984922299543</v>
      </c>
      <c r="BD463" s="215">
        <f t="shared" si="2933"/>
        <v>4075.5765499454214</v>
      </c>
      <c r="BE463" s="215">
        <f t="shared" si="2933"/>
        <v>2703.466924647837</v>
      </c>
      <c r="BF463" s="215">
        <f t="shared" si="2933"/>
        <v>28373.726909512898</v>
      </c>
      <c r="BG463" s="215">
        <f t="shared" si="2933"/>
        <v>8510.5175128929332</v>
      </c>
      <c r="BH463" s="215">
        <f t="shared" si="2933"/>
        <v>1863.9537446004988</v>
      </c>
      <c r="BI463" s="215">
        <f t="shared" si="2933"/>
        <v>5409.086796850379</v>
      </c>
      <c r="BJ463" s="195"/>
      <c r="BK463" s="66">
        <v>19</v>
      </c>
      <c r="BL463" s="66">
        <v>2023</v>
      </c>
      <c r="BM463" s="215">
        <f t="shared" ref="BM463:BO463" si="2958">SUM(BM23,BM45,BM67,BM89,BM111,BM133,BM155,BM177,BM199,BM221,BM243,BM265,BM287,BM309,BM331,BM353,BM375,BM397,BM419,BM441)</f>
        <v>1355.2365099400577</v>
      </c>
      <c r="BN463" s="215">
        <f t="shared" si="2958"/>
        <v>917.20434547789023</v>
      </c>
      <c r="BO463" s="215">
        <f t="shared" si="2958"/>
        <v>603.62653953316101</v>
      </c>
      <c r="BP463" s="215">
        <f t="shared" ref="BP463" si="2959">SUM(BP23,BP45,BP67,BP89,BP111,BP133,BP155,BP177,BP199,BP221,BP243,BP265,BP287,BP309,BP331,BP353,BP375,BP397,BP419,BP441)</f>
        <v>236.80107385320611</v>
      </c>
      <c r="BQ463" s="215">
        <f t="shared" ref="BQ463:BS463" si="2960">SUM(BQ23,BQ45,BQ67,BQ89,BQ111,BQ133,BQ155,BQ177,BQ199,BQ221,BQ243,BQ265,BQ287,BQ309,BQ331,BQ353,BQ375,BQ397,BQ419,BQ441)</f>
        <v>280.75770225883582</v>
      </c>
      <c r="BR463" s="215">
        <f t="shared" si="2960"/>
        <v>260.31420890474493</v>
      </c>
      <c r="BS463" s="215">
        <f t="shared" si="2960"/>
        <v>381.82624137748155</v>
      </c>
      <c r="BT463" s="215">
        <f t="shared" ref="BT463:BW463" si="2961">SUM(BT23,BT45,BT67,BT89,BT111,BT133,BT155,BT177,BT199,BT221,BT243,BT265,BT287,BT309,BT331,BT353,BT375,BT397,BT419,BT441)</f>
        <v>100.26841146375105</v>
      </c>
      <c r="BU463" s="215">
        <f t="shared" si="2961"/>
        <v>353.34242052305387</v>
      </c>
      <c r="BV463" s="215">
        <f t="shared" si="2961"/>
        <v>162.87067844573815</v>
      </c>
      <c r="BW463" s="215">
        <f t="shared" si="2961"/>
        <v>262.35486572012201</v>
      </c>
      <c r="BX463" s="220">
        <f t="shared" si="2880"/>
        <v>62.219215906771204</v>
      </c>
      <c r="BY463" s="195"/>
      <c r="BZ463" s="66">
        <v>19</v>
      </c>
      <c r="CA463" s="66">
        <v>2023</v>
      </c>
      <c r="CB463" s="215">
        <f t="shared" ref="CB463:CM463" si="2962">SUM(CB23,CB45,CB67,CB89,CB111,CB133,CB155,CB177,CB199,CB221,CB243,CB265,CB287,CB309,CB331,CB353,CB375,CB397,CB419,CB441)</f>
        <v>426.60708102377714</v>
      </c>
      <c r="CC463" s="215">
        <f t="shared" si="2962"/>
        <v>52.781615784240643</v>
      </c>
      <c r="CD463" s="215">
        <f t="shared" si="2962"/>
        <v>49.92156946167492</v>
      </c>
      <c r="CE463" s="215">
        <f t="shared" si="2962"/>
        <v>249.3380603480002</v>
      </c>
      <c r="CF463" s="215">
        <f t="shared" si="2962"/>
        <v>116.78163678303069</v>
      </c>
      <c r="CG463" s="215">
        <f t="shared" si="2962"/>
        <v>130.55766700339905</v>
      </c>
      <c r="CH463" s="215">
        <f t="shared" si="2962"/>
        <v>51.936325169104279</v>
      </c>
      <c r="CI463" s="215">
        <f t="shared" ref="CI463:CL463" si="2963">SUM(CI23,CI45,CI67,CI89,CI111,CI133,CI155,CI177,CI199,CI221,CI243,CI265,CI287,CI309,CI331,CI353,CI375,CI397,CI419,CI441)</f>
        <v>37.854150259299978</v>
      </c>
      <c r="CJ463" s="215">
        <f t="shared" si="2963"/>
        <v>25.770175849974532</v>
      </c>
      <c r="CK463" s="215">
        <f t="shared" si="2963"/>
        <v>16.25628696471637</v>
      </c>
      <c r="CL463" s="215">
        <f t="shared" si="2963"/>
        <v>6.2341569737437892</v>
      </c>
      <c r="CM463" s="215">
        <f t="shared" si="2962"/>
        <v>1183.8076335644969</v>
      </c>
      <c r="CN463" s="215">
        <f t="shared" ref="CN463:CQ463" si="2964">SUM(CN23,CN45,CN67,CN89,CN111,CN133,CN155,CN177,CN199,CN221,CN243,CN265,CN287,CN309,CN331,CN353,CN375,CN397,CN419,CN441)</f>
        <v>1571.670978569178</v>
      </c>
      <c r="CO463" s="215">
        <f t="shared" si="2964"/>
        <v>399.54456010639467</v>
      </c>
      <c r="CP463" s="215">
        <f t="shared" si="2964"/>
        <v>722.13660822776478</v>
      </c>
      <c r="CQ463" s="215">
        <f t="shared" si="2964"/>
        <v>774.89131338248637</v>
      </c>
      <c r="CR463" s="215">
        <f t="shared" ref="CR463:CY463" si="2965">SUM(CR23,CR45,CR67,CR89,CR111,CR133,CR155,CR177,CR199,CR221,CR243,CR265,CR287,CR309,CR331,CR353,CR375,CR397,CR419,CR441)</f>
        <v>115.48537604260957</v>
      </c>
      <c r="CS463" s="215">
        <f t="shared" si="2965"/>
        <v>108.05806811999612</v>
      </c>
      <c r="CT463" s="215">
        <f t="shared" si="2965"/>
        <v>157.1640003245659</v>
      </c>
      <c r="CU463" s="215">
        <f t="shared" si="2965"/>
        <v>41.205614798047009</v>
      </c>
      <c r="CV463" s="215">
        <f t="shared" si="2965"/>
        <v>143.15033034391922</v>
      </c>
      <c r="CW463" s="215">
        <f t="shared" si="2965"/>
        <v>64.37298000598085</v>
      </c>
      <c r="CX463" s="215">
        <f t="shared" si="2965"/>
        <v>103.59300067374573</v>
      </c>
      <c r="CY463" s="215">
        <f t="shared" si="2965"/>
        <v>24.006332691194405</v>
      </c>
      <c r="CZ463" s="190"/>
      <c r="DA463" s="66">
        <v>2023</v>
      </c>
      <c r="DB463" s="218">
        <f t="shared" si="2802"/>
        <v>11627.53335380711</v>
      </c>
      <c r="DC463" s="218">
        <f t="shared" si="2803"/>
        <v>131664.7066997932</v>
      </c>
      <c r="DD463" s="73">
        <f t="shared" si="2804"/>
        <v>77052.726525624312</v>
      </c>
      <c r="DE463" s="73">
        <f t="shared" si="2805"/>
        <v>39587.711347053671</v>
      </c>
      <c r="DF463" s="73">
        <f t="shared" si="2806"/>
        <v>8820.8287867758736</v>
      </c>
      <c r="DG463" s="73">
        <f t="shared" si="2807"/>
        <v>25329.670524682304</v>
      </c>
      <c r="DH463" s="72">
        <f t="shared" si="2817"/>
        <v>0.75259740683511922</v>
      </c>
      <c r="DI463" s="72">
        <f t="shared" si="2818"/>
        <v>0.81778362325346021</v>
      </c>
      <c r="DJ463" s="73">
        <f>SUM(AV444:AV463,BB444:BB463,BI444:BI463)</f>
        <v>147601.81330020682</v>
      </c>
      <c r="DK463" s="73">
        <f>SUM(AV450:AV463,BB450:BB463,BI450:BI463)</f>
        <v>93583.736951973944</v>
      </c>
      <c r="DL463" s="190"/>
    </row>
    <row r="464" spans="22:116" x14ac:dyDescent="0.25">
      <c r="AP464" s="190"/>
      <c r="AQ464" s="190"/>
      <c r="AR464" s="190"/>
      <c r="AS464" s="217"/>
      <c r="AT464" s="217"/>
      <c r="AU464" s="217"/>
      <c r="AV464" s="217"/>
      <c r="AW464" s="217"/>
      <c r="AX464" s="217"/>
      <c r="AY464" s="217"/>
      <c r="AZ464" s="217"/>
      <c r="BA464" s="217"/>
      <c r="BB464" s="217"/>
      <c r="BC464" s="217"/>
      <c r="BD464" s="217"/>
      <c r="BE464" s="217"/>
      <c r="BF464" s="217"/>
      <c r="BG464" s="217"/>
      <c r="BH464" s="217"/>
      <c r="BI464" s="217"/>
      <c r="BJ464" s="190"/>
      <c r="BK464" s="190"/>
      <c r="BL464" s="190"/>
      <c r="BM464" s="217"/>
      <c r="BN464" s="217"/>
      <c r="BO464" s="217"/>
      <c r="BP464" s="217"/>
      <c r="BQ464" s="217"/>
      <c r="BR464" s="217"/>
      <c r="BS464" s="217"/>
      <c r="BT464" s="217"/>
      <c r="BU464" s="217"/>
      <c r="BV464" s="217"/>
      <c r="BW464" s="217"/>
      <c r="BX464" s="217"/>
      <c r="BY464" s="190"/>
      <c r="BZ464" s="190"/>
      <c r="CA464" s="190"/>
      <c r="CB464" s="217"/>
      <c r="CC464" s="217"/>
      <c r="CD464" s="217"/>
      <c r="CE464" s="217"/>
      <c r="CF464" s="217"/>
      <c r="CG464" s="217"/>
      <c r="CH464" s="217"/>
      <c r="CI464" s="217"/>
      <c r="CJ464" s="217"/>
      <c r="CK464" s="217"/>
      <c r="CL464" s="217"/>
      <c r="CM464" s="217"/>
      <c r="CN464" s="217"/>
      <c r="CO464" s="217"/>
      <c r="CP464" s="217"/>
      <c r="CQ464" s="217"/>
      <c r="CR464" s="217"/>
      <c r="CS464" s="217"/>
      <c r="CT464" s="217"/>
      <c r="CU464" s="217"/>
      <c r="CV464" s="217"/>
      <c r="CW464" s="217"/>
      <c r="CX464" s="217"/>
      <c r="CY464" s="217"/>
      <c r="CZ464" s="190"/>
      <c r="DA464" s="190"/>
      <c r="DB464" s="217"/>
      <c r="DC464" s="217"/>
      <c r="DD464" s="217"/>
      <c r="DE464" s="217"/>
      <c r="DF464" s="217"/>
      <c r="DG464" s="217"/>
      <c r="DH464" s="222"/>
      <c r="DI464" s="222"/>
      <c r="DJ464" s="217"/>
      <c r="DK464" s="217"/>
      <c r="DL464" s="190"/>
    </row>
  </sheetData>
  <sheetProtection algorithmName="SHA-512" hashValue="xPEVN8/tSTSDE6j70Eo7MGIK2+raaqKCFTMSLnSiJAyGUPLikjWnbfABcfWTiUlCOok9wgDbsn0AXo9hhhuYww==" saltValue="crGTftWBHi2loK+6poZ3yA==" spinCount="100000" sheet="1" objects="1" scenarios="1"/>
  <mergeCells count="110">
    <mergeCell ref="BM1:BP1"/>
    <mergeCell ref="BQ1:BX1"/>
    <mergeCell ref="CB1:CD1"/>
    <mergeCell ref="CE1:CL1"/>
    <mergeCell ref="CM1:CY1"/>
    <mergeCell ref="CE46:CL46"/>
    <mergeCell ref="CM46:CY46"/>
    <mergeCell ref="CB178:CD178"/>
    <mergeCell ref="CE178:CL178"/>
    <mergeCell ref="CM178:CY178"/>
    <mergeCell ref="CB112:CD112"/>
    <mergeCell ref="CE112:CL112"/>
    <mergeCell ref="CM112:CY112"/>
    <mergeCell ref="CB134:CD134"/>
    <mergeCell ref="CE134:CL134"/>
    <mergeCell ref="CM134:CY134"/>
    <mergeCell ref="BQ112:BX112"/>
    <mergeCell ref="BQ134:BX134"/>
    <mergeCell ref="BQ156:BX156"/>
    <mergeCell ref="BQ46:BX46"/>
    <mergeCell ref="BQ68:BX68"/>
    <mergeCell ref="BQ90:BX90"/>
    <mergeCell ref="CB2:CD2"/>
    <mergeCell ref="CE2:CL2"/>
    <mergeCell ref="CB244:CD244"/>
    <mergeCell ref="CE244:CL244"/>
    <mergeCell ref="CM244:CY244"/>
    <mergeCell ref="CB266:CD266"/>
    <mergeCell ref="CE266:CL266"/>
    <mergeCell ref="CM266:CY266"/>
    <mergeCell ref="CB200:CD200"/>
    <mergeCell ref="CE200:CL200"/>
    <mergeCell ref="CM200:CY200"/>
    <mergeCell ref="CB222:CD222"/>
    <mergeCell ref="CE222:CL222"/>
    <mergeCell ref="CM222:CY222"/>
    <mergeCell ref="CB332:CD332"/>
    <mergeCell ref="CE332:CL332"/>
    <mergeCell ref="CM332:CY332"/>
    <mergeCell ref="CB354:CD354"/>
    <mergeCell ref="CE354:CL354"/>
    <mergeCell ref="CM354:CY354"/>
    <mergeCell ref="CB288:CD288"/>
    <mergeCell ref="CE288:CL288"/>
    <mergeCell ref="CM288:CY288"/>
    <mergeCell ref="CB310:CD310"/>
    <mergeCell ref="CE310:CL310"/>
    <mergeCell ref="CM310:CY310"/>
    <mergeCell ref="CB420:CD420"/>
    <mergeCell ref="CE420:CL420"/>
    <mergeCell ref="CM420:CY420"/>
    <mergeCell ref="CB442:CD442"/>
    <mergeCell ref="CE442:CL442"/>
    <mergeCell ref="CM442:CY442"/>
    <mergeCell ref="CB376:CD376"/>
    <mergeCell ref="CE376:CL376"/>
    <mergeCell ref="CM376:CY376"/>
    <mergeCell ref="CB398:CD398"/>
    <mergeCell ref="CE398:CL398"/>
    <mergeCell ref="CM398:CY398"/>
    <mergeCell ref="CM2:CY2"/>
    <mergeCell ref="BQ2:BX2"/>
    <mergeCell ref="BQ24:BX24"/>
    <mergeCell ref="CB156:CD156"/>
    <mergeCell ref="CE156:CL156"/>
    <mergeCell ref="CM156:CY156"/>
    <mergeCell ref="CB68:CD68"/>
    <mergeCell ref="CE68:CL68"/>
    <mergeCell ref="CM68:CY68"/>
    <mergeCell ref="CB90:CD90"/>
    <mergeCell ref="CE90:CL90"/>
    <mergeCell ref="CM90:CY90"/>
    <mergeCell ref="CB24:CD24"/>
    <mergeCell ref="CE24:CL24"/>
    <mergeCell ref="CM24:CY24"/>
    <mergeCell ref="CB46:CD46"/>
    <mergeCell ref="BQ288:BX288"/>
    <mergeCell ref="BM244:BP244"/>
    <mergeCell ref="BM266:BP266"/>
    <mergeCell ref="BM288:BP288"/>
    <mergeCell ref="BQ178:BX178"/>
    <mergeCell ref="BQ200:BX200"/>
    <mergeCell ref="BQ222:BX222"/>
    <mergeCell ref="BM178:BP178"/>
    <mergeCell ref="BM200:BP200"/>
    <mergeCell ref="BM222:BP222"/>
    <mergeCell ref="BM442:BP442"/>
    <mergeCell ref="BQ442:BX442"/>
    <mergeCell ref="BM2:BP2"/>
    <mergeCell ref="BM24:BP24"/>
    <mergeCell ref="BM46:BP46"/>
    <mergeCell ref="BM68:BP68"/>
    <mergeCell ref="BM90:BP90"/>
    <mergeCell ref="BM112:BP112"/>
    <mergeCell ref="BM134:BP134"/>
    <mergeCell ref="BM156:BP156"/>
    <mergeCell ref="BQ376:BX376"/>
    <mergeCell ref="BQ398:BX398"/>
    <mergeCell ref="BQ420:BX420"/>
    <mergeCell ref="BM376:BP376"/>
    <mergeCell ref="BM398:BP398"/>
    <mergeCell ref="BM420:BP420"/>
    <mergeCell ref="BQ310:BX310"/>
    <mergeCell ref="BQ332:BX332"/>
    <mergeCell ref="BQ354:BX354"/>
    <mergeCell ref="BM310:BP310"/>
    <mergeCell ref="BM332:BP332"/>
    <mergeCell ref="BM354:BP354"/>
    <mergeCell ref="BQ244:BX244"/>
    <mergeCell ref="BQ266:BX26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V79"/>
  <sheetViews>
    <sheetView zoomScaleNormal="100" workbookViewId="0">
      <pane xSplit="2" ySplit="1" topLeftCell="C2" activePane="bottomRight" state="frozen"/>
      <selection pane="topRight" activeCell="C1" sqref="C1"/>
      <selection pane="bottomLeft" activeCell="A3" sqref="A3"/>
      <selection pane="bottomRight" activeCell="C2" sqref="C2"/>
    </sheetView>
  </sheetViews>
  <sheetFormatPr defaultColWidth="9.140625" defaultRowHeight="15" x14ac:dyDescent="0.25"/>
  <cols>
    <col min="1" max="1" width="2.7109375" style="127" customWidth="1"/>
    <col min="2" max="2" width="37.5703125" style="127" customWidth="1"/>
    <col min="3" max="3" width="10.42578125" style="311" customWidth="1"/>
    <col min="4" max="7" width="10.42578125" style="127" customWidth="1"/>
    <col min="8" max="8" width="10.42578125" style="64" customWidth="1"/>
    <col min="9" max="12" width="10.42578125" style="127" customWidth="1"/>
    <col min="13" max="14" width="10.42578125" style="64" customWidth="1"/>
    <col min="15" max="17" width="10.42578125" style="127" customWidth="1"/>
    <col min="18" max="18" width="10.42578125" style="64" customWidth="1"/>
    <col min="19" max="22" width="10.42578125" style="127" customWidth="1"/>
    <col min="23" max="16384" width="9.140625" style="127"/>
  </cols>
  <sheetData>
    <row r="1" spans="1:22" s="137" customFormat="1" x14ac:dyDescent="0.25">
      <c r="A1" s="134"/>
      <c r="B1" s="135"/>
      <c r="C1" s="79">
        <v>2004</v>
      </c>
      <c r="D1" s="80">
        <v>2005</v>
      </c>
      <c r="E1" s="80">
        <v>2006</v>
      </c>
      <c r="F1" s="80">
        <v>2007</v>
      </c>
      <c r="G1" s="80">
        <v>2008</v>
      </c>
      <c r="H1" s="80">
        <v>2009</v>
      </c>
      <c r="I1" s="80">
        <v>2010</v>
      </c>
      <c r="J1" s="80">
        <v>2011</v>
      </c>
      <c r="K1" s="80">
        <v>2012</v>
      </c>
      <c r="L1" s="80">
        <v>2013</v>
      </c>
      <c r="M1" s="80">
        <v>2014</v>
      </c>
      <c r="N1" s="80">
        <v>2015</v>
      </c>
      <c r="O1" s="80">
        <v>2016</v>
      </c>
      <c r="P1" s="80">
        <v>2017</v>
      </c>
      <c r="Q1" s="80">
        <v>2018</v>
      </c>
      <c r="R1" s="80">
        <v>2019</v>
      </c>
      <c r="S1" s="80">
        <v>2020</v>
      </c>
      <c r="T1" s="80">
        <v>2021</v>
      </c>
      <c r="U1" s="80">
        <v>2022</v>
      </c>
      <c r="V1" s="80">
        <v>2023</v>
      </c>
    </row>
    <row r="2" spans="1:22" x14ac:dyDescent="0.25">
      <c r="A2" s="86" t="s">
        <v>313</v>
      </c>
      <c r="B2" s="64"/>
      <c r="C2" s="87"/>
      <c r="D2" s="88"/>
      <c r="E2" s="88"/>
      <c r="F2" s="88"/>
      <c r="G2" s="88"/>
      <c r="H2" s="88"/>
      <c r="I2" s="64"/>
      <c r="J2" s="88"/>
      <c r="K2" s="88"/>
      <c r="L2" s="88"/>
      <c r="M2" s="88"/>
      <c r="O2" s="64"/>
      <c r="P2" s="88"/>
      <c r="Q2" s="88"/>
      <c r="R2" s="88"/>
      <c r="S2" s="88"/>
      <c r="T2" s="64"/>
      <c r="V2" s="64"/>
    </row>
    <row r="3" spans="1:22" x14ac:dyDescent="0.25">
      <c r="A3" s="82"/>
      <c r="B3" s="64" t="s">
        <v>124</v>
      </c>
      <c r="C3" s="94">
        <f>'Model (SN)'!C3-'Model (SC)'!C3</f>
        <v>0</v>
      </c>
      <c r="D3" s="91">
        <f>'Model (SN)'!D3-'Model (SC)'!D3</f>
        <v>0</v>
      </c>
      <c r="E3" s="91">
        <f>'Model (SN)'!E3-'Model (SC)'!E3</f>
        <v>0</v>
      </c>
      <c r="F3" s="91">
        <f>'Model (SN)'!F3-'Model (SC)'!F3</f>
        <v>0</v>
      </c>
      <c r="G3" s="91">
        <f>'Model (SN)'!G3-'Model (SC)'!G3</f>
        <v>0</v>
      </c>
      <c r="H3" s="91">
        <f>'Model (SN)'!H3-'Model (SC)'!H3</f>
        <v>0</v>
      </c>
      <c r="I3" s="91">
        <f>'Model (SN)'!I3-'Model (SC)'!I3</f>
        <v>0</v>
      </c>
      <c r="J3" s="91">
        <f>'Model (SN)'!J3-'Model (SC)'!J3</f>
        <v>0</v>
      </c>
      <c r="K3" s="91">
        <f>'Model (SN)'!K3-'Model (SC)'!K3</f>
        <v>0</v>
      </c>
      <c r="L3" s="91">
        <f>'Model (SN)'!L3-'Model (SC)'!L3</f>
        <v>0</v>
      </c>
      <c r="M3" s="91">
        <f>'Model (SN)'!M3-'Model (SC)'!M3</f>
        <v>0</v>
      </c>
      <c r="N3" s="91">
        <f>'Model (SN)'!N3-'Model (SC)'!N3</f>
        <v>0</v>
      </c>
      <c r="O3" s="91">
        <f>'Model (SN)'!O3-'Model (SC)'!O3</f>
        <v>0</v>
      </c>
      <c r="P3" s="91">
        <f>'Model (SN)'!P3-'Model (SC)'!P3</f>
        <v>0</v>
      </c>
      <c r="Q3" s="91">
        <f>'Model (SN)'!Q3-'Model (SC)'!Q3</f>
        <v>0</v>
      </c>
      <c r="R3" s="91">
        <f>'Model (SN)'!R3-'Model (SC)'!R3</f>
        <v>0</v>
      </c>
      <c r="S3" s="91">
        <f>'Model (SN)'!S3-'Model (SC)'!S3</f>
        <v>0</v>
      </c>
      <c r="T3" s="91">
        <f>'Model (SN)'!T3-'Model (SC)'!T3</f>
        <v>0</v>
      </c>
      <c r="U3" s="91">
        <f>'Model (SN)'!U3-'Model (SC)'!U3</f>
        <v>0</v>
      </c>
      <c r="V3" s="91">
        <f>'Model (SN)'!V3-'Model (SC)'!V3</f>
        <v>0</v>
      </c>
    </row>
    <row r="4" spans="1:22" x14ac:dyDescent="0.25">
      <c r="A4" s="82"/>
      <c r="B4" s="64" t="s">
        <v>630</v>
      </c>
      <c r="C4" s="94">
        <f>'Model (SN)'!C4-'Model (SC)'!C4</f>
        <v>0</v>
      </c>
      <c r="D4" s="91">
        <f>'Model (SN)'!D4-'Model (SC)'!D4</f>
        <v>0</v>
      </c>
      <c r="E4" s="91">
        <f>'Model (SN)'!E4-'Model (SC)'!E4</f>
        <v>0</v>
      </c>
      <c r="F4" s="91">
        <f>'Model (SN)'!F4-'Model (SC)'!F4</f>
        <v>0</v>
      </c>
      <c r="G4" s="91">
        <f>'Model (SN)'!G4-'Model (SC)'!G4</f>
        <v>0</v>
      </c>
      <c r="H4" s="91">
        <f>'Model (SN)'!H4-'Model (SC)'!H4</f>
        <v>0</v>
      </c>
      <c r="I4" s="91">
        <f>'Model (SN)'!I4-'Model (SC)'!I4</f>
        <v>0</v>
      </c>
      <c r="J4" s="91">
        <f>'Model (SN)'!J4-'Model (SC)'!J4</f>
        <v>0</v>
      </c>
      <c r="K4" s="91">
        <f>'Model (SN)'!K4-'Model (SC)'!K4</f>
        <v>0</v>
      </c>
      <c r="L4" s="91">
        <f>'Model (SN)'!L4-'Model (SC)'!L4</f>
        <v>0</v>
      </c>
      <c r="M4" s="91">
        <f>'Model (SN)'!M4-'Model (SC)'!M4</f>
        <v>0</v>
      </c>
      <c r="N4" s="91">
        <f>'Model (SN)'!N4-'Model (SC)'!N4</f>
        <v>0</v>
      </c>
      <c r="O4" s="91">
        <f>'Model (SN)'!O4-'Model (SC)'!O4</f>
        <v>0</v>
      </c>
      <c r="P4" s="91">
        <f>'Model (SN)'!P4-'Model (SC)'!P4</f>
        <v>0</v>
      </c>
      <c r="Q4" s="91">
        <f>'Model (SN)'!Q4-'Model (SC)'!Q4</f>
        <v>0</v>
      </c>
      <c r="R4" s="91">
        <f>'Model (SN)'!R4-'Model (SC)'!R4</f>
        <v>0</v>
      </c>
      <c r="S4" s="91">
        <f>'Model (SN)'!S4-'Model (SC)'!S4</f>
        <v>0</v>
      </c>
      <c r="T4" s="91">
        <f>'Model (SN)'!T4-'Model (SC)'!T4</f>
        <v>0</v>
      </c>
      <c r="U4" s="91">
        <f>'Model (SN)'!U4-'Model (SC)'!U4</f>
        <v>0</v>
      </c>
      <c r="V4" s="91">
        <f>'Model (SN)'!V4-'Model (SC)'!V4</f>
        <v>0</v>
      </c>
    </row>
    <row r="5" spans="1:22" x14ac:dyDescent="0.25">
      <c r="A5" s="82"/>
      <c r="B5" s="64" t="s">
        <v>570</v>
      </c>
      <c r="C5" s="318">
        <f>'Model (SN)'!C5-'Model (SC)'!C5</f>
        <v>0</v>
      </c>
      <c r="D5" s="91">
        <f>'Model (SN)'!D5-'Model (SC)'!D5</f>
        <v>0</v>
      </c>
      <c r="E5" s="91">
        <f>'Model (SN)'!E5-'Model (SC)'!E5</f>
        <v>0</v>
      </c>
      <c r="F5" s="91">
        <f>'Model (SN)'!F5-'Model (SC)'!F5</f>
        <v>0</v>
      </c>
      <c r="G5" s="91">
        <f>'Model (SN)'!G5-'Model (SC)'!G5</f>
        <v>0</v>
      </c>
      <c r="H5" s="91">
        <f>'Model (SN)'!H5-'Model (SC)'!H5</f>
        <v>0</v>
      </c>
      <c r="I5" s="91">
        <f>'Model (SN)'!I5-'Model (SC)'!I5</f>
        <v>0</v>
      </c>
      <c r="J5" s="91">
        <f>'Model (SN)'!J5-'Model (SC)'!J5</f>
        <v>0</v>
      </c>
      <c r="K5" s="91">
        <f>'Model (SN)'!K5-'Model (SC)'!K5</f>
        <v>0</v>
      </c>
      <c r="L5" s="91">
        <f>'Model (SN)'!L5-'Model (SC)'!L5</f>
        <v>0</v>
      </c>
      <c r="M5" s="91">
        <f>'Model (SN)'!M5-'Model (SC)'!M5</f>
        <v>0</v>
      </c>
      <c r="N5" s="91">
        <f>'Model (SN)'!N5-'Model (SC)'!N5</f>
        <v>0</v>
      </c>
      <c r="O5" s="91">
        <f>'Model (SN)'!O5-'Model (SC)'!O5</f>
        <v>0</v>
      </c>
      <c r="P5" s="91">
        <f>'Model (SN)'!P5-'Model (SC)'!P5</f>
        <v>0</v>
      </c>
      <c r="Q5" s="91">
        <f>'Model (SN)'!Q5-'Model (SC)'!Q5</f>
        <v>0</v>
      </c>
      <c r="R5" s="91">
        <f>'Model (SN)'!R5-'Model (SC)'!R5</f>
        <v>0</v>
      </c>
      <c r="S5" s="91">
        <f>'Model (SN)'!S5-'Model (SC)'!S5</f>
        <v>0</v>
      </c>
      <c r="T5" s="91">
        <f>'Model (SN)'!T5-'Model (SC)'!T5</f>
        <v>0</v>
      </c>
      <c r="U5" s="91">
        <f>'Model (SN)'!U5-'Model (SC)'!U5</f>
        <v>0</v>
      </c>
      <c r="V5" s="91">
        <f>'Model (SN)'!V5-'Model (SC)'!V5</f>
        <v>0</v>
      </c>
    </row>
    <row r="6" spans="1:22" x14ac:dyDescent="0.25">
      <c r="A6" s="82"/>
      <c r="B6" s="64" t="s">
        <v>127</v>
      </c>
      <c r="C6" s="310">
        <f>'Model (SN)'!C6-'Model (SC)'!C6</f>
        <v>0</v>
      </c>
      <c r="D6" s="91">
        <f>'Model (SN)'!D6-'Model (SC)'!D6</f>
        <v>0</v>
      </c>
      <c r="E6" s="91">
        <f>'Model (SN)'!E6-'Model (SC)'!E6</f>
        <v>0</v>
      </c>
      <c r="F6" s="91">
        <f>'Model (SN)'!F6-'Model (SC)'!F6</f>
        <v>0</v>
      </c>
      <c r="G6" s="91">
        <f>'Model (SN)'!G6-'Model (SC)'!G6</f>
        <v>0</v>
      </c>
      <c r="H6" s="91">
        <f>'Model (SN)'!H6-'Model (SC)'!H6</f>
        <v>0</v>
      </c>
      <c r="I6" s="91">
        <f>'Model (SN)'!I6-'Model (SC)'!I6</f>
        <v>0</v>
      </c>
      <c r="J6" s="91">
        <f>'Model (SN)'!J6-'Model (SC)'!J6</f>
        <v>0</v>
      </c>
      <c r="K6" s="91">
        <f>'Model (SN)'!K6-'Model (SC)'!K6</f>
        <v>0</v>
      </c>
      <c r="L6" s="91">
        <f>'Model (SN)'!L6-'Model (SC)'!L6</f>
        <v>0</v>
      </c>
      <c r="M6" s="91">
        <f>'Model (SN)'!M6-'Model (SC)'!M6</f>
        <v>0</v>
      </c>
      <c r="N6" s="91">
        <f>'Model (SN)'!N6-'Model (SC)'!N6</f>
        <v>0</v>
      </c>
      <c r="O6" s="91">
        <f>'Model (SN)'!O6-'Model (SC)'!O6</f>
        <v>0</v>
      </c>
      <c r="P6" s="91">
        <f>'Model (SN)'!P6-'Model (SC)'!P6</f>
        <v>0</v>
      </c>
      <c r="Q6" s="91">
        <f>'Model (SN)'!Q6-'Model (SC)'!Q6</f>
        <v>0</v>
      </c>
      <c r="R6" s="91">
        <f>'Model (SN)'!R6-'Model (SC)'!R6</f>
        <v>0</v>
      </c>
      <c r="S6" s="91">
        <f>'Model (SN)'!S6-'Model (SC)'!S6</f>
        <v>0</v>
      </c>
      <c r="T6" s="91">
        <f>'Model (SN)'!T6-'Model (SC)'!T6</f>
        <v>0</v>
      </c>
      <c r="U6" s="91">
        <f>'Model (SN)'!U6-'Model (SC)'!U6</f>
        <v>0</v>
      </c>
      <c r="V6" s="91">
        <f>'Model (SN)'!V6-'Model (SC)'!V6</f>
        <v>0</v>
      </c>
    </row>
    <row r="7" spans="1:22" x14ac:dyDescent="0.25">
      <c r="A7" s="82"/>
      <c r="B7" s="63" t="s">
        <v>128</v>
      </c>
      <c r="C7" s="310">
        <f>'Model (SN)'!C7-'Model (SC)'!C7</f>
        <v>0</v>
      </c>
      <c r="D7" s="91">
        <f>'Model (SN)'!D7-'Model (SC)'!D7</f>
        <v>0</v>
      </c>
      <c r="E7" s="91">
        <f>'Model (SN)'!E7-'Model (SC)'!E7</f>
        <v>0</v>
      </c>
      <c r="F7" s="91">
        <f>'Model (SN)'!F7-'Model (SC)'!F7</f>
        <v>0</v>
      </c>
      <c r="G7" s="91">
        <f>'Model (SN)'!G7-'Model (SC)'!G7</f>
        <v>0</v>
      </c>
      <c r="H7" s="91">
        <f>'Model (SN)'!H7-'Model (SC)'!H7</f>
        <v>0</v>
      </c>
      <c r="I7" s="91">
        <f>'Model (SN)'!I7-'Model (SC)'!I7</f>
        <v>0</v>
      </c>
      <c r="J7" s="91">
        <f>'Model (SN)'!J7-'Model (SC)'!J7</f>
        <v>0</v>
      </c>
      <c r="K7" s="91">
        <f>'Model (SN)'!K7-'Model (SC)'!K7</f>
        <v>0</v>
      </c>
      <c r="L7" s="91">
        <f>'Model (SN)'!L7-'Model (SC)'!L7</f>
        <v>0</v>
      </c>
      <c r="M7" s="91">
        <f>'Model (SN)'!M7-'Model (SC)'!M7</f>
        <v>0</v>
      </c>
      <c r="N7" s="91">
        <f>'Model (SN)'!N7-'Model (SC)'!N7</f>
        <v>0</v>
      </c>
      <c r="O7" s="91">
        <f>'Model (SN)'!O7-'Model (SC)'!O7</f>
        <v>0</v>
      </c>
      <c r="P7" s="91">
        <f>'Model (SN)'!P7-'Model (SC)'!P7</f>
        <v>0</v>
      </c>
      <c r="Q7" s="91">
        <f>'Model (SN)'!Q7-'Model (SC)'!Q7</f>
        <v>0</v>
      </c>
      <c r="R7" s="91">
        <f>'Model (SN)'!R7-'Model (SC)'!R7</f>
        <v>0</v>
      </c>
      <c r="S7" s="91">
        <f>'Model (SN)'!S7-'Model (SC)'!S7</f>
        <v>0</v>
      </c>
      <c r="T7" s="91">
        <f>'Model (SN)'!T7-'Model (SC)'!T7</f>
        <v>0</v>
      </c>
      <c r="U7" s="91">
        <f>'Model (SN)'!U7-'Model (SC)'!U7</f>
        <v>0</v>
      </c>
      <c r="V7" s="91">
        <f>'Model (SN)'!V7-'Model (SC)'!V7</f>
        <v>0</v>
      </c>
    </row>
    <row r="8" spans="1:22" x14ac:dyDescent="0.25">
      <c r="A8" s="82"/>
      <c r="B8" s="63" t="s">
        <v>129</v>
      </c>
      <c r="C8" s="310">
        <f>'Model (SN)'!C8-'Model (SC)'!C8</f>
        <v>0</v>
      </c>
      <c r="D8" s="91">
        <f>'Model (SN)'!D8-'Model (SC)'!D8</f>
        <v>0</v>
      </c>
      <c r="E8" s="91">
        <f>'Model (SN)'!E8-'Model (SC)'!E8</f>
        <v>0</v>
      </c>
      <c r="F8" s="91">
        <f>'Model (SN)'!F8-'Model (SC)'!F8</f>
        <v>0</v>
      </c>
      <c r="G8" s="91">
        <f>'Model (SN)'!G8-'Model (SC)'!G8</f>
        <v>0</v>
      </c>
      <c r="H8" s="91">
        <f>'Model (SN)'!H8-'Model (SC)'!H8</f>
        <v>0</v>
      </c>
      <c r="I8" s="91">
        <f>'Model (SN)'!I8-'Model (SC)'!I8</f>
        <v>0</v>
      </c>
      <c r="J8" s="91">
        <f>'Model (SN)'!J8-'Model (SC)'!J8</f>
        <v>0</v>
      </c>
      <c r="K8" s="91">
        <f>'Model (SN)'!K8-'Model (SC)'!K8</f>
        <v>0</v>
      </c>
      <c r="L8" s="91">
        <f>'Model (SN)'!L8-'Model (SC)'!L8</f>
        <v>0</v>
      </c>
      <c r="M8" s="91">
        <f>'Model (SN)'!M8-'Model (SC)'!M8</f>
        <v>0</v>
      </c>
      <c r="N8" s="91">
        <f>'Model (SN)'!N8-'Model (SC)'!N8</f>
        <v>0</v>
      </c>
      <c r="O8" s="91">
        <f>'Model (SN)'!O8-'Model (SC)'!O8</f>
        <v>0</v>
      </c>
      <c r="P8" s="91">
        <f>'Model (SN)'!P8-'Model (SC)'!P8</f>
        <v>0</v>
      </c>
      <c r="Q8" s="91">
        <f>'Model (SN)'!Q8-'Model (SC)'!Q8</f>
        <v>0</v>
      </c>
      <c r="R8" s="91">
        <f>'Model (SN)'!R8-'Model (SC)'!R8</f>
        <v>0</v>
      </c>
      <c r="S8" s="91">
        <f>'Model (SN)'!S8-'Model (SC)'!S8</f>
        <v>0</v>
      </c>
      <c r="T8" s="91">
        <f>'Model (SN)'!T8-'Model (SC)'!T8</f>
        <v>0</v>
      </c>
      <c r="U8" s="91">
        <f>'Model (SN)'!U8-'Model (SC)'!U8</f>
        <v>0</v>
      </c>
      <c r="V8" s="91">
        <f>'Model (SN)'!V8-'Model (SC)'!V8</f>
        <v>0</v>
      </c>
    </row>
    <row r="9" spans="1:22" x14ac:dyDescent="0.25">
      <c r="A9" s="82"/>
      <c r="B9" s="63" t="s">
        <v>130</v>
      </c>
      <c r="C9" s="310">
        <f>'Model (SN)'!C9-'Model (SC)'!C9</f>
        <v>0</v>
      </c>
      <c r="D9" s="91">
        <f>'Model (SN)'!D9-'Model (SC)'!D9</f>
        <v>0</v>
      </c>
      <c r="E9" s="91">
        <f>'Model (SN)'!E9-'Model (SC)'!E9</f>
        <v>0</v>
      </c>
      <c r="F9" s="91">
        <f>'Model (SN)'!F9-'Model (SC)'!F9</f>
        <v>0</v>
      </c>
      <c r="G9" s="91">
        <f>'Model (SN)'!G9-'Model (SC)'!G9</f>
        <v>0</v>
      </c>
      <c r="H9" s="91">
        <f>'Model (SN)'!H9-'Model (SC)'!H9</f>
        <v>0</v>
      </c>
      <c r="I9" s="91">
        <f>'Model (SN)'!I9-'Model (SC)'!I9</f>
        <v>0</v>
      </c>
      <c r="J9" s="91">
        <f>'Model (SN)'!J9-'Model (SC)'!J9</f>
        <v>0</v>
      </c>
      <c r="K9" s="91">
        <f>'Model (SN)'!K9-'Model (SC)'!K9</f>
        <v>0</v>
      </c>
      <c r="L9" s="91">
        <f>'Model (SN)'!L9-'Model (SC)'!L9</f>
        <v>0</v>
      </c>
      <c r="M9" s="91">
        <f>'Model (SN)'!M9-'Model (SC)'!M9</f>
        <v>0</v>
      </c>
      <c r="N9" s="91">
        <f>'Model (SN)'!N9-'Model (SC)'!N9</f>
        <v>0</v>
      </c>
      <c r="O9" s="91">
        <f>'Model (SN)'!O9-'Model (SC)'!O9</f>
        <v>0</v>
      </c>
      <c r="P9" s="91">
        <f>'Model (SN)'!P9-'Model (SC)'!P9</f>
        <v>0</v>
      </c>
      <c r="Q9" s="91">
        <f>'Model (SN)'!Q9-'Model (SC)'!Q9</f>
        <v>0</v>
      </c>
      <c r="R9" s="91">
        <f>'Model (SN)'!R9-'Model (SC)'!R9</f>
        <v>0</v>
      </c>
      <c r="S9" s="91">
        <f>'Model (SN)'!S9-'Model (SC)'!S9</f>
        <v>0</v>
      </c>
      <c r="T9" s="91">
        <f>'Model (SN)'!T9-'Model (SC)'!T9</f>
        <v>0</v>
      </c>
      <c r="U9" s="91">
        <f>'Model (SN)'!U9-'Model (SC)'!U9</f>
        <v>0</v>
      </c>
      <c r="V9" s="91">
        <f>'Model (SN)'!V9-'Model (SC)'!V9</f>
        <v>0</v>
      </c>
    </row>
    <row r="10" spans="1:22" x14ac:dyDescent="0.25">
      <c r="A10" s="82"/>
      <c r="B10" s="63" t="s">
        <v>131</v>
      </c>
      <c r="C10" s="310">
        <f>'Model (SN)'!C10-'Model (SC)'!C10</f>
        <v>0</v>
      </c>
      <c r="D10" s="91">
        <f>'Model (SN)'!D10-'Model (SC)'!D10</f>
        <v>0</v>
      </c>
      <c r="E10" s="91">
        <f>'Model (SN)'!E10-'Model (SC)'!E10</f>
        <v>0</v>
      </c>
      <c r="F10" s="91">
        <f>'Model (SN)'!F10-'Model (SC)'!F10</f>
        <v>0</v>
      </c>
      <c r="G10" s="91">
        <f>'Model (SN)'!G10-'Model (SC)'!G10</f>
        <v>0</v>
      </c>
      <c r="H10" s="91">
        <f>'Model (SN)'!H10-'Model (SC)'!H10</f>
        <v>0</v>
      </c>
      <c r="I10" s="91">
        <f>'Model (SN)'!I10-'Model (SC)'!I10</f>
        <v>0</v>
      </c>
      <c r="J10" s="91">
        <f>'Model (SN)'!J10-'Model (SC)'!J10</f>
        <v>0</v>
      </c>
      <c r="K10" s="91">
        <f>'Model (SN)'!K10-'Model (SC)'!K10</f>
        <v>0</v>
      </c>
      <c r="L10" s="91">
        <f>'Model (SN)'!L10-'Model (SC)'!L10</f>
        <v>0</v>
      </c>
      <c r="M10" s="91">
        <f>'Model (SN)'!M10-'Model (SC)'!M10</f>
        <v>0</v>
      </c>
      <c r="N10" s="91">
        <f>'Model (SN)'!N10-'Model (SC)'!N10</f>
        <v>0</v>
      </c>
      <c r="O10" s="91">
        <f>'Model (SN)'!O10-'Model (SC)'!O10</f>
        <v>0</v>
      </c>
      <c r="P10" s="91">
        <f>'Model (SN)'!P10-'Model (SC)'!P10</f>
        <v>0</v>
      </c>
      <c r="Q10" s="91">
        <f>'Model (SN)'!Q10-'Model (SC)'!Q10</f>
        <v>0</v>
      </c>
      <c r="R10" s="91">
        <f>'Model (SN)'!R10-'Model (SC)'!R10</f>
        <v>0</v>
      </c>
      <c r="S10" s="91">
        <f>'Model (SN)'!S10-'Model (SC)'!S10</f>
        <v>0</v>
      </c>
      <c r="T10" s="91">
        <f>'Model (SN)'!T10-'Model (SC)'!T10</f>
        <v>0</v>
      </c>
      <c r="U10" s="91">
        <f>'Model (SN)'!U10-'Model (SC)'!U10</f>
        <v>0</v>
      </c>
      <c r="V10" s="91">
        <f>'Model (SN)'!V10-'Model (SC)'!V10</f>
        <v>0</v>
      </c>
    </row>
    <row r="11" spans="1:22" x14ac:dyDescent="0.25">
      <c r="A11" s="86" t="s">
        <v>314</v>
      </c>
      <c r="B11" s="64"/>
      <c r="C11" s="310">
        <f>'Model (SN)'!C11-'Model (SC)'!C11</f>
        <v>0</v>
      </c>
      <c r="D11" s="91">
        <f>'Model (SN)'!D11-'Model (SC)'!D11</f>
        <v>0</v>
      </c>
      <c r="E11" s="91">
        <f>'Model (SN)'!E11-'Model (SC)'!E11</f>
        <v>0</v>
      </c>
      <c r="F11" s="91">
        <f>'Model (SN)'!F11-'Model (SC)'!F11</f>
        <v>0</v>
      </c>
      <c r="G11" s="91">
        <f>'Model (SN)'!G11-'Model (SC)'!G11</f>
        <v>0</v>
      </c>
      <c r="H11" s="91">
        <f>'Model (SN)'!H11-'Model (SC)'!H11</f>
        <v>0</v>
      </c>
      <c r="I11" s="91">
        <f>'Model (SN)'!I11-'Model (SC)'!I11</f>
        <v>0</v>
      </c>
      <c r="J11" s="91">
        <f>'Model (SN)'!J11-'Model (SC)'!J11</f>
        <v>0</v>
      </c>
      <c r="K11" s="91">
        <f>'Model (SN)'!K11-'Model (SC)'!K11</f>
        <v>0</v>
      </c>
      <c r="L11" s="91">
        <f>'Model (SN)'!L11-'Model (SC)'!L11</f>
        <v>0</v>
      </c>
      <c r="M11" s="91">
        <f>'Model (SN)'!M11-'Model (SC)'!M11</f>
        <v>0</v>
      </c>
      <c r="N11" s="91">
        <f>'Model (SN)'!N11-'Model (SC)'!N11</f>
        <v>0</v>
      </c>
      <c r="O11" s="91">
        <f>'Model (SN)'!O11-'Model (SC)'!O11</f>
        <v>0</v>
      </c>
      <c r="P11" s="91">
        <f>'Model (SN)'!P11-'Model (SC)'!P11</f>
        <v>0</v>
      </c>
      <c r="Q11" s="91">
        <f>'Model (SN)'!Q11-'Model (SC)'!Q11</f>
        <v>0</v>
      </c>
      <c r="R11" s="91">
        <f>'Model (SN)'!R11-'Model (SC)'!R11</f>
        <v>0</v>
      </c>
      <c r="S11" s="91">
        <f>'Model (SN)'!S11-'Model (SC)'!S11</f>
        <v>0</v>
      </c>
      <c r="T11" s="91">
        <f>'Model (SN)'!T11-'Model (SC)'!T11</f>
        <v>0</v>
      </c>
      <c r="U11" s="91">
        <f>'Model (SN)'!U11-'Model (SC)'!U11</f>
        <v>0</v>
      </c>
      <c r="V11" s="91">
        <f>'Model (SN)'!V11-'Model (SC)'!V11</f>
        <v>0</v>
      </c>
    </row>
    <row r="12" spans="1:22" x14ac:dyDescent="0.25">
      <c r="A12" s="82"/>
      <c r="B12" s="64" t="s">
        <v>124</v>
      </c>
      <c r="C12" s="94">
        <f>'Model (SN)'!C12-'Model (SC)'!C12</f>
        <v>0</v>
      </c>
      <c r="D12" s="91">
        <f>'Model (SN)'!D12-'Model (SC)'!D12</f>
        <v>0</v>
      </c>
      <c r="E12" s="91">
        <f>'Model (SN)'!E12-'Model (SC)'!E12</f>
        <v>0</v>
      </c>
      <c r="F12" s="91">
        <f>'Model (SN)'!F12-'Model (SC)'!F12</f>
        <v>0</v>
      </c>
      <c r="G12" s="91">
        <f>'Model (SN)'!G12-'Model (SC)'!G12</f>
        <v>0</v>
      </c>
      <c r="H12" s="91">
        <f>'Model (SN)'!H12-'Model (SC)'!H12</f>
        <v>0</v>
      </c>
      <c r="I12" s="91">
        <f>'Model (SN)'!I12-'Model (SC)'!I12</f>
        <v>0</v>
      </c>
      <c r="J12" s="91">
        <f>'Model (SN)'!J12-'Model (SC)'!J12</f>
        <v>0</v>
      </c>
      <c r="K12" s="91">
        <f>'Model (SN)'!K12-'Model (SC)'!K12</f>
        <v>0</v>
      </c>
      <c r="L12" s="91">
        <f>'Model (SN)'!L12-'Model (SC)'!L12</f>
        <v>0</v>
      </c>
      <c r="M12" s="91">
        <f>'Model (SN)'!M12-'Model (SC)'!M12</f>
        <v>0</v>
      </c>
      <c r="N12" s="91">
        <f>'Model (SN)'!N12-'Model (SC)'!N12</f>
        <v>0</v>
      </c>
      <c r="O12" s="91">
        <f>'Model (SN)'!O12-'Model (SC)'!O12</f>
        <v>0</v>
      </c>
      <c r="P12" s="91">
        <f>'Model (SN)'!P12-'Model (SC)'!P12</f>
        <v>0</v>
      </c>
      <c r="Q12" s="91">
        <f>'Model (SN)'!Q12-'Model (SC)'!Q12</f>
        <v>0</v>
      </c>
      <c r="R12" s="91">
        <f>'Model (SN)'!R12-'Model (SC)'!R12</f>
        <v>0</v>
      </c>
      <c r="S12" s="91">
        <f>'Model (SN)'!S12-'Model (SC)'!S12</f>
        <v>0</v>
      </c>
      <c r="T12" s="91">
        <f>'Model (SN)'!T12-'Model (SC)'!T12</f>
        <v>0</v>
      </c>
      <c r="U12" s="91">
        <f>'Model (SN)'!U12-'Model (SC)'!U12</f>
        <v>0</v>
      </c>
      <c r="V12" s="91">
        <f>'Model (SN)'!V12-'Model (SC)'!V12</f>
        <v>0</v>
      </c>
    </row>
    <row r="13" spans="1:22" x14ac:dyDescent="0.25">
      <c r="A13" s="82"/>
      <c r="B13" s="64" t="s">
        <v>630</v>
      </c>
      <c r="C13" s="94">
        <f>'Model (SN)'!C13-'Model (SC)'!C13</f>
        <v>0</v>
      </c>
      <c r="D13" s="91">
        <f>'Model (SN)'!D13-'Model (SC)'!D13</f>
        <v>0</v>
      </c>
      <c r="E13" s="91">
        <f>'Model (SN)'!E13-'Model (SC)'!E13</f>
        <v>0</v>
      </c>
      <c r="F13" s="91">
        <f>'Model (SN)'!F13-'Model (SC)'!F13</f>
        <v>0</v>
      </c>
      <c r="G13" s="91">
        <f>'Model (SN)'!G13-'Model (SC)'!G13</f>
        <v>0</v>
      </c>
      <c r="H13" s="91">
        <f>'Model (SN)'!H13-'Model (SC)'!H13</f>
        <v>0</v>
      </c>
      <c r="I13" s="91">
        <f>'Model (SN)'!I13-'Model (SC)'!I13</f>
        <v>0</v>
      </c>
      <c r="J13" s="91">
        <f>'Model (SN)'!J13-'Model (SC)'!J13</f>
        <v>0</v>
      </c>
      <c r="K13" s="91">
        <f>'Model (SN)'!K13-'Model (SC)'!K13</f>
        <v>0</v>
      </c>
      <c r="L13" s="91">
        <f>'Model (SN)'!L13-'Model (SC)'!L13</f>
        <v>0</v>
      </c>
      <c r="M13" s="91">
        <f>'Model (SN)'!M13-'Model (SC)'!M13</f>
        <v>0</v>
      </c>
      <c r="N13" s="91">
        <f>'Model (SN)'!N13-'Model (SC)'!N13</f>
        <v>0</v>
      </c>
      <c r="O13" s="91">
        <f>'Model (SN)'!O13-'Model (SC)'!O13</f>
        <v>0</v>
      </c>
      <c r="P13" s="91">
        <f>'Model (SN)'!P13-'Model (SC)'!P13</f>
        <v>0</v>
      </c>
      <c r="Q13" s="91">
        <f>'Model (SN)'!Q13-'Model (SC)'!Q13</f>
        <v>0</v>
      </c>
      <c r="R13" s="91">
        <f>'Model (SN)'!R13-'Model (SC)'!R13</f>
        <v>0</v>
      </c>
      <c r="S13" s="91">
        <f>'Model (SN)'!S13-'Model (SC)'!S13</f>
        <v>0</v>
      </c>
      <c r="T13" s="91">
        <f>'Model (SN)'!T13-'Model (SC)'!T13</f>
        <v>0</v>
      </c>
      <c r="U13" s="91">
        <f>'Model (SN)'!U13-'Model (SC)'!U13</f>
        <v>0</v>
      </c>
      <c r="V13" s="91">
        <f>'Model (SN)'!V13-'Model (SC)'!V13</f>
        <v>0</v>
      </c>
    </row>
    <row r="14" spans="1:22" x14ac:dyDescent="0.25">
      <c r="A14" s="82"/>
      <c r="B14" s="64" t="s">
        <v>132</v>
      </c>
      <c r="C14" s="94">
        <f>'Model (SN)'!C14-'Model (SC)'!C14</f>
        <v>0</v>
      </c>
      <c r="D14" s="91">
        <f>'Model (SN)'!D14-'Model (SC)'!D14</f>
        <v>0</v>
      </c>
      <c r="E14" s="91">
        <f>'Model (SN)'!E14-'Model (SC)'!E14</f>
        <v>0</v>
      </c>
      <c r="F14" s="91">
        <f>'Model (SN)'!F14-'Model (SC)'!F14</f>
        <v>0</v>
      </c>
      <c r="G14" s="91">
        <f>'Model (SN)'!G14-'Model (SC)'!G14</f>
        <v>0</v>
      </c>
      <c r="H14" s="91">
        <f>'Model (SN)'!H14-'Model (SC)'!H14</f>
        <v>0</v>
      </c>
      <c r="I14" s="91">
        <f>'Model (SN)'!I14-'Model (SC)'!I14</f>
        <v>0</v>
      </c>
      <c r="J14" s="91">
        <f>'Model (SN)'!J14-'Model (SC)'!J14</f>
        <v>0</v>
      </c>
      <c r="K14" s="91">
        <f>'Model (SN)'!K14-'Model (SC)'!K14</f>
        <v>0</v>
      </c>
      <c r="L14" s="91">
        <f>'Model (SN)'!L14-'Model (SC)'!L14</f>
        <v>0</v>
      </c>
      <c r="M14" s="91">
        <f>'Model (SN)'!M14-'Model (SC)'!M14</f>
        <v>0</v>
      </c>
      <c r="N14" s="91">
        <f>'Model (SN)'!N14-'Model (SC)'!N14</f>
        <v>0</v>
      </c>
      <c r="O14" s="91">
        <f>'Model (SN)'!O14-'Model (SC)'!O14</f>
        <v>0</v>
      </c>
      <c r="P14" s="91">
        <f>'Model (SN)'!P14-'Model (SC)'!P14</f>
        <v>0</v>
      </c>
      <c r="Q14" s="91">
        <f>'Model (SN)'!Q14-'Model (SC)'!Q14</f>
        <v>0</v>
      </c>
      <c r="R14" s="91">
        <f>'Model (SN)'!R14-'Model (SC)'!R14</f>
        <v>0</v>
      </c>
      <c r="S14" s="91">
        <f>'Model (SN)'!S14-'Model (SC)'!S14</f>
        <v>0</v>
      </c>
      <c r="T14" s="91">
        <f>'Model (SN)'!T14-'Model (SC)'!T14</f>
        <v>0</v>
      </c>
      <c r="U14" s="91">
        <f>'Model (SN)'!U14-'Model (SC)'!U14</f>
        <v>0</v>
      </c>
      <c r="V14" s="91">
        <f>'Model (SN)'!V14-'Model (SC)'!V14</f>
        <v>0</v>
      </c>
    </row>
    <row r="15" spans="1:22" x14ac:dyDescent="0.25">
      <c r="A15" s="82"/>
      <c r="B15" s="64" t="s">
        <v>133</v>
      </c>
      <c r="C15" s="94">
        <f>'Model (SN)'!C15-'Model (SC)'!C15</f>
        <v>0</v>
      </c>
      <c r="D15" s="91">
        <f>'Model (SN)'!D15-'Model (SC)'!D15</f>
        <v>0</v>
      </c>
      <c r="E15" s="91">
        <f>'Model (SN)'!E15-'Model (SC)'!E15</f>
        <v>0</v>
      </c>
      <c r="F15" s="91">
        <f>'Model (SN)'!F15-'Model (SC)'!F15</f>
        <v>0</v>
      </c>
      <c r="G15" s="91">
        <f>'Model (SN)'!G15-'Model (SC)'!G15</f>
        <v>0</v>
      </c>
      <c r="H15" s="91">
        <f>'Model (SN)'!H15-'Model (SC)'!H15</f>
        <v>0</v>
      </c>
      <c r="I15" s="91">
        <f>'Model (SN)'!I15-'Model (SC)'!I15</f>
        <v>0</v>
      </c>
      <c r="J15" s="91">
        <f>'Model (SN)'!J15-'Model (SC)'!J15</f>
        <v>0</v>
      </c>
      <c r="K15" s="91">
        <f>'Model (SN)'!K15-'Model (SC)'!K15</f>
        <v>0</v>
      </c>
      <c r="L15" s="91">
        <f>'Model (SN)'!L15-'Model (SC)'!L15</f>
        <v>0</v>
      </c>
      <c r="M15" s="91">
        <f>'Model (SN)'!M15-'Model (SC)'!M15</f>
        <v>0</v>
      </c>
      <c r="N15" s="91">
        <f>'Model (SN)'!N15-'Model (SC)'!N15</f>
        <v>0</v>
      </c>
      <c r="O15" s="91">
        <f>'Model (SN)'!O15-'Model (SC)'!O15</f>
        <v>0</v>
      </c>
      <c r="P15" s="91">
        <f>'Model (SN)'!P15-'Model (SC)'!P15</f>
        <v>0</v>
      </c>
      <c r="Q15" s="91">
        <f>'Model (SN)'!Q15-'Model (SC)'!Q15</f>
        <v>0</v>
      </c>
      <c r="R15" s="91">
        <f>'Model (SN)'!R15-'Model (SC)'!R15</f>
        <v>0</v>
      </c>
      <c r="S15" s="91">
        <f>'Model (SN)'!S15-'Model (SC)'!S15</f>
        <v>0</v>
      </c>
      <c r="T15" s="91">
        <f>'Model (SN)'!T15-'Model (SC)'!T15</f>
        <v>0</v>
      </c>
      <c r="U15" s="91">
        <f>'Model (SN)'!U15-'Model (SC)'!U15</f>
        <v>0</v>
      </c>
      <c r="V15" s="91">
        <f>'Model (SN)'!V15-'Model (SC)'!V15</f>
        <v>0</v>
      </c>
    </row>
    <row r="16" spans="1:22" x14ac:dyDescent="0.25">
      <c r="A16" s="82"/>
      <c r="B16" s="64" t="s">
        <v>570</v>
      </c>
      <c r="C16" s="94">
        <f>'Model (SN)'!C16-'Model (SC)'!C16</f>
        <v>0</v>
      </c>
      <c r="D16" s="91">
        <f>'Model (SN)'!D16-'Model (SC)'!D16</f>
        <v>0</v>
      </c>
      <c r="E16" s="91">
        <f>'Model (SN)'!E16-'Model (SC)'!E16</f>
        <v>0</v>
      </c>
      <c r="F16" s="91">
        <f>'Model (SN)'!F16-'Model (SC)'!F16</f>
        <v>0</v>
      </c>
      <c r="G16" s="91">
        <f>'Model (SN)'!G16-'Model (SC)'!G16</f>
        <v>0</v>
      </c>
      <c r="H16" s="91">
        <f>'Model (SN)'!H16-'Model (SC)'!H16</f>
        <v>0</v>
      </c>
      <c r="I16" s="91">
        <f>'Model (SN)'!I16-'Model (SC)'!I16</f>
        <v>0</v>
      </c>
      <c r="J16" s="91">
        <f>'Model (SN)'!J16-'Model (SC)'!J16</f>
        <v>0</v>
      </c>
      <c r="K16" s="91">
        <f>'Model (SN)'!K16-'Model (SC)'!K16</f>
        <v>0</v>
      </c>
      <c r="L16" s="91">
        <f>'Model (SN)'!L16-'Model (SC)'!L16</f>
        <v>0</v>
      </c>
      <c r="M16" s="91">
        <f>'Model (SN)'!M16-'Model (SC)'!M16</f>
        <v>0</v>
      </c>
      <c r="N16" s="91">
        <f>'Model (SN)'!N16-'Model (SC)'!N16</f>
        <v>0</v>
      </c>
      <c r="O16" s="91">
        <f>'Model (SN)'!O16-'Model (SC)'!O16</f>
        <v>0</v>
      </c>
      <c r="P16" s="91">
        <f>'Model (SN)'!P16-'Model (SC)'!P16</f>
        <v>0</v>
      </c>
      <c r="Q16" s="91">
        <f>'Model (SN)'!Q16-'Model (SC)'!Q16</f>
        <v>0</v>
      </c>
      <c r="R16" s="91">
        <f>'Model (SN)'!R16-'Model (SC)'!R16</f>
        <v>0</v>
      </c>
      <c r="S16" s="91">
        <f>'Model (SN)'!S16-'Model (SC)'!S16</f>
        <v>0</v>
      </c>
      <c r="T16" s="91">
        <f>'Model (SN)'!T16-'Model (SC)'!T16</f>
        <v>0</v>
      </c>
      <c r="U16" s="91">
        <f>'Model (SN)'!U16-'Model (SC)'!U16</f>
        <v>0</v>
      </c>
      <c r="V16" s="91">
        <f>'Model (SN)'!V16-'Model (SC)'!V16</f>
        <v>0</v>
      </c>
    </row>
    <row r="17" spans="1:22" x14ac:dyDescent="0.25">
      <c r="A17" s="82"/>
      <c r="B17" s="63" t="s">
        <v>134</v>
      </c>
      <c r="C17" s="94">
        <f>'Model (SN)'!C17-'Model (SC)'!C17</f>
        <v>0</v>
      </c>
      <c r="D17" s="91">
        <f>'Model (SN)'!D17-'Model (SC)'!D17</f>
        <v>0</v>
      </c>
      <c r="E17" s="91">
        <f>'Model (SN)'!E17-'Model (SC)'!E17</f>
        <v>0</v>
      </c>
      <c r="F17" s="91">
        <f>'Model (SN)'!F17-'Model (SC)'!F17</f>
        <v>0</v>
      </c>
      <c r="G17" s="91">
        <f>'Model (SN)'!G17-'Model (SC)'!G17</f>
        <v>0</v>
      </c>
      <c r="H17" s="91">
        <f>'Model (SN)'!H17-'Model (SC)'!H17</f>
        <v>0</v>
      </c>
      <c r="I17" s="91">
        <f>'Model (SN)'!I17-'Model (SC)'!I17</f>
        <v>0</v>
      </c>
      <c r="J17" s="91">
        <f>'Model (SN)'!J17-'Model (SC)'!J17</f>
        <v>0</v>
      </c>
      <c r="K17" s="91">
        <f>'Model (SN)'!K17-'Model (SC)'!K17</f>
        <v>0</v>
      </c>
      <c r="L17" s="91">
        <f>'Model (SN)'!L17-'Model (SC)'!L17</f>
        <v>0</v>
      </c>
      <c r="M17" s="91">
        <f>'Model (SN)'!M17-'Model (SC)'!M17</f>
        <v>0</v>
      </c>
      <c r="N17" s="91">
        <f>'Model (SN)'!N17-'Model (SC)'!N17</f>
        <v>0</v>
      </c>
      <c r="O17" s="91">
        <f>'Model (SN)'!O17-'Model (SC)'!O17</f>
        <v>0</v>
      </c>
      <c r="P17" s="91">
        <f>'Model (SN)'!P17-'Model (SC)'!P17</f>
        <v>0</v>
      </c>
      <c r="Q17" s="91">
        <f>'Model (SN)'!Q17-'Model (SC)'!Q17</f>
        <v>0</v>
      </c>
      <c r="R17" s="91">
        <f>'Model (SN)'!R17-'Model (SC)'!R17</f>
        <v>0</v>
      </c>
      <c r="S17" s="91">
        <f>'Model (SN)'!S17-'Model (SC)'!S17</f>
        <v>0</v>
      </c>
      <c r="T17" s="91">
        <f>'Model (SN)'!T17-'Model (SC)'!T17</f>
        <v>0</v>
      </c>
      <c r="U17" s="91">
        <f>'Model (SN)'!U17-'Model (SC)'!U17</f>
        <v>0</v>
      </c>
      <c r="V17" s="91">
        <f>'Model (SN)'!V17-'Model (SC)'!V17</f>
        <v>0</v>
      </c>
    </row>
    <row r="18" spans="1:22" x14ac:dyDescent="0.25">
      <c r="A18" s="82"/>
      <c r="B18" s="63" t="s">
        <v>730</v>
      </c>
      <c r="C18" s="94">
        <f>'Model (SN)'!C18-'Model (SC)'!C18</f>
        <v>0</v>
      </c>
      <c r="D18" s="91">
        <f>'Model (SN)'!D18-'Model (SC)'!D18</f>
        <v>0</v>
      </c>
      <c r="E18" s="91">
        <f>'Model (SN)'!E18-'Model (SC)'!E18</f>
        <v>0</v>
      </c>
      <c r="F18" s="91">
        <f>'Model (SN)'!F18-'Model (SC)'!F18</f>
        <v>0</v>
      </c>
      <c r="G18" s="91">
        <f>'Model (SN)'!G18-'Model (SC)'!G18</f>
        <v>0</v>
      </c>
      <c r="H18" s="91">
        <f>'Model (SN)'!H18-'Model (SC)'!H18</f>
        <v>0</v>
      </c>
      <c r="I18" s="91">
        <f>'Model (SN)'!I18-'Model (SC)'!I18</f>
        <v>0</v>
      </c>
      <c r="J18" s="91">
        <f>'Model (SN)'!J18-'Model (SC)'!J18</f>
        <v>0</v>
      </c>
      <c r="K18" s="91">
        <f>'Model (SN)'!K18-'Model (SC)'!K18</f>
        <v>0</v>
      </c>
      <c r="L18" s="91">
        <f>'Model (SN)'!L18-'Model (SC)'!L18</f>
        <v>0</v>
      </c>
      <c r="M18" s="91">
        <f>'Model (SN)'!M18-'Model (SC)'!M18</f>
        <v>0</v>
      </c>
      <c r="N18" s="91">
        <f>'Model (SN)'!N18-'Model (SC)'!N18</f>
        <v>0</v>
      </c>
      <c r="O18" s="91">
        <f>'Model (SN)'!O18-'Model (SC)'!O18</f>
        <v>0</v>
      </c>
      <c r="P18" s="91">
        <f>'Model (SN)'!P18-'Model (SC)'!P18</f>
        <v>0</v>
      </c>
      <c r="Q18" s="91">
        <f>'Model (SN)'!Q18-'Model (SC)'!Q18</f>
        <v>0</v>
      </c>
      <c r="R18" s="91">
        <f>'Model (SN)'!R18-'Model (SC)'!R18</f>
        <v>0</v>
      </c>
      <c r="S18" s="91">
        <f>'Model (SN)'!S18-'Model (SC)'!S18</f>
        <v>0</v>
      </c>
      <c r="T18" s="91">
        <f>'Model (SN)'!T18-'Model (SC)'!T18</f>
        <v>0</v>
      </c>
      <c r="U18" s="91">
        <f>'Model (SN)'!U18-'Model (SC)'!U18</f>
        <v>0</v>
      </c>
      <c r="V18" s="91">
        <f>'Model (SN)'!V18-'Model (SC)'!V18</f>
        <v>0</v>
      </c>
    </row>
    <row r="19" spans="1:22" x14ac:dyDescent="0.25">
      <c r="A19" s="82"/>
      <c r="B19" s="63" t="s">
        <v>135</v>
      </c>
      <c r="C19" s="94">
        <f>'Model (SN)'!C19-'Model (SC)'!C19</f>
        <v>0</v>
      </c>
      <c r="D19" s="91">
        <f>'Model (SN)'!D19-'Model (SC)'!D19</f>
        <v>0</v>
      </c>
      <c r="E19" s="91">
        <f>'Model (SN)'!E19-'Model (SC)'!E19</f>
        <v>0</v>
      </c>
      <c r="F19" s="91">
        <f>'Model (SN)'!F19-'Model (SC)'!F19</f>
        <v>0</v>
      </c>
      <c r="G19" s="91">
        <f>'Model (SN)'!G19-'Model (SC)'!G19</f>
        <v>0</v>
      </c>
      <c r="H19" s="91">
        <f>'Model (SN)'!H19-'Model (SC)'!H19</f>
        <v>0</v>
      </c>
      <c r="I19" s="91">
        <f>'Model (SN)'!I19-'Model (SC)'!I19</f>
        <v>0</v>
      </c>
      <c r="J19" s="91">
        <f>'Model (SN)'!J19-'Model (SC)'!J19</f>
        <v>0</v>
      </c>
      <c r="K19" s="91">
        <f>'Model (SN)'!K19-'Model (SC)'!K19</f>
        <v>0</v>
      </c>
      <c r="L19" s="91">
        <f>'Model (SN)'!L19-'Model (SC)'!L19</f>
        <v>0</v>
      </c>
      <c r="M19" s="91">
        <f>'Model (SN)'!M19-'Model (SC)'!M19</f>
        <v>0</v>
      </c>
      <c r="N19" s="91">
        <f>'Model (SN)'!N19-'Model (SC)'!N19</f>
        <v>0</v>
      </c>
      <c r="O19" s="91">
        <f>'Model (SN)'!O19-'Model (SC)'!O19</f>
        <v>0</v>
      </c>
      <c r="P19" s="91">
        <f>'Model (SN)'!P19-'Model (SC)'!P19</f>
        <v>0</v>
      </c>
      <c r="Q19" s="91">
        <f>'Model (SN)'!Q19-'Model (SC)'!Q19</f>
        <v>0</v>
      </c>
      <c r="R19" s="91">
        <f>'Model (SN)'!R19-'Model (SC)'!R19</f>
        <v>0</v>
      </c>
      <c r="S19" s="91">
        <f>'Model (SN)'!S19-'Model (SC)'!S19</f>
        <v>0</v>
      </c>
      <c r="T19" s="91">
        <f>'Model (SN)'!T19-'Model (SC)'!T19</f>
        <v>0</v>
      </c>
      <c r="U19" s="91">
        <f>'Model (SN)'!U19-'Model (SC)'!U19</f>
        <v>0</v>
      </c>
      <c r="V19" s="91">
        <f>'Model (SN)'!V19-'Model (SC)'!V19</f>
        <v>0</v>
      </c>
    </row>
    <row r="20" spans="1:22" x14ac:dyDescent="0.25">
      <c r="A20" s="82"/>
      <c r="B20" s="63" t="s">
        <v>136</v>
      </c>
      <c r="C20" s="94">
        <f>'Model (SN)'!C20-'Model (SC)'!C20</f>
        <v>0</v>
      </c>
      <c r="D20" s="91">
        <f>'Model (SN)'!D20-'Model (SC)'!D20</f>
        <v>0</v>
      </c>
      <c r="E20" s="91">
        <f>'Model (SN)'!E20-'Model (SC)'!E20</f>
        <v>0</v>
      </c>
      <c r="F20" s="91">
        <f>'Model (SN)'!F20-'Model (SC)'!F20</f>
        <v>0</v>
      </c>
      <c r="G20" s="91">
        <f>'Model (SN)'!G20-'Model (SC)'!G20</f>
        <v>0</v>
      </c>
      <c r="H20" s="91">
        <f>'Model (SN)'!H20-'Model (SC)'!H20</f>
        <v>0</v>
      </c>
      <c r="I20" s="91">
        <f>'Model (SN)'!I20-'Model (SC)'!I20</f>
        <v>0</v>
      </c>
      <c r="J20" s="91">
        <f>'Model (SN)'!J20-'Model (SC)'!J20</f>
        <v>0</v>
      </c>
      <c r="K20" s="91">
        <f>'Model (SN)'!K20-'Model (SC)'!K20</f>
        <v>0</v>
      </c>
      <c r="L20" s="91">
        <f>'Model (SN)'!L20-'Model (SC)'!L20</f>
        <v>0</v>
      </c>
      <c r="M20" s="91">
        <f>'Model (SN)'!M20-'Model (SC)'!M20</f>
        <v>0</v>
      </c>
      <c r="N20" s="91">
        <f>'Model (SN)'!N20-'Model (SC)'!N20</f>
        <v>0</v>
      </c>
      <c r="O20" s="91">
        <f>'Model (SN)'!O20-'Model (SC)'!O20</f>
        <v>0</v>
      </c>
      <c r="P20" s="91">
        <f>'Model (SN)'!P20-'Model (SC)'!P20</f>
        <v>0</v>
      </c>
      <c r="Q20" s="91">
        <f>'Model (SN)'!Q20-'Model (SC)'!Q20</f>
        <v>0</v>
      </c>
      <c r="R20" s="91">
        <f>'Model (SN)'!R20-'Model (SC)'!R20</f>
        <v>0</v>
      </c>
      <c r="S20" s="91">
        <f>'Model (SN)'!S20-'Model (SC)'!S20</f>
        <v>0</v>
      </c>
      <c r="T20" s="91">
        <f>'Model (SN)'!T20-'Model (SC)'!T20</f>
        <v>0</v>
      </c>
      <c r="U20" s="91">
        <f>'Model (SN)'!U20-'Model (SC)'!U20</f>
        <v>0</v>
      </c>
      <c r="V20" s="91">
        <f>'Model (SN)'!V20-'Model (SC)'!V20</f>
        <v>0</v>
      </c>
    </row>
    <row r="21" spans="1:22" x14ac:dyDescent="0.25">
      <c r="A21" s="82"/>
      <c r="B21" s="63" t="s">
        <v>137</v>
      </c>
      <c r="C21" s="94">
        <f>'Model (SN)'!C21-'Model (SC)'!C21</f>
        <v>0</v>
      </c>
      <c r="D21" s="202">
        <f>'Model (SN)'!D21-'Model (SC)'!D21</f>
        <v>0</v>
      </c>
      <c r="E21" s="202">
        <f>'Model (SN)'!E21-'Model (SC)'!E21</f>
        <v>0</v>
      </c>
      <c r="F21" s="202">
        <f>'Model (SN)'!F21-'Model (SC)'!F21</f>
        <v>0</v>
      </c>
      <c r="G21" s="202">
        <f>'Model (SN)'!G21-'Model (SC)'!G21</f>
        <v>0</v>
      </c>
      <c r="H21" s="202">
        <f>'Model (SN)'!H21-'Model (SC)'!H21</f>
        <v>0</v>
      </c>
      <c r="I21" s="202">
        <f>'Model (SN)'!I21-'Model (SC)'!I21</f>
        <v>0</v>
      </c>
      <c r="J21" s="91">
        <f>'Model (SN)'!J21-'Model (SC)'!J21</f>
        <v>0</v>
      </c>
      <c r="K21" s="91">
        <f>'Model (SN)'!K21-'Model (SC)'!K21</f>
        <v>0</v>
      </c>
      <c r="L21" s="91">
        <f>'Model (SN)'!L21-'Model (SC)'!L21</f>
        <v>0</v>
      </c>
      <c r="M21" s="91">
        <f>'Model (SN)'!M21-'Model (SC)'!M21</f>
        <v>0</v>
      </c>
      <c r="N21" s="91">
        <f>'Model (SN)'!N21-'Model (SC)'!N21</f>
        <v>0</v>
      </c>
      <c r="O21" s="91">
        <f>'Model (SN)'!O21-'Model (SC)'!O21</f>
        <v>0</v>
      </c>
      <c r="P21" s="91">
        <f>'Model (SN)'!P21-'Model (SC)'!P21</f>
        <v>0</v>
      </c>
      <c r="Q21" s="91">
        <f>'Model (SN)'!Q21-'Model (SC)'!Q21</f>
        <v>0</v>
      </c>
      <c r="R21" s="91">
        <f>'Model (SN)'!R21-'Model (SC)'!R21</f>
        <v>0</v>
      </c>
      <c r="S21" s="91">
        <f>'Model (SN)'!S21-'Model (SC)'!S21</f>
        <v>0</v>
      </c>
      <c r="T21" s="91">
        <f>'Model (SN)'!T21-'Model (SC)'!T21</f>
        <v>0</v>
      </c>
      <c r="U21" s="91">
        <f>'Model (SN)'!U21-'Model (SC)'!U21</f>
        <v>0</v>
      </c>
      <c r="V21" s="91">
        <f>'Model (SN)'!V21-'Model (SC)'!V21</f>
        <v>0</v>
      </c>
    </row>
    <row r="22" spans="1:22" x14ac:dyDescent="0.25">
      <c r="A22" s="82"/>
      <c r="B22" s="63" t="s">
        <v>138</v>
      </c>
      <c r="C22" s="94">
        <f>'Model (SN)'!C22-'Model (SC)'!C22</f>
        <v>0</v>
      </c>
      <c r="D22" s="91">
        <f>'Model (SN)'!D22-'Model (SC)'!D22</f>
        <v>0</v>
      </c>
      <c r="E22" s="91">
        <f>'Model (SN)'!E22-'Model (SC)'!E22</f>
        <v>0</v>
      </c>
      <c r="F22" s="91">
        <f>'Model (SN)'!F22-'Model (SC)'!F22</f>
        <v>0</v>
      </c>
      <c r="G22" s="91">
        <f>'Model (SN)'!G22-'Model (SC)'!G22</f>
        <v>0</v>
      </c>
      <c r="H22" s="91">
        <f>'Model (SN)'!H22-'Model (SC)'!H22</f>
        <v>0</v>
      </c>
      <c r="I22" s="91">
        <f>'Model (SN)'!I22-'Model (SC)'!I22</f>
        <v>0</v>
      </c>
      <c r="J22" s="91">
        <f>'Model (SN)'!J22-'Model (SC)'!J22</f>
        <v>0</v>
      </c>
      <c r="K22" s="91">
        <f>'Model (SN)'!K22-'Model (SC)'!K22</f>
        <v>0</v>
      </c>
      <c r="L22" s="91">
        <f>'Model (SN)'!L22-'Model (SC)'!L22</f>
        <v>0</v>
      </c>
      <c r="M22" s="91">
        <f>'Model (SN)'!M22-'Model (SC)'!M22</f>
        <v>0</v>
      </c>
      <c r="N22" s="91">
        <f>'Model (SN)'!N22-'Model (SC)'!N22</f>
        <v>0</v>
      </c>
      <c r="O22" s="91">
        <f>'Model (SN)'!O22-'Model (SC)'!O22</f>
        <v>0</v>
      </c>
      <c r="P22" s="91">
        <f>'Model (SN)'!P22-'Model (SC)'!P22</f>
        <v>0</v>
      </c>
      <c r="Q22" s="91">
        <f>'Model (SN)'!Q22-'Model (SC)'!Q22</f>
        <v>0</v>
      </c>
      <c r="R22" s="91">
        <f>'Model (SN)'!R22-'Model (SC)'!R22</f>
        <v>0</v>
      </c>
      <c r="S22" s="91">
        <f>'Model (SN)'!S22-'Model (SC)'!S22</f>
        <v>0</v>
      </c>
      <c r="T22" s="91">
        <f>'Model (SN)'!T22-'Model (SC)'!T22</f>
        <v>0</v>
      </c>
      <c r="U22" s="91">
        <f>'Model (SN)'!U22-'Model (SC)'!U22</f>
        <v>0</v>
      </c>
      <c r="V22" s="91">
        <f>'Model (SN)'!V22-'Model (SC)'!V22</f>
        <v>0</v>
      </c>
    </row>
    <row r="23" spans="1:22" x14ac:dyDescent="0.25">
      <c r="A23" s="82"/>
      <c r="B23" s="63" t="s">
        <v>139</v>
      </c>
      <c r="C23" s="94">
        <f>'Model (SN)'!C23-'Model (SC)'!C23</f>
        <v>0</v>
      </c>
      <c r="D23" s="91">
        <f>'Model (SN)'!D23-'Model (SC)'!D23</f>
        <v>0</v>
      </c>
      <c r="E23" s="91">
        <f>'Model (SN)'!E23-'Model (SC)'!E23</f>
        <v>0</v>
      </c>
      <c r="F23" s="91">
        <f>'Model (SN)'!F23-'Model (SC)'!F23</f>
        <v>0</v>
      </c>
      <c r="G23" s="91">
        <f>'Model (SN)'!G23-'Model (SC)'!G23</f>
        <v>0</v>
      </c>
      <c r="H23" s="91">
        <f>'Model (SN)'!H23-'Model (SC)'!H23</f>
        <v>0</v>
      </c>
      <c r="I23" s="91">
        <f>'Model (SN)'!I23-'Model (SC)'!I23</f>
        <v>0</v>
      </c>
      <c r="J23" s="91">
        <f>'Model (SN)'!J23-'Model (SC)'!J23</f>
        <v>0</v>
      </c>
      <c r="K23" s="91">
        <f>'Model (SN)'!K23-'Model (SC)'!K23</f>
        <v>0</v>
      </c>
      <c r="L23" s="91">
        <f>'Model (SN)'!L23-'Model (SC)'!L23</f>
        <v>0</v>
      </c>
      <c r="M23" s="91">
        <f>'Model (SN)'!M23-'Model (SC)'!M23</f>
        <v>0</v>
      </c>
      <c r="N23" s="91">
        <f>'Model (SN)'!N23-'Model (SC)'!N23</f>
        <v>0</v>
      </c>
      <c r="O23" s="91">
        <f>'Model (SN)'!O23-'Model (SC)'!O23</f>
        <v>0</v>
      </c>
      <c r="P23" s="91">
        <f>'Model (SN)'!P23-'Model (SC)'!P23</f>
        <v>0</v>
      </c>
      <c r="Q23" s="91">
        <f>'Model (SN)'!Q23-'Model (SC)'!Q23</f>
        <v>0</v>
      </c>
      <c r="R23" s="91">
        <f>'Model (SN)'!R23-'Model (SC)'!R23</f>
        <v>0</v>
      </c>
      <c r="S23" s="91">
        <f>'Model (SN)'!S23-'Model (SC)'!S23</f>
        <v>0</v>
      </c>
      <c r="T23" s="91">
        <f>'Model (SN)'!T23-'Model (SC)'!T23</f>
        <v>0</v>
      </c>
      <c r="U23" s="91">
        <f>'Model (SN)'!U23-'Model (SC)'!U23</f>
        <v>0</v>
      </c>
      <c r="V23" s="91">
        <f>'Model (SN)'!V23-'Model (SC)'!V23</f>
        <v>0</v>
      </c>
    </row>
    <row r="24" spans="1:22" x14ac:dyDescent="0.25">
      <c r="A24" s="82"/>
      <c r="B24" s="63" t="s">
        <v>127</v>
      </c>
      <c r="C24" s="94">
        <f>'Model (SN)'!C24-'Model (SC)'!C24</f>
        <v>0</v>
      </c>
      <c r="D24" s="91">
        <f>'Model (SN)'!D24-'Model (SC)'!D24</f>
        <v>0</v>
      </c>
      <c r="E24" s="91">
        <f>'Model (SN)'!E24-'Model (SC)'!E24</f>
        <v>0</v>
      </c>
      <c r="F24" s="91">
        <f>'Model (SN)'!F24-'Model (SC)'!F24</f>
        <v>0</v>
      </c>
      <c r="G24" s="91">
        <f>'Model (SN)'!G24-'Model (SC)'!G24</f>
        <v>0</v>
      </c>
      <c r="H24" s="91">
        <f>'Model (SN)'!H24-'Model (SC)'!H24</f>
        <v>0</v>
      </c>
      <c r="I24" s="91">
        <f>'Model (SN)'!I24-'Model (SC)'!I24</f>
        <v>0</v>
      </c>
      <c r="J24" s="91">
        <f>'Model (SN)'!J24-'Model (SC)'!J24</f>
        <v>0</v>
      </c>
      <c r="K24" s="91">
        <f>'Model (SN)'!K24-'Model (SC)'!K24</f>
        <v>0</v>
      </c>
      <c r="L24" s="91">
        <f>'Model (SN)'!L24-'Model (SC)'!L24</f>
        <v>0</v>
      </c>
      <c r="M24" s="91">
        <f>'Model (SN)'!M24-'Model (SC)'!M24</f>
        <v>0</v>
      </c>
      <c r="N24" s="91">
        <f>'Model (SN)'!N24-'Model (SC)'!N24</f>
        <v>0</v>
      </c>
      <c r="O24" s="91">
        <f>'Model (SN)'!O24-'Model (SC)'!O24</f>
        <v>0</v>
      </c>
      <c r="P24" s="91">
        <f>'Model (SN)'!P24-'Model (SC)'!P24</f>
        <v>0</v>
      </c>
      <c r="Q24" s="91">
        <f>'Model (SN)'!Q24-'Model (SC)'!Q24</f>
        <v>0</v>
      </c>
      <c r="R24" s="91">
        <f>'Model (SN)'!R24-'Model (SC)'!R24</f>
        <v>0</v>
      </c>
      <c r="S24" s="91">
        <f>'Model (SN)'!S24-'Model (SC)'!S24</f>
        <v>0</v>
      </c>
      <c r="T24" s="91">
        <f>'Model (SN)'!T24-'Model (SC)'!T24</f>
        <v>0</v>
      </c>
      <c r="U24" s="91">
        <f>'Model (SN)'!U24-'Model (SC)'!U24</f>
        <v>0</v>
      </c>
      <c r="V24" s="91">
        <f>'Model (SN)'!V24-'Model (SC)'!V24</f>
        <v>0</v>
      </c>
    </row>
    <row r="25" spans="1:22" x14ac:dyDescent="0.25">
      <c r="A25" s="82"/>
      <c r="B25" s="63" t="s">
        <v>128</v>
      </c>
      <c r="C25" s="94">
        <f>'Model (SN)'!C25-'Model (SC)'!C25</f>
        <v>0</v>
      </c>
      <c r="D25" s="91">
        <f>'Model (SN)'!D25-'Model (SC)'!D25</f>
        <v>0</v>
      </c>
      <c r="E25" s="91">
        <f>'Model (SN)'!E25-'Model (SC)'!E25</f>
        <v>0</v>
      </c>
      <c r="F25" s="91">
        <f>'Model (SN)'!F25-'Model (SC)'!F25</f>
        <v>0</v>
      </c>
      <c r="G25" s="91">
        <f>'Model (SN)'!G25-'Model (SC)'!G25</f>
        <v>0</v>
      </c>
      <c r="H25" s="91">
        <f>'Model (SN)'!H25-'Model (SC)'!H25</f>
        <v>0</v>
      </c>
      <c r="I25" s="91">
        <f>'Model (SN)'!I25-'Model (SC)'!I25</f>
        <v>0</v>
      </c>
      <c r="J25" s="91">
        <f>'Model (SN)'!J25-'Model (SC)'!J25</f>
        <v>0</v>
      </c>
      <c r="K25" s="91">
        <f>'Model (SN)'!K25-'Model (SC)'!K25</f>
        <v>0</v>
      </c>
      <c r="L25" s="91">
        <f>'Model (SN)'!L25-'Model (SC)'!L25</f>
        <v>0</v>
      </c>
      <c r="M25" s="91">
        <f>'Model (SN)'!M25-'Model (SC)'!M25</f>
        <v>0</v>
      </c>
      <c r="N25" s="91">
        <f>'Model (SN)'!N25-'Model (SC)'!N25</f>
        <v>0</v>
      </c>
      <c r="O25" s="91">
        <f>'Model (SN)'!O25-'Model (SC)'!O25</f>
        <v>0</v>
      </c>
      <c r="P25" s="91">
        <f>'Model (SN)'!P25-'Model (SC)'!P25</f>
        <v>0</v>
      </c>
      <c r="Q25" s="91">
        <f>'Model (SN)'!Q25-'Model (SC)'!Q25</f>
        <v>0</v>
      </c>
      <c r="R25" s="91">
        <f>'Model (SN)'!R25-'Model (SC)'!R25</f>
        <v>0</v>
      </c>
      <c r="S25" s="91">
        <f>'Model (SN)'!S25-'Model (SC)'!S25</f>
        <v>0</v>
      </c>
      <c r="T25" s="91">
        <f>'Model (SN)'!T25-'Model (SC)'!T25</f>
        <v>0</v>
      </c>
      <c r="U25" s="91">
        <f>'Model (SN)'!U25-'Model (SC)'!U25</f>
        <v>0</v>
      </c>
      <c r="V25" s="91">
        <f>'Model (SN)'!V25-'Model (SC)'!V25</f>
        <v>0</v>
      </c>
    </row>
    <row r="26" spans="1:22" x14ac:dyDescent="0.25">
      <c r="A26" s="82"/>
      <c r="B26" s="63" t="s">
        <v>140</v>
      </c>
      <c r="C26" s="94">
        <f>'Model (SN)'!C26-'Model (SC)'!C26</f>
        <v>0</v>
      </c>
      <c r="D26" s="91">
        <f>'Model (SN)'!D26-'Model (SC)'!D26</f>
        <v>0</v>
      </c>
      <c r="E26" s="91">
        <f>'Model (SN)'!E26-'Model (SC)'!E26</f>
        <v>0</v>
      </c>
      <c r="F26" s="91">
        <f>'Model (SN)'!F26-'Model (SC)'!F26</f>
        <v>0</v>
      </c>
      <c r="G26" s="91">
        <f>'Model (SN)'!G26-'Model (SC)'!G26</f>
        <v>0</v>
      </c>
      <c r="H26" s="91">
        <f>'Model (SN)'!H26-'Model (SC)'!H26</f>
        <v>0</v>
      </c>
      <c r="I26" s="91">
        <f>'Model (SN)'!I26-'Model (SC)'!I26</f>
        <v>0</v>
      </c>
      <c r="J26" s="91">
        <f>'Model (SN)'!J26-'Model (SC)'!J26</f>
        <v>0</v>
      </c>
      <c r="K26" s="91">
        <f>'Model (SN)'!K26-'Model (SC)'!K26</f>
        <v>0</v>
      </c>
      <c r="L26" s="91">
        <f>'Model (SN)'!L26-'Model (SC)'!L26</f>
        <v>0</v>
      </c>
      <c r="M26" s="91">
        <f>'Model (SN)'!M26-'Model (SC)'!M26</f>
        <v>0</v>
      </c>
      <c r="N26" s="91">
        <f>'Model (SN)'!N26-'Model (SC)'!N26</f>
        <v>0</v>
      </c>
      <c r="O26" s="91">
        <f>'Model (SN)'!O26-'Model (SC)'!O26</f>
        <v>0</v>
      </c>
      <c r="P26" s="91">
        <f>'Model (SN)'!P26-'Model (SC)'!P26</f>
        <v>0</v>
      </c>
      <c r="Q26" s="91">
        <f>'Model (SN)'!Q26-'Model (SC)'!Q26</f>
        <v>0</v>
      </c>
      <c r="R26" s="91">
        <f>'Model (SN)'!R26-'Model (SC)'!R26</f>
        <v>0</v>
      </c>
      <c r="S26" s="91">
        <f>'Model (SN)'!S26-'Model (SC)'!S26</f>
        <v>0</v>
      </c>
      <c r="T26" s="91">
        <f>'Model (SN)'!T26-'Model (SC)'!T26</f>
        <v>0</v>
      </c>
      <c r="U26" s="91">
        <f>'Model (SN)'!U26-'Model (SC)'!U26</f>
        <v>0</v>
      </c>
      <c r="V26" s="91">
        <f>'Model (SN)'!V26-'Model (SC)'!V26</f>
        <v>0</v>
      </c>
    </row>
    <row r="27" spans="1:22" x14ac:dyDescent="0.25">
      <c r="A27" s="82"/>
      <c r="B27" s="63" t="s">
        <v>141</v>
      </c>
      <c r="C27" s="94">
        <f>'Model (SN)'!C27-'Model (SC)'!C27</f>
        <v>0</v>
      </c>
      <c r="D27" s="91">
        <f>'Model (SN)'!D27-'Model (SC)'!D27</f>
        <v>0</v>
      </c>
      <c r="E27" s="91">
        <f>'Model (SN)'!E27-'Model (SC)'!E27</f>
        <v>0</v>
      </c>
      <c r="F27" s="91">
        <f>'Model (SN)'!F27-'Model (SC)'!F27</f>
        <v>0</v>
      </c>
      <c r="G27" s="91">
        <f>'Model (SN)'!G27-'Model (SC)'!G27</f>
        <v>0</v>
      </c>
      <c r="H27" s="91">
        <f>'Model (SN)'!H27-'Model (SC)'!H27</f>
        <v>0</v>
      </c>
      <c r="I27" s="91">
        <f>'Model (SN)'!I27-'Model (SC)'!I27</f>
        <v>0</v>
      </c>
      <c r="J27" s="91">
        <f>'Model (SN)'!J27-'Model (SC)'!J27</f>
        <v>0</v>
      </c>
      <c r="K27" s="91">
        <f>'Model (SN)'!K27-'Model (SC)'!K27</f>
        <v>0</v>
      </c>
      <c r="L27" s="91">
        <f>'Model (SN)'!L27-'Model (SC)'!L27</f>
        <v>0</v>
      </c>
      <c r="M27" s="91">
        <f>'Model (SN)'!M27-'Model (SC)'!M27</f>
        <v>0</v>
      </c>
      <c r="N27" s="91">
        <f>'Model (SN)'!N27-'Model (SC)'!N27</f>
        <v>0</v>
      </c>
      <c r="O27" s="91">
        <f>'Model (SN)'!O27-'Model (SC)'!O27</f>
        <v>0</v>
      </c>
      <c r="P27" s="91">
        <f>'Model (SN)'!P27-'Model (SC)'!P27</f>
        <v>0</v>
      </c>
      <c r="Q27" s="91">
        <f>'Model (SN)'!Q27-'Model (SC)'!Q27</f>
        <v>0</v>
      </c>
      <c r="R27" s="91">
        <f>'Model (SN)'!R27-'Model (SC)'!R27</f>
        <v>0</v>
      </c>
      <c r="S27" s="91">
        <f>'Model (SN)'!S27-'Model (SC)'!S27</f>
        <v>0</v>
      </c>
      <c r="T27" s="91">
        <f>'Model (SN)'!T27-'Model (SC)'!T27</f>
        <v>0</v>
      </c>
      <c r="U27" s="91">
        <f>'Model (SN)'!U27-'Model (SC)'!U27</f>
        <v>0</v>
      </c>
      <c r="V27" s="91">
        <f>'Model (SN)'!V27-'Model (SC)'!V27</f>
        <v>0</v>
      </c>
    </row>
    <row r="28" spans="1:22" x14ac:dyDescent="0.25">
      <c r="A28" s="82"/>
      <c r="B28" s="63" t="s">
        <v>142</v>
      </c>
      <c r="C28" s="94">
        <f>'Model (SN)'!C28-'Model (SC)'!C28</f>
        <v>0</v>
      </c>
      <c r="D28" s="91">
        <f>'Model (SN)'!D28-'Model (SC)'!D28</f>
        <v>0</v>
      </c>
      <c r="E28" s="91">
        <f>'Model (SN)'!E28-'Model (SC)'!E28</f>
        <v>0</v>
      </c>
      <c r="F28" s="91">
        <f>'Model (SN)'!F28-'Model (SC)'!F28</f>
        <v>0</v>
      </c>
      <c r="G28" s="91">
        <f>'Model (SN)'!G28-'Model (SC)'!G28</f>
        <v>0</v>
      </c>
      <c r="H28" s="91">
        <f>'Model (SN)'!H28-'Model (SC)'!H28</f>
        <v>0</v>
      </c>
      <c r="I28" s="91">
        <f>'Model (SN)'!I28-'Model (SC)'!I28</f>
        <v>0</v>
      </c>
      <c r="J28" s="91">
        <f>'Model (SN)'!J28-'Model (SC)'!J28</f>
        <v>0</v>
      </c>
      <c r="K28" s="91">
        <f>'Model (SN)'!K28-'Model (SC)'!K28</f>
        <v>0</v>
      </c>
      <c r="L28" s="91">
        <f>'Model (SN)'!L28-'Model (SC)'!L28</f>
        <v>0</v>
      </c>
      <c r="M28" s="91">
        <f>'Model (SN)'!M28-'Model (SC)'!M28</f>
        <v>0</v>
      </c>
      <c r="N28" s="91">
        <f>'Model (SN)'!N28-'Model (SC)'!N28</f>
        <v>0</v>
      </c>
      <c r="O28" s="91">
        <f>'Model (SN)'!O28-'Model (SC)'!O28</f>
        <v>0</v>
      </c>
      <c r="P28" s="91">
        <f>'Model (SN)'!P28-'Model (SC)'!P28</f>
        <v>0</v>
      </c>
      <c r="Q28" s="91">
        <f>'Model (SN)'!Q28-'Model (SC)'!Q28</f>
        <v>0</v>
      </c>
      <c r="R28" s="91">
        <f>'Model (SN)'!R28-'Model (SC)'!R28</f>
        <v>0</v>
      </c>
      <c r="S28" s="91">
        <f>'Model (SN)'!S28-'Model (SC)'!S28</f>
        <v>0</v>
      </c>
      <c r="T28" s="91">
        <f>'Model (SN)'!T28-'Model (SC)'!T28</f>
        <v>0</v>
      </c>
      <c r="U28" s="91">
        <f>'Model (SN)'!U28-'Model (SC)'!U28</f>
        <v>0</v>
      </c>
      <c r="V28" s="91">
        <f>'Model (SN)'!V28-'Model (SC)'!V28</f>
        <v>0</v>
      </c>
    </row>
    <row r="29" spans="1:22" x14ac:dyDescent="0.25">
      <c r="A29" s="82"/>
      <c r="B29" s="64" t="s">
        <v>130</v>
      </c>
      <c r="C29" s="94">
        <f>'Model (SN)'!C29-'Model (SC)'!C29</f>
        <v>0</v>
      </c>
      <c r="D29" s="91">
        <f>'Model (SN)'!D29-'Model (SC)'!D29</f>
        <v>0</v>
      </c>
      <c r="E29" s="91">
        <f>'Model (SN)'!E29-'Model (SC)'!E29</f>
        <v>0</v>
      </c>
      <c r="F29" s="91">
        <f>'Model (SN)'!F29-'Model (SC)'!F29</f>
        <v>0</v>
      </c>
      <c r="G29" s="91">
        <f>'Model (SN)'!G29-'Model (SC)'!G29</f>
        <v>0</v>
      </c>
      <c r="H29" s="91">
        <f>'Model (SN)'!H29-'Model (SC)'!H29</f>
        <v>0</v>
      </c>
      <c r="I29" s="91">
        <f>'Model (SN)'!I29-'Model (SC)'!I29</f>
        <v>0</v>
      </c>
      <c r="J29" s="91">
        <f>'Model (SN)'!J29-'Model (SC)'!J29</f>
        <v>0</v>
      </c>
      <c r="K29" s="91">
        <f>'Model (SN)'!K29-'Model (SC)'!K29</f>
        <v>0</v>
      </c>
      <c r="L29" s="91">
        <f>'Model (SN)'!L29-'Model (SC)'!L29</f>
        <v>0</v>
      </c>
      <c r="M29" s="91">
        <f>'Model (SN)'!M29-'Model (SC)'!M29</f>
        <v>0</v>
      </c>
      <c r="N29" s="91">
        <f>'Model (SN)'!N29-'Model (SC)'!N29</f>
        <v>0</v>
      </c>
      <c r="O29" s="91">
        <f>'Model (SN)'!O29-'Model (SC)'!O29</f>
        <v>0</v>
      </c>
      <c r="P29" s="91">
        <f>'Model (SN)'!P29-'Model (SC)'!P29</f>
        <v>0</v>
      </c>
      <c r="Q29" s="91">
        <f>'Model (SN)'!Q29-'Model (SC)'!Q29</f>
        <v>0</v>
      </c>
      <c r="R29" s="91">
        <f>'Model (SN)'!R29-'Model (SC)'!R29</f>
        <v>0</v>
      </c>
      <c r="S29" s="91">
        <f>'Model (SN)'!S29-'Model (SC)'!S29</f>
        <v>0</v>
      </c>
      <c r="T29" s="91">
        <f>'Model (SN)'!T29-'Model (SC)'!T29</f>
        <v>0</v>
      </c>
      <c r="U29" s="91">
        <f>'Model (SN)'!U29-'Model (SC)'!U29</f>
        <v>0</v>
      </c>
      <c r="V29" s="91">
        <f>'Model (SN)'!V29-'Model (SC)'!V29</f>
        <v>0</v>
      </c>
    </row>
    <row r="30" spans="1:22" x14ac:dyDescent="0.25">
      <c r="A30" s="82"/>
      <c r="B30" s="63" t="s">
        <v>143</v>
      </c>
      <c r="C30" s="94">
        <f>'Model (SN)'!C30-'Model (SC)'!C30</f>
        <v>0</v>
      </c>
      <c r="D30" s="91">
        <f>'Model (SN)'!D30-'Model (SC)'!D30</f>
        <v>0</v>
      </c>
      <c r="E30" s="91">
        <f>'Model (SN)'!E30-'Model (SC)'!E30</f>
        <v>0</v>
      </c>
      <c r="F30" s="91">
        <f>'Model (SN)'!F30-'Model (SC)'!F30</f>
        <v>0</v>
      </c>
      <c r="G30" s="91">
        <f>'Model (SN)'!G30-'Model (SC)'!G30</f>
        <v>0</v>
      </c>
      <c r="H30" s="91">
        <f>'Model (SN)'!H30-'Model (SC)'!H30</f>
        <v>0</v>
      </c>
      <c r="I30" s="91">
        <f>'Model (SN)'!I30-'Model (SC)'!I30</f>
        <v>0</v>
      </c>
      <c r="J30" s="91">
        <f>'Model (SN)'!J30-'Model (SC)'!J30</f>
        <v>0</v>
      </c>
      <c r="K30" s="91">
        <f>'Model (SN)'!K30-'Model (SC)'!K30</f>
        <v>0</v>
      </c>
      <c r="L30" s="91">
        <f>'Model (SN)'!L30-'Model (SC)'!L30</f>
        <v>0</v>
      </c>
      <c r="M30" s="91">
        <f>'Model (SN)'!M30-'Model (SC)'!M30</f>
        <v>0</v>
      </c>
      <c r="N30" s="91">
        <f>'Model (SN)'!N30-'Model (SC)'!N30</f>
        <v>0</v>
      </c>
      <c r="O30" s="91">
        <f>'Model (SN)'!O30-'Model (SC)'!O30</f>
        <v>0</v>
      </c>
      <c r="P30" s="91">
        <f>'Model (SN)'!P30-'Model (SC)'!P30</f>
        <v>0</v>
      </c>
      <c r="Q30" s="91">
        <f>'Model (SN)'!Q30-'Model (SC)'!Q30</f>
        <v>0</v>
      </c>
      <c r="R30" s="91">
        <f>'Model (SN)'!R30-'Model (SC)'!R30</f>
        <v>0</v>
      </c>
      <c r="S30" s="91">
        <f>'Model (SN)'!S30-'Model (SC)'!S30</f>
        <v>0</v>
      </c>
      <c r="T30" s="91">
        <f>'Model (SN)'!T30-'Model (SC)'!T30</f>
        <v>0</v>
      </c>
      <c r="U30" s="91">
        <f>'Model (SN)'!U30-'Model (SC)'!U30</f>
        <v>0</v>
      </c>
      <c r="V30" s="91">
        <f>'Model (SN)'!V30-'Model (SC)'!V30</f>
        <v>0</v>
      </c>
    </row>
    <row r="31" spans="1:22" x14ac:dyDescent="0.25">
      <c r="A31" s="82"/>
      <c r="B31" s="63" t="s">
        <v>731</v>
      </c>
      <c r="C31" s="94">
        <f>'Model (SN)'!C31-'Model (SC)'!C31</f>
        <v>0</v>
      </c>
      <c r="D31" s="91">
        <f>'Model (SN)'!D31-'Model (SC)'!D31</f>
        <v>0</v>
      </c>
      <c r="E31" s="91">
        <f>'Model (SN)'!E31-'Model (SC)'!E31</f>
        <v>0</v>
      </c>
      <c r="F31" s="91">
        <f>'Model (SN)'!F31-'Model (SC)'!F31</f>
        <v>0</v>
      </c>
      <c r="G31" s="91">
        <f>'Model (SN)'!G31-'Model (SC)'!G31</f>
        <v>0</v>
      </c>
      <c r="H31" s="91">
        <f>'Model (SN)'!H31-'Model (SC)'!H31</f>
        <v>0</v>
      </c>
      <c r="I31" s="91">
        <f>'Model (SN)'!I31-'Model (SC)'!I31</f>
        <v>0</v>
      </c>
      <c r="J31" s="91">
        <f>'Model (SN)'!J31-'Model (SC)'!J31</f>
        <v>0</v>
      </c>
      <c r="K31" s="91">
        <f>'Model (SN)'!K31-'Model (SC)'!K31</f>
        <v>0</v>
      </c>
      <c r="L31" s="91">
        <f>'Model (SN)'!L31-'Model (SC)'!L31</f>
        <v>0</v>
      </c>
      <c r="M31" s="91">
        <f>'Model (SN)'!M31-'Model (SC)'!M31</f>
        <v>0</v>
      </c>
      <c r="N31" s="91">
        <f>'Model (SN)'!N31-'Model (SC)'!N31</f>
        <v>0</v>
      </c>
      <c r="O31" s="91">
        <f>'Model (SN)'!O31-'Model (SC)'!O31</f>
        <v>0</v>
      </c>
      <c r="P31" s="91">
        <f>'Model (SN)'!P31-'Model (SC)'!P31</f>
        <v>0</v>
      </c>
      <c r="Q31" s="91">
        <f>'Model (SN)'!Q31-'Model (SC)'!Q31</f>
        <v>0</v>
      </c>
      <c r="R31" s="91">
        <f>'Model (SN)'!R31-'Model (SC)'!R31</f>
        <v>0</v>
      </c>
      <c r="S31" s="91">
        <f>'Model (SN)'!S31-'Model (SC)'!S31</f>
        <v>0</v>
      </c>
      <c r="T31" s="91">
        <f>'Model (SN)'!T31-'Model (SC)'!T31</f>
        <v>0</v>
      </c>
      <c r="U31" s="91">
        <f>'Model (SN)'!U31-'Model (SC)'!U31</f>
        <v>0</v>
      </c>
      <c r="V31" s="91">
        <f>'Model (SN)'!V31-'Model (SC)'!V31</f>
        <v>0</v>
      </c>
    </row>
    <row r="32" spans="1:22" x14ac:dyDescent="0.25">
      <c r="A32" s="82"/>
      <c r="B32" s="63" t="s">
        <v>144</v>
      </c>
      <c r="C32" s="94">
        <f>'Model (SN)'!C32-'Model (SC)'!C32</f>
        <v>0</v>
      </c>
      <c r="D32" s="91">
        <f>'Model (SN)'!D32-'Model (SC)'!D32</f>
        <v>0</v>
      </c>
      <c r="E32" s="91">
        <f>'Model (SN)'!E32-'Model (SC)'!E32</f>
        <v>0</v>
      </c>
      <c r="F32" s="91">
        <f>'Model (SN)'!F32-'Model (SC)'!F32</f>
        <v>0</v>
      </c>
      <c r="G32" s="91">
        <f>'Model (SN)'!G32-'Model (SC)'!G32</f>
        <v>0</v>
      </c>
      <c r="H32" s="91">
        <f>'Model (SN)'!H32-'Model (SC)'!H32</f>
        <v>0</v>
      </c>
      <c r="I32" s="91">
        <f>'Model (SN)'!I32-'Model (SC)'!I32</f>
        <v>0</v>
      </c>
      <c r="J32" s="91">
        <f>'Model (SN)'!J32-'Model (SC)'!J32</f>
        <v>0</v>
      </c>
      <c r="K32" s="91">
        <f>'Model (SN)'!K32-'Model (SC)'!K32</f>
        <v>0</v>
      </c>
      <c r="L32" s="91">
        <f>'Model (SN)'!L32-'Model (SC)'!L32</f>
        <v>0</v>
      </c>
      <c r="M32" s="91">
        <f>'Model (SN)'!M32-'Model (SC)'!M32</f>
        <v>0</v>
      </c>
      <c r="N32" s="91">
        <f>'Model (SN)'!N32-'Model (SC)'!N32</f>
        <v>0</v>
      </c>
      <c r="O32" s="91">
        <f>'Model (SN)'!O32-'Model (SC)'!O32</f>
        <v>0</v>
      </c>
      <c r="P32" s="91">
        <f>'Model (SN)'!P32-'Model (SC)'!P32</f>
        <v>0</v>
      </c>
      <c r="Q32" s="91">
        <f>'Model (SN)'!Q32-'Model (SC)'!Q32</f>
        <v>0</v>
      </c>
      <c r="R32" s="91">
        <f>'Model (SN)'!R32-'Model (SC)'!R32</f>
        <v>0</v>
      </c>
      <c r="S32" s="91">
        <f>'Model (SN)'!S32-'Model (SC)'!S32</f>
        <v>0</v>
      </c>
      <c r="T32" s="91">
        <f>'Model (SN)'!T32-'Model (SC)'!T32</f>
        <v>0</v>
      </c>
      <c r="U32" s="91">
        <f>'Model (SN)'!U32-'Model (SC)'!U32</f>
        <v>0</v>
      </c>
      <c r="V32" s="91">
        <f>'Model (SN)'!V32-'Model (SC)'!V32</f>
        <v>0</v>
      </c>
    </row>
    <row r="33" spans="1:22" x14ac:dyDescent="0.25">
      <c r="A33" s="82"/>
      <c r="B33" s="63" t="s">
        <v>145</v>
      </c>
      <c r="C33" s="94">
        <f>'Model (SN)'!C33-'Model (SC)'!C33</f>
        <v>0</v>
      </c>
      <c r="D33" s="91">
        <f>'Model (SN)'!D33-'Model (SC)'!D33</f>
        <v>0</v>
      </c>
      <c r="E33" s="91">
        <f>'Model (SN)'!E33-'Model (SC)'!E33</f>
        <v>0</v>
      </c>
      <c r="F33" s="91">
        <f>'Model (SN)'!F33-'Model (SC)'!F33</f>
        <v>0</v>
      </c>
      <c r="G33" s="91">
        <f>'Model (SN)'!G33-'Model (SC)'!G33</f>
        <v>0</v>
      </c>
      <c r="H33" s="91">
        <f>'Model (SN)'!H33-'Model (SC)'!H33</f>
        <v>0</v>
      </c>
      <c r="I33" s="91">
        <f>'Model (SN)'!I33-'Model (SC)'!I33</f>
        <v>0</v>
      </c>
      <c r="J33" s="91">
        <f>'Model (SN)'!J33-'Model (SC)'!J33</f>
        <v>0</v>
      </c>
      <c r="K33" s="91">
        <f>'Model (SN)'!K33-'Model (SC)'!K33</f>
        <v>0</v>
      </c>
      <c r="L33" s="91">
        <f>'Model (SN)'!L33-'Model (SC)'!L33</f>
        <v>0</v>
      </c>
      <c r="M33" s="91">
        <f>'Model (SN)'!M33-'Model (SC)'!M33</f>
        <v>0</v>
      </c>
      <c r="N33" s="91">
        <f>'Model (SN)'!N33-'Model (SC)'!N33</f>
        <v>0</v>
      </c>
      <c r="O33" s="91">
        <f>'Model (SN)'!O33-'Model (SC)'!O33</f>
        <v>0</v>
      </c>
      <c r="P33" s="91">
        <f>'Model (SN)'!P33-'Model (SC)'!P33</f>
        <v>0</v>
      </c>
      <c r="Q33" s="91">
        <f>'Model (SN)'!Q33-'Model (SC)'!Q33</f>
        <v>0</v>
      </c>
      <c r="R33" s="91">
        <f>'Model (SN)'!R33-'Model (SC)'!R33</f>
        <v>0</v>
      </c>
      <c r="S33" s="91">
        <f>'Model (SN)'!S33-'Model (SC)'!S33</f>
        <v>0</v>
      </c>
      <c r="T33" s="91">
        <f>'Model (SN)'!T33-'Model (SC)'!T33</f>
        <v>0</v>
      </c>
      <c r="U33" s="91">
        <f>'Model (SN)'!U33-'Model (SC)'!U33</f>
        <v>0</v>
      </c>
      <c r="V33" s="91">
        <f>'Model (SN)'!V33-'Model (SC)'!V33</f>
        <v>0</v>
      </c>
    </row>
    <row r="34" spans="1:22" x14ac:dyDescent="0.25">
      <c r="A34" s="82"/>
      <c r="B34" s="63" t="s">
        <v>146</v>
      </c>
      <c r="C34" s="94">
        <f>'Model (SN)'!C34-'Model (SC)'!C34</f>
        <v>0</v>
      </c>
      <c r="D34" s="91">
        <f>'Model (SN)'!D34-'Model (SC)'!D34</f>
        <v>0</v>
      </c>
      <c r="E34" s="91">
        <f>'Model (SN)'!E34-'Model (SC)'!E34</f>
        <v>0</v>
      </c>
      <c r="F34" s="91">
        <f>'Model (SN)'!F34-'Model (SC)'!F34</f>
        <v>0</v>
      </c>
      <c r="G34" s="91">
        <f>'Model (SN)'!G34-'Model (SC)'!G34</f>
        <v>0</v>
      </c>
      <c r="H34" s="91">
        <f>'Model (SN)'!H34-'Model (SC)'!H34</f>
        <v>0</v>
      </c>
      <c r="I34" s="91">
        <f>'Model (SN)'!I34-'Model (SC)'!I34</f>
        <v>0</v>
      </c>
      <c r="J34" s="91">
        <f>'Model (SN)'!J34-'Model (SC)'!J34</f>
        <v>0</v>
      </c>
      <c r="K34" s="91">
        <f>'Model (SN)'!K34-'Model (SC)'!K34</f>
        <v>0</v>
      </c>
      <c r="L34" s="91">
        <f>'Model (SN)'!L34-'Model (SC)'!L34</f>
        <v>0</v>
      </c>
      <c r="M34" s="91">
        <f>'Model (SN)'!M34-'Model (SC)'!M34</f>
        <v>0</v>
      </c>
      <c r="N34" s="91">
        <f>'Model (SN)'!N34-'Model (SC)'!N34</f>
        <v>0</v>
      </c>
      <c r="O34" s="91">
        <f>'Model (SN)'!O34-'Model (SC)'!O34</f>
        <v>0</v>
      </c>
      <c r="P34" s="91">
        <f>'Model (SN)'!P34-'Model (SC)'!P34</f>
        <v>0</v>
      </c>
      <c r="Q34" s="91">
        <f>'Model (SN)'!Q34-'Model (SC)'!Q34</f>
        <v>0</v>
      </c>
      <c r="R34" s="91">
        <f>'Model (SN)'!R34-'Model (SC)'!R34</f>
        <v>0</v>
      </c>
      <c r="S34" s="91">
        <f>'Model (SN)'!S34-'Model (SC)'!S34</f>
        <v>0</v>
      </c>
      <c r="T34" s="91">
        <f>'Model (SN)'!T34-'Model (SC)'!T34</f>
        <v>0</v>
      </c>
      <c r="U34" s="91">
        <f>'Model (SN)'!U34-'Model (SC)'!U34</f>
        <v>0</v>
      </c>
      <c r="V34" s="91">
        <f>'Model (SN)'!V34-'Model (SC)'!V34</f>
        <v>0</v>
      </c>
    </row>
    <row r="35" spans="1:22" x14ac:dyDescent="0.25">
      <c r="A35" s="82"/>
      <c r="B35" s="98" t="s">
        <v>131</v>
      </c>
      <c r="C35" s="94">
        <f>'Model (SN)'!C35-'Model (SC)'!C35</f>
        <v>0</v>
      </c>
      <c r="D35" s="91">
        <f>'Model (SN)'!D35-'Model (SC)'!D35</f>
        <v>0</v>
      </c>
      <c r="E35" s="91">
        <f>'Model (SN)'!E35-'Model (SC)'!E35</f>
        <v>0</v>
      </c>
      <c r="F35" s="91">
        <f>'Model (SN)'!F35-'Model (SC)'!F35</f>
        <v>0</v>
      </c>
      <c r="G35" s="91">
        <f>'Model (SN)'!G35-'Model (SC)'!G35</f>
        <v>0</v>
      </c>
      <c r="H35" s="91">
        <f>'Model (SN)'!H35-'Model (SC)'!H35</f>
        <v>0</v>
      </c>
      <c r="I35" s="91">
        <f>'Model (SN)'!I35-'Model (SC)'!I35</f>
        <v>0</v>
      </c>
      <c r="J35" s="91">
        <f>'Model (SN)'!J35-'Model (SC)'!J35</f>
        <v>0</v>
      </c>
      <c r="K35" s="91">
        <f>'Model (SN)'!K35-'Model (SC)'!K35</f>
        <v>0</v>
      </c>
      <c r="L35" s="91">
        <f>'Model (SN)'!L35-'Model (SC)'!L35</f>
        <v>0</v>
      </c>
      <c r="M35" s="91">
        <f>'Model (SN)'!M35-'Model (SC)'!M35</f>
        <v>0</v>
      </c>
      <c r="N35" s="91">
        <f>'Model (SN)'!N35-'Model (SC)'!N35</f>
        <v>0</v>
      </c>
      <c r="O35" s="91">
        <f>'Model (SN)'!O35-'Model (SC)'!O35</f>
        <v>0</v>
      </c>
      <c r="P35" s="91">
        <f>'Model (SN)'!P35-'Model (SC)'!P35</f>
        <v>0</v>
      </c>
      <c r="Q35" s="91">
        <f>'Model (SN)'!Q35-'Model (SC)'!Q35</f>
        <v>0</v>
      </c>
      <c r="R35" s="91">
        <f>'Model (SN)'!R35-'Model (SC)'!R35</f>
        <v>0</v>
      </c>
      <c r="S35" s="91">
        <f>'Model (SN)'!S35-'Model (SC)'!S35</f>
        <v>0</v>
      </c>
      <c r="T35" s="91">
        <f>'Model (SN)'!T35-'Model (SC)'!T35</f>
        <v>0</v>
      </c>
      <c r="U35" s="91">
        <f>'Model (SN)'!U35-'Model (SC)'!U35</f>
        <v>0</v>
      </c>
      <c r="V35" s="91">
        <f>'Model (SN)'!V35-'Model (SC)'!V35</f>
        <v>0</v>
      </c>
    </row>
    <row r="36" spans="1:22" x14ac:dyDescent="0.25">
      <c r="A36" s="86" t="s">
        <v>315</v>
      </c>
      <c r="B36" s="64"/>
      <c r="C36" s="94">
        <f>'Model (SN)'!C36-'Model (SC)'!C36</f>
        <v>0</v>
      </c>
      <c r="D36" s="91">
        <f>'Model (SN)'!D36-'Model (SC)'!D36</f>
        <v>0</v>
      </c>
      <c r="E36" s="91">
        <f>'Model (SN)'!E36-'Model (SC)'!E36</f>
        <v>0</v>
      </c>
      <c r="F36" s="91">
        <f>'Model (SN)'!F36-'Model (SC)'!F36</f>
        <v>0</v>
      </c>
      <c r="G36" s="91">
        <f>'Model (SN)'!G36-'Model (SC)'!G36</f>
        <v>0</v>
      </c>
      <c r="H36" s="91">
        <f>'Model (SN)'!H36-'Model (SC)'!H36</f>
        <v>0</v>
      </c>
      <c r="I36" s="91">
        <f>'Model (SN)'!I36-'Model (SC)'!I36</f>
        <v>0</v>
      </c>
      <c r="J36" s="91">
        <f>'Model (SN)'!J36-'Model (SC)'!J36</f>
        <v>0</v>
      </c>
      <c r="K36" s="91">
        <f>'Model (SN)'!K36-'Model (SC)'!K36</f>
        <v>0</v>
      </c>
      <c r="L36" s="91">
        <f>'Model (SN)'!L36-'Model (SC)'!L36</f>
        <v>0</v>
      </c>
      <c r="M36" s="91">
        <f>'Model (SN)'!M36-'Model (SC)'!M36</f>
        <v>0</v>
      </c>
      <c r="N36" s="91">
        <f>'Model (SN)'!N36-'Model (SC)'!N36</f>
        <v>0</v>
      </c>
      <c r="O36" s="91">
        <f>'Model (SN)'!O36-'Model (SC)'!O36</f>
        <v>0</v>
      </c>
      <c r="P36" s="91">
        <f>'Model (SN)'!P36-'Model (SC)'!P36</f>
        <v>0</v>
      </c>
      <c r="Q36" s="91">
        <f>'Model (SN)'!Q36-'Model (SC)'!Q36</f>
        <v>0</v>
      </c>
      <c r="R36" s="91">
        <f>'Model (SN)'!R36-'Model (SC)'!R36</f>
        <v>0</v>
      </c>
      <c r="S36" s="91">
        <f>'Model (SN)'!S36-'Model (SC)'!S36</f>
        <v>0</v>
      </c>
      <c r="T36" s="91">
        <f>'Model (SN)'!T36-'Model (SC)'!T36</f>
        <v>0</v>
      </c>
      <c r="U36" s="91">
        <f>'Model (SN)'!U36-'Model (SC)'!U36</f>
        <v>0</v>
      </c>
      <c r="V36" s="91">
        <f>'Model (SN)'!V36-'Model (SC)'!V36</f>
        <v>0</v>
      </c>
    </row>
    <row r="37" spans="1:22" x14ac:dyDescent="0.25">
      <c r="A37" s="82"/>
      <c r="B37" s="64" t="s">
        <v>124</v>
      </c>
      <c r="C37" s="94">
        <f>'Model (SN)'!C37-'Model (SC)'!C37</f>
        <v>0</v>
      </c>
      <c r="D37" s="91">
        <f>'Model (SN)'!D37-'Model (SC)'!D37</f>
        <v>0</v>
      </c>
      <c r="E37" s="91">
        <f>'Model (SN)'!E37-'Model (SC)'!E37</f>
        <v>0</v>
      </c>
      <c r="F37" s="91">
        <f>'Model (SN)'!F37-'Model (SC)'!F37</f>
        <v>0</v>
      </c>
      <c r="G37" s="91">
        <f>'Model (SN)'!G37-'Model (SC)'!G37</f>
        <v>0</v>
      </c>
      <c r="H37" s="91">
        <f>'Model (SN)'!H37-'Model (SC)'!H37</f>
        <v>0</v>
      </c>
      <c r="I37" s="91">
        <f>'Model (SN)'!I37-'Model (SC)'!I37</f>
        <v>0</v>
      </c>
      <c r="J37" s="91">
        <f>'Model (SN)'!J37-'Model (SC)'!J37</f>
        <v>0</v>
      </c>
      <c r="K37" s="91">
        <f>'Model (SN)'!K37-'Model (SC)'!K37</f>
        <v>0</v>
      </c>
      <c r="L37" s="91">
        <f>'Model (SN)'!L37-'Model (SC)'!L37</f>
        <v>0</v>
      </c>
      <c r="M37" s="91">
        <f>'Model (SN)'!M37-'Model (SC)'!M37</f>
        <v>0</v>
      </c>
      <c r="N37" s="91">
        <f>'Model (SN)'!N37-'Model (SC)'!N37</f>
        <v>0</v>
      </c>
      <c r="O37" s="91">
        <f>'Model (SN)'!O37-'Model (SC)'!O37</f>
        <v>0</v>
      </c>
      <c r="P37" s="91">
        <f>'Model (SN)'!P37-'Model (SC)'!P37</f>
        <v>0</v>
      </c>
      <c r="Q37" s="91">
        <f>'Model (SN)'!Q37-'Model (SC)'!Q37</f>
        <v>0</v>
      </c>
      <c r="R37" s="91">
        <f>'Model (SN)'!R37-'Model (SC)'!R37</f>
        <v>0</v>
      </c>
      <c r="S37" s="91">
        <f>'Model (SN)'!S37-'Model (SC)'!S37</f>
        <v>0</v>
      </c>
      <c r="T37" s="91">
        <f>'Model (SN)'!T37-'Model (SC)'!T37</f>
        <v>0</v>
      </c>
      <c r="U37" s="91">
        <f>'Model (SN)'!U37-'Model (SC)'!U37</f>
        <v>0</v>
      </c>
      <c r="V37" s="91">
        <f>'Model (SN)'!V37-'Model (SC)'!V37</f>
        <v>0</v>
      </c>
    </row>
    <row r="38" spans="1:22" x14ac:dyDescent="0.25">
      <c r="A38" s="82"/>
      <c r="B38" s="64" t="s">
        <v>630</v>
      </c>
      <c r="C38" s="94">
        <f>'Model (SN)'!C38-'Model (SC)'!C38</f>
        <v>0</v>
      </c>
      <c r="D38" s="91">
        <f>'Model (SN)'!D38-'Model (SC)'!D38</f>
        <v>0</v>
      </c>
      <c r="E38" s="91">
        <f>'Model (SN)'!E38-'Model (SC)'!E38</f>
        <v>0</v>
      </c>
      <c r="F38" s="91">
        <f>'Model (SN)'!F38-'Model (SC)'!F38</f>
        <v>0</v>
      </c>
      <c r="G38" s="91">
        <f>'Model (SN)'!G38-'Model (SC)'!G38</f>
        <v>0</v>
      </c>
      <c r="H38" s="91">
        <f>'Model (SN)'!H38-'Model (SC)'!H38</f>
        <v>0</v>
      </c>
      <c r="I38" s="91">
        <f>'Model (SN)'!I38-'Model (SC)'!I38</f>
        <v>0</v>
      </c>
      <c r="J38" s="91">
        <f>'Model (SN)'!J38-'Model (SC)'!J38</f>
        <v>0</v>
      </c>
      <c r="K38" s="91">
        <f>'Model (SN)'!K38-'Model (SC)'!K38</f>
        <v>0</v>
      </c>
      <c r="L38" s="91">
        <f>'Model (SN)'!L38-'Model (SC)'!L38</f>
        <v>0</v>
      </c>
      <c r="M38" s="91">
        <f>'Model (SN)'!M38-'Model (SC)'!M38</f>
        <v>0</v>
      </c>
      <c r="N38" s="91">
        <f>'Model (SN)'!N38-'Model (SC)'!N38</f>
        <v>0</v>
      </c>
      <c r="O38" s="91">
        <f>'Model (SN)'!O38-'Model (SC)'!O38</f>
        <v>0</v>
      </c>
      <c r="P38" s="91">
        <f>'Model (SN)'!P38-'Model (SC)'!P38</f>
        <v>0</v>
      </c>
      <c r="Q38" s="91">
        <f>'Model (SN)'!Q38-'Model (SC)'!Q38</f>
        <v>0</v>
      </c>
      <c r="R38" s="91">
        <f>'Model (SN)'!R38-'Model (SC)'!R38</f>
        <v>0</v>
      </c>
      <c r="S38" s="91">
        <f>'Model (SN)'!S38-'Model (SC)'!S38</f>
        <v>0</v>
      </c>
      <c r="T38" s="91">
        <f>'Model (SN)'!T38-'Model (SC)'!T38</f>
        <v>0</v>
      </c>
      <c r="U38" s="91">
        <f>'Model (SN)'!U38-'Model (SC)'!U38</f>
        <v>0</v>
      </c>
      <c r="V38" s="91">
        <f>'Model (SN)'!V38-'Model (SC)'!V38</f>
        <v>0</v>
      </c>
    </row>
    <row r="39" spans="1:22" x14ac:dyDescent="0.25">
      <c r="A39" s="82"/>
      <c r="B39" s="64" t="s">
        <v>147</v>
      </c>
      <c r="C39" s="94">
        <f>'Model (SN)'!C39-'Model (SC)'!C39</f>
        <v>0</v>
      </c>
      <c r="D39" s="91">
        <f>'Model (SN)'!D39-'Model (SC)'!D39</f>
        <v>0</v>
      </c>
      <c r="E39" s="91">
        <f>'Model (SN)'!E39-'Model (SC)'!E39</f>
        <v>0</v>
      </c>
      <c r="F39" s="91">
        <f>'Model (SN)'!F39-'Model (SC)'!F39</f>
        <v>0</v>
      </c>
      <c r="G39" s="91">
        <f>'Model (SN)'!G39-'Model (SC)'!G39</f>
        <v>0</v>
      </c>
      <c r="H39" s="91">
        <f>'Model (SN)'!H39-'Model (SC)'!H39</f>
        <v>0</v>
      </c>
      <c r="I39" s="91">
        <f>'Model (SN)'!I39-'Model (SC)'!I39</f>
        <v>0</v>
      </c>
      <c r="J39" s="91">
        <f>'Model (SN)'!J39-'Model (SC)'!J39</f>
        <v>0</v>
      </c>
      <c r="K39" s="91">
        <f>'Model (SN)'!K39-'Model (SC)'!K39</f>
        <v>0</v>
      </c>
      <c r="L39" s="91">
        <f>'Model (SN)'!L39-'Model (SC)'!L39</f>
        <v>-64.238711735622473</v>
      </c>
      <c r="M39" s="91">
        <f>'Model (SN)'!M39-'Model (SC)'!M39</f>
        <v>-58.398796386802587</v>
      </c>
      <c r="N39" s="91">
        <f>'Model (SN)'!N39-'Model (SC)'!N39</f>
        <v>-56.179709560750325</v>
      </c>
      <c r="O39" s="91">
        <f>'Model (SN)'!O39-'Model (SC)'!O39</f>
        <v>-55.007337892559462</v>
      </c>
      <c r="P39" s="91">
        <f>'Model (SN)'!P39-'Model (SC)'!P39</f>
        <v>-54.538765135077483</v>
      </c>
      <c r="Q39" s="91">
        <f>'Model (SN)'!Q39-'Model (SC)'!Q39</f>
        <v>-54.51069845933398</v>
      </c>
      <c r="R39" s="91">
        <f>'Model (SN)'!R39-'Model (SC)'!R39</f>
        <v>-54.767818638608787</v>
      </c>
      <c r="S39" s="91">
        <f>'Model (SN)'!S39-'Model (SC)'!S39</f>
        <v>-55.211629800230639</v>
      </c>
      <c r="T39" s="91">
        <f>'Model (SN)'!T39-'Model (SC)'!T39</f>
        <v>-55.776016779646852</v>
      </c>
      <c r="U39" s="91">
        <f>'Model (SN)'!U39-'Model (SC)'!U39</f>
        <v>-56.415265763216667</v>
      </c>
      <c r="V39" s="91">
        <f>'Model (SN)'!V39-'Model (SC)'!V39</f>
        <v>-57.097536757150465</v>
      </c>
    </row>
    <row r="40" spans="1:22" x14ac:dyDescent="0.25">
      <c r="A40" s="82"/>
      <c r="B40" s="63" t="s">
        <v>148</v>
      </c>
      <c r="C40" s="94">
        <f>'Model (SN)'!C40-'Model (SC)'!C40</f>
        <v>0</v>
      </c>
      <c r="D40" s="91">
        <f>'Model (SN)'!D40-'Model (SC)'!D40</f>
        <v>0</v>
      </c>
      <c r="E40" s="91">
        <f>'Model (SN)'!E40-'Model (SC)'!E40</f>
        <v>0</v>
      </c>
      <c r="F40" s="91">
        <f>'Model (SN)'!F40-'Model (SC)'!F40</f>
        <v>0</v>
      </c>
      <c r="G40" s="91">
        <f>'Model (SN)'!G40-'Model (SC)'!G40</f>
        <v>0</v>
      </c>
      <c r="H40" s="91">
        <f>'Model (SN)'!H40-'Model (SC)'!H40</f>
        <v>0</v>
      </c>
      <c r="I40" s="91">
        <f>'Model (SN)'!I40-'Model (SC)'!I40</f>
        <v>0</v>
      </c>
      <c r="J40" s="91">
        <f>'Model (SN)'!J40-'Model (SC)'!J40</f>
        <v>0</v>
      </c>
      <c r="K40" s="91">
        <f>'Model (SN)'!K40-'Model (SC)'!K40</f>
        <v>0</v>
      </c>
      <c r="L40" s="91">
        <f>'Model (SN)'!L40-'Model (SC)'!L40</f>
        <v>0</v>
      </c>
      <c r="M40" s="91">
        <f>'Model (SN)'!M40-'Model (SC)'!M40</f>
        <v>-52.707206827504706</v>
      </c>
      <c r="N40" s="91">
        <f>'Model (SN)'!N40-'Model (SC)'!N40</f>
        <v>-97.083703945278103</v>
      </c>
      <c r="O40" s="91">
        <f>'Model (SN)'!O40-'Model (SC)'!O40</f>
        <v>-136.65972444027648</v>
      </c>
      <c r="P40" s="91">
        <f>'Model (SN)'!P40-'Model (SC)'!P40</f>
        <v>-172.61642391891291</v>
      </c>
      <c r="Q40" s="91">
        <f>'Model (SN)'!Q40-'Model (SC)'!Q40</f>
        <v>-205.77428792287174</v>
      </c>
      <c r="R40" s="91">
        <f>'Model (SN)'!R40-'Model (SC)'!R40</f>
        <v>-236.68267996115173</v>
      </c>
      <c r="S40" s="91">
        <f>'Model (SN)'!S40-'Model (SC)'!S40</f>
        <v>-265.72663771724547</v>
      </c>
      <c r="T40" s="91">
        <f>'Model (SN)'!T40-'Model (SC)'!T40</f>
        <v>-293.1845299795059</v>
      </c>
      <c r="U40" s="91">
        <f>'Model (SN)'!U40-'Model (SC)'!U40</f>
        <v>-319.26178715343485</v>
      </c>
      <c r="V40" s="91">
        <f>'Model (SN)'!V40-'Model (SC)'!V40</f>
        <v>-344.11253793872311</v>
      </c>
    </row>
    <row r="41" spans="1:22" x14ac:dyDescent="0.25">
      <c r="A41" s="82"/>
      <c r="B41" s="64" t="s">
        <v>133</v>
      </c>
      <c r="C41" s="94">
        <f>'Model (SN)'!C41-'Model (SC)'!C41</f>
        <v>0</v>
      </c>
      <c r="D41" s="91">
        <f>'Model (SN)'!D41-'Model (SC)'!D41</f>
        <v>0</v>
      </c>
      <c r="E41" s="91">
        <f>'Model (SN)'!E41-'Model (SC)'!E41</f>
        <v>0</v>
      </c>
      <c r="F41" s="91">
        <f>'Model (SN)'!F41-'Model (SC)'!F41</f>
        <v>0</v>
      </c>
      <c r="G41" s="91">
        <f>'Model (SN)'!G41-'Model (SC)'!G41</f>
        <v>0</v>
      </c>
      <c r="H41" s="91">
        <f>'Model (SN)'!H41-'Model (SC)'!H41</f>
        <v>0</v>
      </c>
      <c r="I41" s="91">
        <f>'Model (SN)'!I41-'Model (SC)'!I41</f>
        <v>0</v>
      </c>
      <c r="J41" s="91">
        <f>'Model (SN)'!J41-'Model (SC)'!J41</f>
        <v>0</v>
      </c>
      <c r="K41" s="91">
        <f>'Model (SN)'!K41-'Model (SC)'!K41</f>
        <v>0</v>
      </c>
      <c r="L41" s="91">
        <f>'Model (SN)'!L41-'Model (SC)'!L41</f>
        <v>0</v>
      </c>
      <c r="M41" s="91">
        <f>'Model (SN)'!M41-'Model (SC)'!M41</f>
        <v>0</v>
      </c>
      <c r="N41" s="91">
        <f>'Model (SN)'!N41-'Model (SC)'!N41</f>
        <v>-2.0856473466774332</v>
      </c>
      <c r="O41" s="91">
        <f>'Model (SN)'!O41-'Model (SC)'!O41</f>
        <v>-5.4330467210420466</v>
      </c>
      <c r="P41" s="91">
        <f>'Model (SN)'!P41-'Model (SC)'!P41</f>
        <v>-9.7151557586830677</v>
      </c>
      <c r="Q41" s="91">
        <f>'Model (SN)'!Q41-'Model (SC)'!Q41</f>
        <v>-14.707372786026099</v>
      </c>
      <c r="R41" s="91">
        <f>'Model (SN)'!R41-'Model (SC)'!R41</f>
        <v>-20.239721820804334</v>
      </c>
      <c r="S41" s="91">
        <f>'Model (SN)'!S41-'Model (SC)'!S41</f>
        <v>-26.178718949448921</v>
      </c>
      <c r="T41" s="91">
        <f>'Model (SN)'!T41-'Model (SC)'!T41</f>
        <v>-32.41790556234082</v>
      </c>
      <c r="U41" s="91">
        <f>'Model (SN)'!U41-'Model (SC)'!U41</f>
        <v>-38.871536104335974</v>
      </c>
      <c r="V41" s="91">
        <f>'Model (SN)'!V41-'Model (SC)'!V41</f>
        <v>-45.470004605007489</v>
      </c>
    </row>
    <row r="42" spans="1:22" x14ac:dyDescent="0.25">
      <c r="A42" s="82"/>
      <c r="B42" s="64" t="s">
        <v>570</v>
      </c>
      <c r="C42" s="24">
        <f>'Model (SN)'!C42-'Model (SC)'!C42</f>
        <v>0</v>
      </c>
      <c r="D42" s="91">
        <f>'Model (SN)'!D42-'Model (SC)'!D42</f>
        <v>0</v>
      </c>
      <c r="E42" s="91">
        <f>'Model (SN)'!E42-'Model (SC)'!E42</f>
        <v>0</v>
      </c>
      <c r="F42" s="91">
        <f>'Model (SN)'!F42-'Model (SC)'!F42</f>
        <v>0</v>
      </c>
      <c r="G42" s="91">
        <f>'Model (SN)'!G42-'Model (SC)'!G42</f>
        <v>0</v>
      </c>
      <c r="H42" s="91">
        <f>'Model (SN)'!H42-'Model (SC)'!H42</f>
        <v>0</v>
      </c>
      <c r="I42" s="91">
        <f>'Model (SN)'!I42-'Model (SC)'!I42</f>
        <v>0</v>
      </c>
      <c r="J42" s="91">
        <f>'Model (SN)'!J42-'Model (SC)'!J42</f>
        <v>0</v>
      </c>
      <c r="K42" s="91">
        <f>'Model (SN)'!K42-'Model (SC)'!K42</f>
        <v>0</v>
      </c>
      <c r="L42" s="91">
        <f>'Model (SN)'!L42-'Model (SC)'!L42</f>
        <v>0</v>
      </c>
      <c r="M42" s="91">
        <f>'Model (SN)'!M42-'Model (SC)'!M42</f>
        <v>0</v>
      </c>
      <c r="N42" s="91">
        <f>'Model (SN)'!N42-'Model (SC)'!N42</f>
        <v>0</v>
      </c>
      <c r="O42" s="91">
        <f>'Model (SN)'!O42-'Model (SC)'!O42</f>
        <v>0</v>
      </c>
      <c r="P42" s="91">
        <f>'Model (SN)'!P42-'Model (SC)'!P42</f>
        <v>0</v>
      </c>
      <c r="Q42" s="91">
        <f>'Model (SN)'!Q42-'Model (SC)'!Q42</f>
        <v>0</v>
      </c>
      <c r="R42" s="91">
        <f>'Model (SN)'!R42-'Model (SC)'!R42</f>
        <v>0</v>
      </c>
      <c r="S42" s="91">
        <f>'Model (SN)'!S42-'Model (SC)'!S42</f>
        <v>0</v>
      </c>
      <c r="T42" s="91">
        <f>'Model (SN)'!T42-'Model (SC)'!T42</f>
        <v>0</v>
      </c>
      <c r="U42" s="91">
        <f>'Model (SN)'!U42-'Model (SC)'!U42</f>
        <v>0</v>
      </c>
      <c r="V42" s="91">
        <f>'Model (SN)'!V42-'Model (SC)'!V42</f>
        <v>0</v>
      </c>
    </row>
    <row r="43" spans="1:22" x14ac:dyDescent="0.25">
      <c r="A43" s="82"/>
      <c r="B43" s="63" t="s">
        <v>134</v>
      </c>
      <c r="C43" s="94">
        <f>'Model (SN)'!C43-'Model (SC)'!C43</f>
        <v>0</v>
      </c>
      <c r="D43" s="91">
        <f>'Model (SN)'!D43-'Model (SC)'!D43</f>
        <v>0</v>
      </c>
      <c r="E43" s="91">
        <f>'Model (SN)'!E43-'Model (SC)'!E43</f>
        <v>0</v>
      </c>
      <c r="F43" s="91">
        <f>'Model (SN)'!F43-'Model (SC)'!F43</f>
        <v>0</v>
      </c>
      <c r="G43" s="91">
        <f>'Model (SN)'!G43-'Model (SC)'!G43</f>
        <v>0</v>
      </c>
      <c r="H43" s="91">
        <f>'Model (SN)'!H43-'Model (SC)'!H43</f>
        <v>0</v>
      </c>
      <c r="I43" s="91">
        <f>'Model (SN)'!I43-'Model (SC)'!I43</f>
        <v>0</v>
      </c>
      <c r="J43" s="91">
        <f>'Model (SN)'!J43-'Model (SC)'!J43</f>
        <v>0</v>
      </c>
      <c r="K43" s="91">
        <f>'Model (SN)'!K43-'Model (SC)'!K43</f>
        <v>0</v>
      </c>
      <c r="L43" s="91">
        <f>'Model (SN)'!L43-'Model (SC)'!L43</f>
        <v>0</v>
      </c>
      <c r="M43" s="91">
        <f>'Model (SN)'!M43-'Model (SC)'!M43</f>
        <v>0</v>
      </c>
      <c r="N43" s="91">
        <f>'Model (SN)'!N43-'Model (SC)'!N43</f>
        <v>0</v>
      </c>
      <c r="O43" s="91">
        <f>'Model (SN)'!O43-'Model (SC)'!O43</f>
        <v>0</v>
      </c>
      <c r="P43" s="91">
        <f>'Model (SN)'!P43-'Model (SC)'!P43</f>
        <v>0</v>
      </c>
      <c r="Q43" s="91">
        <f>'Model (SN)'!Q43-'Model (SC)'!Q43</f>
        <v>0</v>
      </c>
      <c r="R43" s="91">
        <f>'Model (SN)'!R43-'Model (SC)'!R43</f>
        <v>0</v>
      </c>
      <c r="S43" s="91">
        <f>'Model (SN)'!S43-'Model (SC)'!S43</f>
        <v>0</v>
      </c>
      <c r="T43" s="91">
        <f>'Model (SN)'!T43-'Model (SC)'!T43</f>
        <v>0</v>
      </c>
      <c r="U43" s="91">
        <f>'Model (SN)'!U43-'Model (SC)'!U43</f>
        <v>0</v>
      </c>
      <c r="V43" s="91">
        <f>'Model (SN)'!V43-'Model (SC)'!V43</f>
        <v>0</v>
      </c>
    </row>
    <row r="44" spans="1:22" x14ac:dyDescent="0.25">
      <c r="A44" s="82"/>
      <c r="B44" s="63" t="s">
        <v>732</v>
      </c>
      <c r="C44" s="94">
        <f>'Model (SN)'!C44-'Model (SC)'!C44</f>
        <v>0</v>
      </c>
      <c r="D44" s="91">
        <f>'Model (SN)'!D44-'Model (SC)'!D44</f>
        <v>0</v>
      </c>
      <c r="E44" s="91">
        <f>'Model (SN)'!E44-'Model (SC)'!E44</f>
        <v>0</v>
      </c>
      <c r="F44" s="91">
        <f>'Model (SN)'!F44-'Model (SC)'!F44</f>
        <v>0</v>
      </c>
      <c r="G44" s="91">
        <f>'Model (SN)'!G44-'Model (SC)'!G44</f>
        <v>0</v>
      </c>
      <c r="H44" s="91">
        <f>'Model (SN)'!H44-'Model (SC)'!H44</f>
        <v>0</v>
      </c>
      <c r="I44" s="91">
        <f>'Model (SN)'!I44-'Model (SC)'!I44</f>
        <v>0</v>
      </c>
      <c r="J44" s="91">
        <f>'Model (SN)'!J44-'Model (SC)'!J44</f>
        <v>0</v>
      </c>
      <c r="K44" s="91">
        <f>'Model (SN)'!K44-'Model (SC)'!K44</f>
        <v>0</v>
      </c>
      <c r="L44" s="91">
        <f>'Model (SN)'!L44-'Model (SC)'!L44</f>
        <v>0</v>
      </c>
      <c r="M44" s="91">
        <f>'Model (SN)'!M44-'Model (SC)'!M44</f>
        <v>0</v>
      </c>
      <c r="N44" s="91">
        <f>'Model (SN)'!N44-'Model (SC)'!N44</f>
        <v>0</v>
      </c>
      <c r="O44" s="91">
        <f>'Model (SN)'!O44-'Model (SC)'!O44</f>
        <v>0</v>
      </c>
      <c r="P44" s="91">
        <f>'Model (SN)'!P44-'Model (SC)'!P44</f>
        <v>0</v>
      </c>
      <c r="Q44" s="91">
        <f>'Model (SN)'!Q44-'Model (SC)'!Q44</f>
        <v>0</v>
      </c>
      <c r="R44" s="91">
        <f>'Model (SN)'!R44-'Model (SC)'!R44</f>
        <v>0</v>
      </c>
      <c r="S44" s="91">
        <f>'Model (SN)'!S44-'Model (SC)'!S44</f>
        <v>0</v>
      </c>
      <c r="T44" s="91">
        <f>'Model (SN)'!T44-'Model (SC)'!T44</f>
        <v>0</v>
      </c>
      <c r="U44" s="91">
        <f>'Model (SN)'!U44-'Model (SC)'!U44</f>
        <v>0</v>
      </c>
      <c r="V44" s="91">
        <f>'Model (SN)'!V44-'Model (SC)'!V44</f>
        <v>0</v>
      </c>
    </row>
    <row r="45" spans="1:22" x14ac:dyDescent="0.25">
      <c r="A45" s="82"/>
      <c r="B45" s="63" t="s">
        <v>733</v>
      </c>
      <c r="C45" s="94">
        <f>'Model (SN)'!C45-'Model (SC)'!C45</f>
        <v>0</v>
      </c>
      <c r="D45" s="91">
        <f>'Model (SN)'!D45-'Model (SC)'!D45</f>
        <v>0</v>
      </c>
      <c r="E45" s="91">
        <f>'Model (SN)'!E45-'Model (SC)'!E45</f>
        <v>0</v>
      </c>
      <c r="F45" s="91">
        <f>'Model (SN)'!F45-'Model (SC)'!F45</f>
        <v>0</v>
      </c>
      <c r="G45" s="91">
        <f>'Model (SN)'!G45-'Model (SC)'!G45</f>
        <v>0</v>
      </c>
      <c r="H45" s="91">
        <f>'Model (SN)'!H45-'Model (SC)'!H45</f>
        <v>0</v>
      </c>
      <c r="I45" s="91">
        <f>'Model (SN)'!I45-'Model (SC)'!I45</f>
        <v>0</v>
      </c>
      <c r="J45" s="91">
        <f>'Model (SN)'!J45-'Model (SC)'!J45</f>
        <v>0</v>
      </c>
      <c r="K45" s="91">
        <f>'Model (SN)'!K45-'Model (SC)'!K45</f>
        <v>0</v>
      </c>
      <c r="L45" s="91">
        <f>'Model (SN)'!L45-'Model (SC)'!L45</f>
        <v>0</v>
      </c>
      <c r="M45" s="91">
        <f>'Model (SN)'!M45-'Model (SC)'!M45</f>
        <v>0</v>
      </c>
      <c r="N45" s="91">
        <f>'Model (SN)'!N45-'Model (SC)'!N45</f>
        <v>0</v>
      </c>
      <c r="O45" s="91">
        <f>'Model (SN)'!O45-'Model (SC)'!O45</f>
        <v>0</v>
      </c>
      <c r="P45" s="91">
        <f>'Model (SN)'!P45-'Model (SC)'!P45</f>
        <v>0</v>
      </c>
      <c r="Q45" s="91">
        <f>'Model (SN)'!Q45-'Model (SC)'!Q45</f>
        <v>0</v>
      </c>
      <c r="R45" s="91">
        <f>'Model (SN)'!R45-'Model (SC)'!R45</f>
        <v>0</v>
      </c>
      <c r="S45" s="91">
        <f>'Model (SN)'!S45-'Model (SC)'!S45</f>
        <v>0</v>
      </c>
      <c r="T45" s="91">
        <f>'Model (SN)'!T45-'Model (SC)'!T45</f>
        <v>0</v>
      </c>
      <c r="U45" s="91">
        <f>'Model (SN)'!U45-'Model (SC)'!U45</f>
        <v>0</v>
      </c>
      <c r="V45" s="91">
        <f>'Model (SN)'!V45-'Model (SC)'!V45</f>
        <v>0</v>
      </c>
    </row>
    <row r="46" spans="1:22" x14ac:dyDescent="0.25">
      <c r="A46" s="82"/>
      <c r="B46" s="63" t="s">
        <v>149</v>
      </c>
      <c r="C46" s="94">
        <f>'Model (SN)'!C46-'Model (SC)'!C46</f>
        <v>0</v>
      </c>
      <c r="D46" s="91">
        <f>'Model (SN)'!D46-'Model (SC)'!D46</f>
        <v>0</v>
      </c>
      <c r="E46" s="91">
        <f>'Model (SN)'!E46-'Model (SC)'!E46</f>
        <v>0</v>
      </c>
      <c r="F46" s="91">
        <f>'Model (SN)'!F46-'Model (SC)'!F46</f>
        <v>0</v>
      </c>
      <c r="G46" s="91">
        <f>'Model (SN)'!G46-'Model (SC)'!G46</f>
        <v>0</v>
      </c>
      <c r="H46" s="91">
        <f>'Model (SN)'!H46-'Model (SC)'!H46</f>
        <v>0</v>
      </c>
      <c r="I46" s="91">
        <f>'Model (SN)'!I46-'Model (SC)'!I46</f>
        <v>0</v>
      </c>
      <c r="J46" s="91">
        <f>'Model (SN)'!J46-'Model (SC)'!J46</f>
        <v>0</v>
      </c>
      <c r="K46" s="91">
        <f>'Model (SN)'!K46-'Model (SC)'!K46</f>
        <v>0</v>
      </c>
      <c r="L46" s="91">
        <f>'Model (SN)'!L46-'Model (SC)'!L46</f>
        <v>0</v>
      </c>
      <c r="M46" s="91">
        <f>'Model (SN)'!M46-'Model (SC)'!M46</f>
        <v>-2.0367076793796315</v>
      </c>
      <c r="N46" s="91">
        <f>'Model (SN)'!N46-'Model (SC)'!N46</f>
        <v>-2.1470476731896611</v>
      </c>
      <c r="O46" s="91">
        <f>'Model (SN)'!O46-'Model (SC)'!O46</f>
        <v>-2.0926995647184015</v>
      </c>
      <c r="P46" s="91">
        <f>'Model (SN)'!P46-'Model (SC)'!P46</f>
        <v>-2.047644058774182</v>
      </c>
      <c r="Q46" s="91">
        <f>'Model (SN)'!Q46-'Model (SC)'!Q46</f>
        <v>-2.026250928674898</v>
      </c>
      <c r="R46" s="91">
        <f>'Model (SN)'!R46-'Model (SC)'!R46</f>
        <v>-2.0222572383986517</v>
      </c>
      <c r="S46" s="91">
        <f>'Model (SN)'!S46-'Model (SC)'!S46</f>
        <v>-2.0298298854286401</v>
      </c>
      <c r="T46" s="91">
        <f>'Model (SN)'!T46-'Model (SC)'!T46</f>
        <v>-2.0449997312878452</v>
      </c>
      <c r="U46" s="91">
        <f>'Model (SN)'!U46-'Model (SC)'!U46</f>
        <v>-2.0650947113012563</v>
      </c>
      <c r="V46" s="91">
        <f>'Model (SN)'!V46-'Model (SC)'!V46</f>
        <v>-2.0882777780534099</v>
      </c>
    </row>
    <row r="47" spans="1:22" x14ac:dyDescent="0.25">
      <c r="A47" s="82"/>
      <c r="B47" s="63" t="s">
        <v>150</v>
      </c>
      <c r="C47" s="94">
        <f>'Model (SN)'!C47-'Model (SC)'!C47</f>
        <v>0</v>
      </c>
      <c r="D47" s="91">
        <f>'Model (SN)'!D47-'Model (SC)'!D47</f>
        <v>0</v>
      </c>
      <c r="E47" s="91">
        <f>'Model (SN)'!E47-'Model (SC)'!E47</f>
        <v>0</v>
      </c>
      <c r="F47" s="91">
        <f>'Model (SN)'!F47-'Model (SC)'!F47</f>
        <v>0</v>
      </c>
      <c r="G47" s="91">
        <f>'Model (SN)'!G47-'Model (SC)'!G47</f>
        <v>0</v>
      </c>
      <c r="H47" s="91">
        <f>'Model (SN)'!H47-'Model (SC)'!H47</f>
        <v>0</v>
      </c>
      <c r="I47" s="91">
        <f>'Model (SN)'!I47-'Model (SC)'!I47</f>
        <v>0</v>
      </c>
      <c r="J47" s="91">
        <f>'Model (SN)'!J47-'Model (SC)'!J47</f>
        <v>0</v>
      </c>
      <c r="K47" s="91">
        <f>'Model (SN)'!K47-'Model (SC)'!K47</f>
        <v>0</v>
      </c>
      <c r="L47" s="91">
        <f>'Model (SN)'!L47-'Model (SC)'!L47</f>
        <v>0</v>
      </c>
      <c r="M47" s="91">
        <f>'Model (SN)'!M47-'Model (SC)'!M47</f>
        <v>0</v>
      </c>
      <c r="N47" s="91">
        <f>'Model (SN)'!N47-'Model (SC)'!N47</f>
        <v>-0.56911419568854171</v>
      </c>
      <c r="O47" s="91">
        <f>'Model (SN)'!O47-'Model (SC)'!O47</f>
        <v>-1.1308463503099802</v>
      </c>
      <c r="P47" s="91">
        <f>'Model (SN)'!P47-'Model (SC)'!P47</f>
        <v>-1.6396735927742156</v>
      </c>
      <c r="Q47" s="91">
        <f>'Model (SN)'!Q47-'Model (SC)'!Q47</f>
        <v>-2.1017449352666517</v>
      </c>
      <c r="R47" s="91">
        <f>'Model (SN)'!R47-'Model (SC)'!R47</f>
        <v>-2.5268118280238809</v>
      </c>
      <c r="S47" s="91">
        <f>'Model (SN)'!S47-'Model (SC)'!S47</f>
        <v>-2.9222208999819372</v>
      </c>
      <c r="T47" s="91">
        <f>'Model (SN)'!T47-'Model (SC)'!T47</f>
        <v>-3.2931955425012234</v>
      </c>
      <c r="U47" s="91">
        <f>'Model (SN)'!U47-'Model (SC)'!U47</f>
        <v>-3.6434993226142751</v>
      </c>
      <c r="V47" s="91">
        <f>'Model (SN)'!V47-'Model (SC)'!V47</f>
        <v>-3.9758964449193854</v>
      </c>
    </row>
    <row r="48" spans="1:22" x14ac:dyDescent="0.25">
      <c r="A48" s="82"/>
      <c r="B48" s="63" t="s">
        <v>718</v>
      </c>
      <c r="C48" s="94">
        <f>'Model (SN)'!C48-'Model (SC)'!C48</f>
        <v>0</v>
      </c>
      <c r="D48" s="91">
        <f>'Model (SN)'!D48-'Model (SC)'!D48</f>
        <v>0</v>
      </c>
      <c r="E48" s="91">
        <f>'Model (SN)'!E48-'Model (SC)'!E48</f>
        <v>0</v>
      </c>
      <c r="F48" s="91">
        <f>'Model (SN)'!F48-'Model (SC)'!F48</f>
        <v>0</v>
      </c>
      <c r="G48" s="91">
        <f>'Model (SN)'!G48-'Model (SC)'!G48</f>
        <v>0</v>
      </c>
      <c r="H48" s="91">
        <f>'Model (SN)'!H48-'Model (SC)'!H48</f>
        <v>0</v>
      </c>
      <c r="I48" s="91">
        <f>'Model (SN)'!I48-'Model (SC)'!I48</f>
        <v>0</v>
      </c>
      <c r="J48" s="91">
        <f>'Model (SN)'!J48-'Model (SC)'!J48</f>
        <v>0</v>
      </c>
      <c r="K48" s="91">
        <f>'Model (SN)'!K48-'Model (SC)'!K48</f>
        <v>0</v>
      </c>
      <c r="L48" s="91">
        <f>'Model (SN)'!L48-'Model (SC)'!L48</f>
        <v>0</v>
      </c>
      <c r="M48" s="91">
        <f>'Model (SN)'!M48-'Model (SC)'!M48</f>
        <v>0</v>
      </c>
      <c r="N48" s="91">
        <f>'Model (SN)'!N48-'Model (SC)'!N48</f>
        <v>0</v>
      </c>
      <c r="O48" s="91">
        <f>'Model (SN)'!O48-'Model (SC)'!O48</f>
        <v>0</v>
      </c>
      <c r="P48" s="91">
        <f>'Model (SN)'!P48-'Model (SC)'!P48</f>
        <v>0</v>
      </c>
      <c r="Q48" s="91">
        <f>'Model (SN)'!Q48-'Model (SC)'!Q48</f>
        <v>0</v>
      </c>
      <c r="R48" s="91">
        <f>'Model (SN)'!R48-'Model (SC)'!R48</f>
        <v>0</v>
      </c>
      <c r="S48" s="91">
        <f>'Model (SN)'!S48-'Model (SC)'!S48</f>
        <v>0</v>
      </c>
      <c r="T48" s="91">
        <f>'Model (SN)'!T48-'Model (SC)'!T48</f>
        <v>0</v>
      </c>
      <c r="U48" s="91">
        <f>'Model (SN)'!U48-'Model (SC)'!U48</f>
        <v>0</v>
      </c>
      <c r="V48" s="91">
        <f>'Model (SN)'!V48-'Model (SC)'!V48</f>
        <v>0</v>
      </c>
    </row>
    <row r="49" spans="1:22" x14ac:dyDescent="0.25">
      <c r="A49" s="82"/>
      <c r="B49" s="63" t="s">
        <v>136</v>
      </c>
      <c r="C49" s="94">
        <f>'Model (SN)'!C49-'Model (SC)'!C49</f>
        <v>0</v>
      </c>
      <c r="D49" s="91">
        <f>'Model (SN)'!D49-'Model (SC)'!D49</f>
        <v>0</v>
      </c>
      <c r="E49" s="91">
        <f>'Model (SN)'!E49-'Model (SC)'!E49</f>
        <v>0</v>
      </c>
      <c r="F49" s="91">
        <f>'Model (SN)'!F49-'Model (SC)'!F49</f>
        <v>0</v>
      </c>
      <c r="G49" s="91">
        <f>'Model (SN)'!G49-'Model (SC)'!G49</f>
        <v>0</v>
      </c>
      <c r="H49" s="91">
        <f>'Model (SN)'!H49-'Model (SC)'!H49</f>
        <v>0</v>
      </c>
      <c r="I49" s="91">
        <f>'Model (SN)'!I49-'Model (SC)'!I49</f>
        <v>0</v>
      </c>
      <c r="J49" s="91">
        <f>'Model (SN)'!J49-'Model (SC)'!J49</f>
        <v>0</v>
      </c>
      <c r="K49" s="91">
        <f>'Model (SN)'!K49-'Model (SC)'!K49</f>
        <v>0</v>
      </c>
      <c r="L49" s="91">
        <f>'Model (SN)'!L49-'Model (SC)'!L49</f>
        <v>0</v>
      </c>
      <c r="M49" s="91">
        <f>'Model (SN)'!M49-'Model (SC)'!M49</f>
        <v>0</v>
      </c>
      <c r="N49" s="91">
        <f>'Model (SN)'!N49-'Model (SC)'!N49</f>
        <v>0</v>
      </c>
      <c r="O49" s="91">
        <f>'Model (SN)'!O49-'Model (SC)'!O49</f>
        <v>-5.7242821941798638E-2</v>
      </c>
      <c r="P49" s="91">
        <f>'Model (SN)'!P49-'Model (SC)'!P49</f>
        <v>-0.15742086747593476</v>
      </c>
      <c r="Q49" s="91">
        <f>'Model (SN)'!Q49-'Model (SC)'!Q49</f>
        <v>-0.28948228750240901</v>
      </c>
      <c r="R49" s="91">
        <f>'Model (SN)'!R49-'Model (SC)'!R49</f>
        <v>-0.44565918846890895</v>
      </c>
      <c r="S49" s="91">
        <f>'Model (SN)'!S49-'Model (SC)'!S49</f>
        <v>-0.62015939089101835</v>
      </c>
      <c r="T49" s="91">
        <f>'Model (SN)'!T49-'Model (SC)'!T49</f>
        <v>-0.80847892612928263</v>
      </c>
      <c r="U49" s="91">
        <f>'Model (SN)'!U49-'Model (SC)'!U49</f>
        <v>-1.0070424643208185</v>
      </c>
      <c r="V49" s="91">
        <f>'Model (SN)'!V49-'Model (SC)'!V49</f>
        <v>-1.21297789933476</v>
      </c>
    </row>
    <row r="50" spans="1:22" x14ac:dyDescent="0.25">
      <c r="A50" s="82"/>
      <c r="B50" s="63" t="s">
        <v>734</v>
      </c>
      <c r="C50" s="94">
        <f>'Model (SN)'!C50-'Model (SC)'!C50</f>
        <v>0</v>
      </c>
      <c r="D50" s="91">
        <f>'Model (SN)'!D50-'Model (SC)'!D50</f>
        <v>0</v>
      </c>
      <c r="E50" s="91">
        <f>'Model (SN)'!E50-'Model (SC)'!E50</f>
        <v>0</v>
      </c>
      <c r="F50" s="91">
        <f>'Model (SN)'!F50-'Model (SC)'!F50</f>
        <v>0</v>
      </c>
      <c r="G50" s="91">
        <f>'Model (SN)'!G50-'Model (SC)'!G50</f>
        <v>0</v>
      </c>
      <c r="H50" s="91">
        <f>'Model (SN)'!H50-'Model (SC)'!H50</f>
        <v>0</v>
      </c>
      <c r="I50" s="91">
        <f>'Model (SN)'!I50-'Model (SC)'!I50</f>
        <v>0</v>
      </c>
      <c r="J50" s="91">
        <f>'Model (SN)'!J50-'Model (SC)'!J50</f>
        <v>0</v>
      </c>
      <c r="K50" s="91">
        <f>'Model (SN)'!K50-'Model (SC)'!K50</f>
        <v>0</v>
      </c>
      <c r="L50" s="91">
        <f>'Model (SN)'!L50-'Model (SC)'!L50</f>
        <v>0</v>
      </c>
      <c r="M50" s="91">
        <f>'Model (SN)'!M50-'Model (SC)'!M50</f>
        <v>0</v>
      </c>
      <c r="N50" s="91">
        <f>'Model (SN)'!N50-'Model (SC)'!N50</f>
        <v>0</v>
      </c>
      <c r="O50" s="91">
        <f>'Model (SN)'!O50-'Model (SC)'!O50</f>
        <v>0</v>
      </c>
      <c r="P50" s="91">
        <f>'Model (SN)'!P50-'Model (SC)'!P50</f>
        <v>0</v>
      </c>
      <c r="Q50" s="91">
        <f>'Model (SN)'!Q50-'Model (SC)'!Q50</f>
        <v>0</v>
      </c>
      <c r="R50" s="91">
        <f>'Model (SN)'!R50-'Model (SC)'!R50</f>
        <v>0</v>
      </c>
      <c r="S50" s="91">
        <f>'Model (SN)'!S50-'Model (SC)'!S50</f>
        <v>0</v>
      </c>
      <c r="T50" s="91">
        <f>'Model (SN)'!T50-'Model (SC)'!T50</f>
        <v>0</v>
      </c>
      <c r="U50" s="91">
        <f>'Model (SN)'!U50-'Model (SC)'!U50</f>
        <v>0</v>
      </c>
      <c r="V50" s="91">
        <f>'Model (SN)'!V50-'Model (SC)'!V50</f>
        <v>0</v>
      </c>
    </row>
    <row r="51" spans="1:22" x14ac:dyDescent="0.25">
      <c r="A51" s="82"/>
      <c r="B51" s="63" t="s">
        <v>137</v>
      </c>
      <c r="C51" s="202">
        <f>'Model (SN)'!C51-'Model (SC)'!C51</f>
        <v>0</v>
      </c>
      <c r="D51" s="91">
        <f>'Model (SN)'!D51-'Model (SC)'!D51</f>
        <v>0</v>
      </c>
      <c r="E51" s="91">
        <f>'Model (SN)'!E51-'Model (SC)'!E51</f>
        <v>0</v>
      </c>
      <c r="F51" s="91">
        <f>'Model (SN)'!F51-'Model (SC)'!F51</f>
        <v>0</v>
      </c>
      <c r="G51" s="91">
        <f>'Model (SN)'!G51-'Model (SC)'!G51</f>
        <v>0</v>
      </c>
      <c r="H51" s="91">
        <f>'Model (SN)'!H51-'Model (SC)'!H51</f>
        <v>0</v>
      </c>
      <c r="I51" s="91">
        <f>'Model (SN)'!I51-'Model (SC)'!I51</f>
        <v>0</v>
      </c>
      <c r="J51" s="91">
        <f>'Model (SN)'!J51-'Model (SC)'!J51</f>
        <v>0</v>
      </c>
      <c r="K51" s="91">
        <f>'Model (SN)'!K51-'Model (SC)'!K51</f>
        <v>0</v>
      </c>
      <c r="L51" s="91">
        <f>'Model (SN)'!L51-'Model (SC)'!L51</f>
        <v>0</v>
      </c>
      <c r="M51" s="91">
        <f>'Model (SN)'!M51-'Model (SC)'!M51</f>
        <v>0</v>
      </c>
      <c r="N51" s="91">
        <f>'Model (SN)'!N51-'Model (SC)'!N51</f>
        <v>0</v>
      </c>
      <c r="O51" s="91">
        <f>'Model (SN)'!O51-'Model (SC)'!O51</f>
        <v>0</v>
      </c>
      <c r="P51" s="91">
        <f>'Model (SN)'!P51-'Model (SC)'!P51</f>
        <v>0</v>
      </c>
      <c r="Q51" s="91">
        <f>'Model (SN)'!Q51-'Model (SC)'!Q51</f>
        <v>0</v>
      </c>
      <c r="R51" s="91">
        <f>'Model (SN)'!R51-'Model (SC)'!R51</f>
        <v>0</v>
      </c>
      <c r="S51" s="91">
        <f>'Model (SN)'!S51-'Model (SC)'!S51</f>
        <v>0</v>
      </c>
      <c r="T51" s="91">
        <f>'Model (SN)'!T51-'Model (SC)'!T51</f>
        <v>0</v>
      </c>
      <c r="U51" s="91">
        <f>'Model (SN)'!U51-'Model (SC)'!U51</f>
        <v>0</v>
      </c>
      <c r="V51" s="91">
        <f>'Model (SN)'!V51-'Model (SC)'!V51</f>
        <v>0</v>
      </c>
    </row>
    <row r="52" spans="1:22" x14ac:dyDescent="0.25">
      <c r="A52" s="82"/>
      <c r="B52" s="63" t="s">
        <v>138</v>
      </c>
      <c r="C52" s="202">
        <f>'Model (SN)'!C52-'Model (SC)'!C52</f>
        <v>0</v>
      </c>
      <c r="D52" s="91">
        <f>'Model (SN)'!D52-'Model (SC)'!D52</f>
        <v>0</v>
      </c>
      <c r="E52" s="91">
        <f>'Model (SN)'!E52-'Model (SC)'!E52</f>
        <v>0</v>
      </c>
      <c r="F52" s="91">
        <f>'Model (SN)'!F52-'Model (SC)'!F52</f>
        <v>0</v>
      </c>
      <c r="G52" s="91">
        <f>'Model (SN)'!G52-'Model (SC)'!G52</f>
        <v>0</v>
      </c>
      <c r="H52" s="91">
        <f>'Model (SN)'!H52-'Model (SC)'!H52</f>
        <v>0</v>
      </c>
      <c r="I52" s="91">
        <f>'Model (SN)'!I52-'Model (SC)'!I52</f>
        <v>0</v>
      </c>
      <c r="J52" s="91">
        <f>'Model (SN)'!J52-'Model (SC)'!J52</f>
        <v>0</v>
      </c>
      <c r="K52" s="91">
        <f>'Model (SN)'!K52-'Model (SC)'!K52</f>
        <v>0</v>
      </c>
      <c r="L52" s="91">
        <f>'Model (SN)'!L52-'Model (SC)'!L52</f>
        <v>0</v>
      </c>
      <c r="M52" s="91">
        <f>'Model (SN)'!M52-'Model (SC)'!M52</f>
        <v>-2.0367076793796741</v>
      </c>
      <c r="N52" s="91">
        <f>'Model (SN)'!N52-'Model (SC)'!N52</f>
        <v>-2.7161618688783165</v>
      </c>
      <c r="O52" s="91">
        <f>'Model (SN)'!O52-'Model (SC)'!O52</f>
        <v>-3.2807887369702939</v>
      </c>
      <c r="P52" s="91">
        <f>'Model (SN)'!P52-'Model (SC)'!P52</f>
        <v>-3.844738519024304</v>
      </c>
      <c r="Q52" s="91">
        <f>'Model (SN)'!Q52-'Model (SC)'!Q52</f>
        <v>-4.4174781514440156</v>
      </c>
      <c r="R52" s="91">
        <f>'Model (SN)'!R52-'Model (SC)'!R52</f>
        <v>-4.9947282548913563</v>
      </c>
      <c r="S52" s="91">
        <f>'Model (SN)'!S52-'Model (SC)'!S52</f>
        <v>-5.5722101763016099</v>
      </c>
      <c r="T52" s="91">
        <f>'Model (SN)'!T52-'Model (SC)'!T52</f>
        <v>-6.1466741999182659</v>
      </c>
      <c r="U52" s="91">
        <f>'Model (SN)'!U52-'Model (SC)'!U52</f>
        <v>-6.715636498236222</v>
      </c>
      <c r="V52" s="91">
        <f>'Model (SN)'!V52-'Model (SC)'!V52</f>
        <v>-7.2771521223075979</v>
      </c>
    </row>
    <row r="53" spans="1:22" x14ac:dyDescent="0.25">
      <c r="A53" s="82"/>
      <c r="B53" s="63" t="s">
        <v>139</v>
      </c>
      <c r="C53" s="202">
        <f>'Model (SN)'!C53-'Model (SC)'!C53</f>
        <v>0</v>
      </c>
      <c r="D53" s="91">
        <f>'Model (SN)'!D53-'Model (SC)'!D53</f>
        <v>0</v>
      </c>
      <c r="E53" s="91">
        <f>'Model (SN)'!E53-'Model (SC)'!E53</f>
        <v>0</v>
      </c>
      <c r="F53" s="91">
        <f>'Model (SN)'!F53-'Model (SC)'!F53</f>
        <v>0</v>
      </c>
      <c r="G53" s="91">
        <f>'Model (SN)'!G53-'Model (SC)'!G53</f>
        <v>0</v>
      </c>
      <c r="H53" s="91">
        <f>'Model (SN)'!H53-'Model (SC)'!H53</f>
        <v>0</v>
      </c>
      <c r="I53" s="91">
        <f>'Model (SN)'!I53-'Model (SC)'!I53</f>
        <v>0</v>
      </c>
      <c r="J53" s="91">
        <f>'Model (SN)'!J53-'Model (SC)'!J53</f>
        <v>0</v>
      </c>
      <c r="K53" s="91">
        <f>'Model (SN)'!K53-'Model (SC)'!K53</f>
        <v>0</v>
      </c>
      <c r="L53" s="91">
        <f>'Model (SN)'!L53-'Model (SC)'!L53</f>
        <v>0</v>
      </c>
      <c r="M53" s="91">
        <f>'Model (SN)'!M53-'Model (SC)'!M53</f>
        <v>-2.0367076793795604</v>
      </c>
      <c r="N53" s="91">
        <f>'Model (SN)'!N53-'Model (SC)'!N53</f>
        <v>-2.7161618688783165</v>
      </c>
      <c r="O53" s="91">
        <f>'Model (SN)'!O53-'Model (SC)'!O53</f>
        <v>-3.2807887369701803</v>
      </c>
      <c r="P53" s="91">
        <f>'Model (SN)'!P53-'Model (SC)'!P53</f>
        <v>-3.844738519024304</v>
      </c>
      <c r="Q53" s="91">
        <f>'Model (SN)'!Q53-'Model (SC)'!Q53</f>
        <v>-4.4174781514441293</v>
      </c>
      <c r="R53" s="91">
        <f>'Model (SN)'!R53-'Model (SC)'!R53</f>
        <v>-4.9947282548912426</v>
      </c>
      <c r="S53" s="91">
        <f>'Model (SN)'!S53-'Model (SC)'!S53</f>
        <v>-5.5722101763014962</v>
      </c>
      <c r="T53" s="91">
        <f>'Model (SN)'!T53-'Model (SC)'!T53</f>
        <v>-6.1466741999181522</v>
      </c>
      <c r="U53" s="91">
        <f>'Model (SN)'!U53-'Model (SC)'!U53</f>
        <v>-6.7156364982363357</v>
      </c>
      <c r="V53" s="91">
        <f>'Model (SN)'!V53-'Model (SC)'!V53</f>
        <v>-7.2771521223075979</v>
      </c>
    </row>
    <row r="54" spans="1:22" x14ac:dyDescent="0.25">
      <c r="A54" s="82"/>
      <c r="B54" s="63" t="s">
        <v>127</v>
      </c>
      <c r="C54" s="94">
        <f>'Model (SN)'!C54-'Model (SC)'!C54</f>
        <v>0</v>
      </c>
      <c r="D54" s="91">
        <f>'Model (SN)'!D54-'Model (SC)'!D54</f>
        <v>0</v>
      </c>
      <c r="E54" s="91">
        <f>'Model (SN)'!E54-'Model (SC)'!E54</f>
        <v>0</v>
      </c>
      <c r="F54" s="91">
        <f>'Model (SN)'!F54-'Model (SC)'!F54</f>
        <v>0</v>
      </c>
      <c r="G54" s="91">
        <f>'Model (SN)'!G54-'Model (SC)'!G54</f>
        <v>0</v>
      </c>
      <c r="H54" s="91">
        <f>'Model (SN)'!H54-'Model (SC)'!H54</f>
        <v>0</v>
      </c>
      <c r="I54" s="91">
        <f>'Model (SN)'!I54-'Model (SC)'!I54</f>
        <v>0</v>
      </c>
      <c r="J54" s="91">
        <f>'Model (SN)'!J54-'Model (SC)'!J54</f>
        <v>0</v>
      </c>
      <c r="K54" s="91">
        <f>'Model (SN)'!K54-'Model (SC)'!K54</f>
        <v>0</v>
      </c>
      <c r="L54" s="91">
        <f>'Model (SN)'!L54-'Model (SC)'!L54</f>
        <v>0</v>
      </c>
      <c r="M54" s="91">
        <f>'Model (SN)'!M54-'Model (SC)'!M54</f>
        <v>0</v>
      </c>
      <c r="N54" s="91">
        <f>'Model (SN)'!N54-'Model (SC)'!N54</f>
        <v>0</v>
      </c>
      <c r="O54" s="91">
        <f>'Model (SN)'!O54-'Model (SC)'!O54</f>
        <v>0</v>
      </c>
      <c r="P54" s="91">
        <f>'Model (SN)'!P54-'Model (SC)'!P54</f>
        <v>0</v>
      </c>
      <c r="Q54" s="91">
        <f>'Model (SN)'!Q54-'Model (SC)'!Q54</f>
        <v>0</v>
      </c>
      <c r="R54" s="91">
        <f>'Model (SN)'!R54-'Model (SC)'!R54</f>
        <v>0</v>
      </c>
      <c r="S54" s="91">
        <f>'Model (SN)'!S54-'Model (SC)'!S54</f>
        <v>0</v>
      </c>
      <c r="T54" s="91">
        <f>'Model (SN)'!T54-'Model (SC)'!T54</f>
        <v>0</v>
      </c>
      <c r="U54" s="91">
        <f>'Model (SN)'!U54-'Model (SC)'!U54</f>
        <v>0</v>
      </c>
      <c r="V54" s="91">
        <f>'Model (SN)'!V54-'Model (SC)'!V54</f>
        <v>0</v>
      </c>
    </row>
    <row r="55" spans="1:22" x14ac:dyDescent="0.25">
      <c r="A55" s="82"/>
      <c r="B55" s="63" t="s">
        <v>128</v>
      </c>
      <c r="C55" s="94">
        <f>'Model (SN)'!C55-'Model (SC)'!C55</f>
        <v>0</v>
      </c>
      <c r="D55" s="91">
        <f>'Model (SN)'!D55-'Model (SC)'!D55</f>
        <v>0</v>
      </c>
      <c r="E55" s="91">
        <f>'Model (SN)'!E55-'Model (SC)'!E55</f>
        <v>0</v>
      </c>
      <c r="F55" s="91">
        <f>'Model (SN)'!F55-'Model (SC)'!F55</f>
        <v>0</v>
      </c>
      <c r="G55" s="91">
        <f>'Model (SN)'!G55-'Model (SC)'!G55</f>
        <v>0</v>
      </c>
      <c r="H55" s="91">
        <f>'Model (SN)'!H55-'Model (SC)'!H55</f>
        <v>0</v>
      </c>
      <c r="I55" s="91">
        <f>'Model (SN)'!I55-'Model (SC)'!I55</f>
        <v>0</v>
      </c>
      <c r="J55" s="91">
        <f>'Model (SN)'!J55-'Model (SC)'!J55</f>
        <v>0</v>
      </c>
      <c r="K55" s="91">
        <f>'Model (SN)'!K55-'Model (SC)'!K55</f>
        <v>0</v>
      </c>
      <c r="L55" s="91">
        <f>'Model (SN)'!L55-'Model (SC)'!L55</f>
        <v>0</v>
      </c>
      <c r="M55" s="91">
        <f>'Model (SN)'!M55-'Model (SC)'!M55</f>
        <v>0</v>
      </c>
      <c r="N55" s="91">
        <f>'Model (SN)'!N55-'Model (SC)'!N55</f>
        <v>0</v>
      </c>
      <c r="O55" s="91">
        <f>'Model (SN)'!O55-'Model (SC)'!O55</f>
        <v>0</v>
      </c>
      <c r="P55" s="91">
        <f>'Model (SN)'!P55-'Model (SC)'!P55</f>
        <v>0</v>
      </c>
      <c r="Q55" s="91">
        <f>'Model (SN)'!Q55-'Model (SC)'!Q55</f>
        <v>0</v>
      </c>
      <c r="R55" s="91">
        <f>'Model (SN)'!R55-'Model (SC)'!R55</f>
        <v>0</v>
      </c>
      <c r="S55" s="91">
        <f>'Model (SN)'!S55-'Model (SC)'!S55</f>
        <v>0</v>
      </c>
      <c r="T55" s="91">
        <f>'Model (SN)'!T55-'Model (SC)'!T55</f>
        <v>0</v>
      </c>
      <c r="U55" s="91">
        <f>'Model (SN)'!U55-'Model (SC)'!U55</f>
        <v>0</v>
      </c>
      <c r="V55" s="91">
        <f>'Model (SN)'!V55-'Model (SC)'!V55</f>
        <v>0</v>
      </c>
    </row>
    <row r="56" spans="1:22" x14ac:dyDescent="0.25">
      <c r="A56" s="82"/>
      <c r="B56" s="63" t="s">
        <v>151</v>
      </c>
      <c r="C56" s="94">
        <f>'Model (SN)'!C56-'Model (SC)'!C56</f>
        <v>0</v>
      </c>
      <c r="D56" s="91">
        <f>'Model (SN)'!D56-'Model (SC)'!D56</f>
        <v>0</v>
      </c>
      <c r="E56" s="91">
        <f>'Model (SN)'!E56-'Model (SC)'!E56</f>
        <v>0</v>
      </c>
      <c r="F56" s="91">
        <f>'Model (SN)'!F56-'Model (SC)'!F56</f>
        <v>0</v>
      </c>
      <c r="G56" s="91">
        <f>'Model (SN)'!G56-'Model (SC)'!G56</f>
        <v>0</v>
      </c>
      <c r="H56" s="91">
        <f>'Model (SN)'!H56-'Model (SC)'!H56</f>
        <v>0</v>
      </c>
      <c r="I56" s="91">
        <f>'Model (SN)'!I56-'Model (SC)'!I56</f>
        <v>0</v>
      </c>
      <c r="J56" s="91">
        <f>'Model (SN)'!J56-'Model (SC)'!J56</f>
        <v>0</v>
      </c>
      <c r="K56" s="91">
        <f>'Model (SN)'!K56-'Model (SC)'!K56</f>
        <v>0</v>
      </c>
      <c r="L56" s="91">
        <f>'Model (SN)'!L56-'Model (SC)'!L56</f>
        <v>0</v>
      </c>
      <c r="M56" s="91">
        <f>'Model (SN)'!M56-'Model (SC)'!M56</f>
        <v>0</v>
      </c>
      <c r="N56" s="91">
        <f>'Model (SN)'!N56-'Model (SC)'!N56</f>
        <v>0</v>
      </c>
      <c r="O56" s="91">
        <f>'Model (SN)'!O56-'Model (SC)'!O56</f>
        <v>0</v>
      </c>
      <c r="P56" s="91">
        <f>'Model (SN)'!P56-'Model (SC)'!P56</f>
        <v>0</v>
      </c>
      <c r="Q56" s="91">
        <f>'Model (SN)'!Q56-'Model (SC)'!Q56</f>
        <v>0</v>
      </c>
      <c r="R56" s="91">
        <f>'Model (SN)'!R56-'Model (SC)'!R56</f>
        <v>0</v>
      </c>
      <c r="S56" s="91">
        <f>'Model (SN)'!S56-'Model (SC)'!S56</f>
        <v>0</v>
      </c>
      <c r="T56" s="91">
        <f>'Model (SN)'!T56-'Model (SC)'!T56</f>
        <v>0</v>
      </c>
      <c r="U56" s="91">
        <f>'Model (SN)'!U56-'Model (SC)'!U56</f>
        <v>0</v>
      </c>
      <c r="V56" s="91">
        <f>'Model (SN)'!V56-'Model (SC)'!V56</f>
        <v>0</v>
      </c>
    </row>
    <row r="57" spans="1:22" x14ac:dyDescent="0.25">
      <c r="A57" s="82"/>
      <c r="B57" s="63" t="s">
        <v>152</v>
      </c>
      <c r="C57" s="94">
        <f>'Model (SN)'!C57-'Model (SC)'!C57</f>
        <v>0</v>
      </c>
      <c r="D57" s="91">
        <f>'Model (SN)'!D57-'Model (SC)'!D57</f>
        <v>0</v>
      </c>
      <c r="E57" s="91">
        <f>'Model (SN)'!E57-'Model (SC)'!E57</f>
        <v>0</v>
      </c>
      <c r="F57" s="91">
        <f>'Model (SN)'!F57-'Model (SC)'!F57</f>
        <v>0</v>
      </c>
      <c r="G57" s="91">
        <f>'Model (SN)'!G57-'Model (SC)'!G57</f>
        <v>0</v>
      </c>
      <c r="H57" s="91">
        <f>'Model (SN)'!H57-'Model (SC)'!H57</f>
        <v>0</v>
      </c>
      <c r="I57" s="91">
        <f>'Model (SN)'!I57-'Model (SC)'!I57</f>
        <v>0</v>
      </c>
      <c r="J57" s="91">
        <f>'Model (SN)'!J57-'Model (SC)'!J57</f>
        <v>0</v>
      </c>
      <c r="K57" s="91">
        <f>'Model (SN)'!K57-'Model (SC)'!K57</f>
        <v>0</v>
      </c>
      <c r="L57" s="91">
        <f>'Model (SN)'!L57-'Model (SC)'!L57</f>
        <v>0</v>
      </c>
      <c r="M57" s="91">
        <f>'Model (SN)'!M57-'Model (SC)'!M57</f>
        <v>-9.4947972287375251</v>
      </c>
      <c r="N57" s="91">
        <f>'Model (SN)'!N57-'Model (SC)'!N57</f>
        <v>-8.63162904600307</v>
      </c>
      <c r="O57" s="91">
        <f>'Model (SN)'!O57-'Model (SC)'!O57</f>
        <v>-8.3036371097226152</v>
      </c>
      <c r="P57" s="91">
        <f>'Model (SN)'!P57-'Model (SC)'!P57</f>
        <v>-8.1303548167650774</v>
      </c>
      <c r="Q57" s="91">
        <f>'Model (SN)'!Q57-'Model (SC)'!Q57</f>
        <v>-8.061097460896633</v>
      </c>
      <c r="R57" s="91">
        <f>'Model (SN)'!R57-'Model (SC)'!R57</f>
        <v>-8.0569490683172944</v>
      </c>
      <c r="S57" s="91">
        <f>'Model (SN)'!S57-'Model (SC)'!S57</f>
        <v>-8.0949526941633394</v>
      </c>
      <c r="T57" s="91">
        <f>'Model (SN)'!T57-'Model (SC)'!T57</f>
        <v>-8.1605501644985452</v>
      </c>
      <c r="U57" s="91">
        <f>'Model (SN)'!U57-'Model (SC)'!U57</f>
        <v>-8.2439693331480157</v>
      </c>
      <c r="V57" s="91">
        <f>'Model (SN)'!V57-'Model (SC)'!V57</f>
        <v>-8.3384534738426623</v>
      </c>
    </row>
    <row r="58" spans="1:22" x14ac:dyDescent="0.25">
      <c r="A58" s="82"/>
      <c r="B58" s="63" t="s">
        <v>153</v>
      </c>
      <c r="C58" s="94">
        <f>'Model (SN)'!C58-'Model (SC)'!C58</f>
        <v>0</v>
      </c>
      <c r="D58" s="91">
        <f>'Model (SN)'!D58-'Model (SC)'!D58</f>
        <v>0</v>
      </c>
      <c r="E58" s="91">
        <f>'Model (SN)'!E58-'Model (SC)'!E58</f>
        <v>0</v>
      </c>
      <c r="F58" s="91">
        <f>'Model (SN)'!F58-'Model (SC)'!F58</f>
        <v>0</v>
      </c>
      <c r="G58" s="91">
        <f>'Model (SN)'!G58-'Model (SC)'!G58</f>
        <v>0</v>
      </c>
      <c r="H58" s="91">
        <f>'Model (SN)'!H58-'Model (SC)'!H58</f>
        <v>0</v>
      </c>
      <c r="I58" s="91">
        <f>'Model (SN)'!I58-'Model (SC)'!I58</f>
        <v>0</v>
      </c>
      <c r="J58" s="91">
        <f>'Model (SN)'!J58-'Model (SC)'!J58</f>
        <v>0</v>
      </c>
      <c r="K58" s="91">
        <f>'Model (SN)'!K58-'Model (SC)'!K58</f>
        <v>0</v>
      </c>
      <c r="L58" s="91">
        <f>'Model (SN)'!L58-'Model (SC)'!L58</f>
        <v>0</v>
      </c>
      <c r="M58" s="91">
        <f>'Model (SN)'!M58-'Model (SC)'!M58</f>
        <v>0</v>
      </c>
      <c r="N58" s="91">
        <f>'Model (SN)'!N58-'Model (SC)'!N58</f>
        <v>-1.3574844680540537</v>
      </c>
      <c r="O58" s="91">
        <f>'Model (SN)'!O58-'Model (SC)'!O58</f>
        <v>-2.5004098706687046</v>
      </c>
      <c r="P58" s="91">
        <f>'Model (SN)'!P58-'Model (SC)'!P58</f>
        <v>-3.5196980546389796</v>
      </c>
      <c r="Q58" s="91">
        <f>'Model (SN)'!Q58-'Model (SC)'!Q58</f>
        <v>-4.4457699146880714</v>
      </c>
      <c r="R58" s="91">
        <f>'Model (SN)'!R58-'Model (SC)'!R58</f>
        <v>-5.2997572171556158</v>
      </c>
      <c r="S58" s="91">
        <f>'Model (SN)'!S58-'Model (SC)'!S58</f>
        <v>-6.0958089271581457</v>
      </c>
      <c r="T58" s="91">
        <f>'Model (SN)'!T58-'Model (SC)'!T58</f>
        <v>-6.8438417658882145</v>
      </c>
      <c r="U58" s="91">
        <f>'Model (SN)'!U58-'Model (SC)'!U58</f>
        <v>-7.5510251761855898</v>
      </c>
      <c r="V58" s="91">
        <f>'Model (SN)'!V58-'Model (SC)'!V58</f>
        <v>-8.2226500585079521</v>
      </c>
    </row>
    <row r="59" spans="1:22" x14ac:dyDescent="0.25">
      <c r="A59" s="82"/>
      <c r="B59" s="63" t="s">
        <v>142</v>
      </c>
      <c r="C59" s="94">
        <f>'Model (SN)'!C59-'Model (SC)'!C59</f>
        <v>0</v>
      </c>
      <c r="D59" s="91">
        <f>'Model (SN)'!D59-'Model (SC)'!D59</f>
        <v>0</v>
      </c>
      <c r="E59" s="91">
        <f>'Model (SN)'!E59-'Model (SC)'!E59</f>
        <v>0</v>
      </c>
      <c r="F59" s="91">
        <f>'Model (SN)'!F59-'Model (SC)'!F59</f>
        <v>0</v>
      </c>
      <c r="G59" s="91">
        <f>'Model (SN)'!G59-'Model (SC)'!G59</f>
        <v>0</v>
      </c>
      <c r="H59" s="91">
        <f>'Model (SN)'!H59-'Model (SC)'!H59</f>
        <v>0</v>
      </c>
      <c r="I59" s="91">
        <f>'Model (SN)'!I59-'Model (SC)'!I59</f>
        <v>0</v>
      </c>
      <c r="J59" s="91">
        <f>'Model (SN)'!J59-'Model (SC)'!J59</f>
        <v>0</v>
      </c>
      <c r="K59" s="91">
        <f>'Model (SN)'!K59-'Model (SC)'!K59</f>
        <v>0</v>
      </c>
      <c r="L59" s="91">
        <f>'Model (SN)'!L59-'Model (SC)'!L59</f>
        <v>0</v>
      </c>
      <c r="M59" s="91">
        <f>'Model (SN)'!M59-'Model (SC)'!M59</f>
        <v>0</v>
      </c>
      <c r="N59" s="91">
        <f>'Model (SN)'!N59-'Model (SC)'!N59</f>
        <v>0</v>
      </c>
      <c r="O59" s="91">
        <f>'Model (SN)'!O59-'Model (SC)'!O59</f>
        <v>-0.19649343172488898</v>
      </c>
      <c r="P59" s="91">
        <f>'Model (SN)'!P59-'Model (SC)'!P59</f>
        <v>-0.51185930192855267</v>
      </c>
      <c r="Q59" s="91">
        <f>'Model (SN)'!Q59-'Model (SC)'!Q59</f>
        <v>-0.91528622890484712</v>
      </c>
      <c r="R59" s="91">
        <f>'Model (SN)'!R59-'Model (SC)'!R59</f>
        <v>-1.3856139941336778</v>
      </c>
      <c r="S59" s="91">
        <f>'Model (SN)'!S59-'Model (SC)'!S59</f>
        <v>-1.9068287858267468</v>
      </c>
      <c r="T59" s="91">
        <f>'Model (SN)'!T59-'Model (SC)'!T59</f>
        <v>-2.4663547903887775</v>
      </c>
      <c r="U59" s="91">
        <f>'Model (SN)'!U59-'Model (SC)'!U59</f>
        <v>-3.0541623076530868</v>
      </c>
      <c r="V59" s="91">
        <f>'Model (SN)'!V59-'Model (SC)'!V59</f>
        <v>-3.6621730599509874</v>
      </c>
    </row>
    <row r="60" spans="1:22" x14ac:dyDescent="0.25">
      <c r="A60" s="82"/>
      <c r="B60" s="64" t="s">
        <v>130</v>
      </c>
      <c r="C60" s="94">
        <f>'Model (SN)'!C60-'Model (SC)'!C60</f>
        <v>0</v>
      </c>
      <c r="D60" s="91">
        <f>'Model (SN)'!D60-'Model (SC)'!D60</f>
        <v>0</v>
      </c>
      <c r="E60" s="91">
        <f>'Model (SN)'!E60-'Model (SC)'!E60</f>
        <v>0</v>
      </c>
      <c r="F60" s="91">
        <f>'Model (SN)'!F60-'Model (SC)'!F60</f>
        <v>0</v>
      </c>
      <c r="G60" s="91">
        <f>'Model (SN)'!G60-'Model (SC)'!G60</f>
        <v>0</v>
      </c>
      <c r="H60" s="91">
        <f>'Model (SN)'!H60-'Model (SC)'!H60</f>
        <v>0</v>
      </c>
      <c r="I60" s="91">
        <f>'Model (SN)'!I60-'Model (SC)'!I60</f>
        <v>0</v>
      </c>
      <c r="J60" s="91">
        <f>'Model (SN)'!J60-'Model (SC)'!J60</f>
        <v>0</v>
      </c>
      <c r="K60" s="91">
        <f>'Model (SN)'!K60-'Model (SC)'!K60</f>
        <v>0</v>
      </c>
      <c r="L60" s="91">
        <f>'Model (SN)'!L60-'Model (SC)'!L60</f>
        <v>0</v>
      </c>
      <c r="M60" s="91">
        <f>'Model (SN)'!M60-'Model (SC)'!M60</f>
        <v>0</v>
      </c>
      <c r="N60" s="91">
        <f>'Model (SN)'!N60-'Model (SC)'!N60</f>
        <v>0</v>
      </c>
      <c r="O60" s="91">
        <f>'Model (SN)'!O60-'Model (SC)'!O60</f>
        <v>0</v>
      </c>
      <c r="P60" s="91">
        <f>'Model (SN)'!P60-'Model (SC)'!P60</f>
        <v>0</v>
      </c>
      <c r="Q60" s="91">
        <f>'Model (SN)'!Q60-'Model (SC)'!Q60</f>
        <v>0</v>
      </c>
      <c r="R60" s="91">
        <f>'Model (SN)'!R60-'Model (SC)'!R60</f>
        <v>0</v>
      </c>
      <c r="S60" s="91">
        <f>'Model (SN)'!S60-'Model (SC)'!S60</f>
        <v>0</v>
      </c>
      <c r="T60" s="91">
        <f>'Model (SN)'!T60-'Model (SC)'!T60</f>
        <v>0</v>
      </c>
      <c r="U60" s="91">
        <f>'Model (SN)'!U60-'Model (SC)'!U60</f>
        <v>0</v>
      </c>
      <c r="V60" s="91">
        <f>'Model (SN)'!V60-'Model (SC)'!V60</f>
        <v>0</v>
      </c>
    </row>
    <row r="61" spans="1:22" x14ac:dyDescent="0.25">
      <c r="A61" s="82"/>
      <c r="B61" s="63" t="s">
        <v>143</v>
      </c>
      <c r="C61" s="94">
        <f>'Model (SN)'!C61-'Model (SC)'!C61</f>
        <v>0</v>
      </c>
      <c r="D61" s="91">
        <f>'Model (SN)'!D61-'Model (SC)'!D61</f>
        <v>0</v>
      </c>
      <c r="E61" s="91">
        <f>'Model (SN)'!E61-'Model (SC)'!E61</f>
        <v>0</v>
      </c>
      <c r="F61" s="91">
        <f>'Model (SN)'!F61-'Model (SC)'!F61</f>
        <v>0</v>
      </c>
      <c r="G61" s="91">
        <f>'Model (SN)'!G61-'Model (SC)'!G61</f>
        <v>0</v>
      </c>
      <c r="H61" s="91">
        <f>'Model (SN)'!H61-'Model (SC)'!H61</f>
        <v>0</v>
      </c>
      <c r="I61" s="91">
        <f>'Model (SN)'!I61-'Model (SC)'!I61</f>
        <v>0</v>
      </c>
      <c r="J61" s="91">
        <f>'Model (SN)'!J61-'Model (SC)'!J61</f>
        <v>0</v>
      </c>
      <c r="K61" s="91">
        <f>'Model (SN)'!K61-'Model (SC)'!K61</f>
        <v>0</v>
      </c>
      <c r="L61" s="91">
        <f>'Model (SN)'!L61-'Model (SC)'!L61</f>
        <v>0</v>
      </c>
      <c r="M61" s="91">
        <f>'Model (SN)'!M61-'Model (SC)'!M61</f>
        <v>0</v>
      </c>
      <c r="N61" s="91">
        <f>'Model (SN)'!N61-'Model (SC)'!N61</f>
        <v>0</v>
      </c>
      <c r="O61" s="91">
        <f>'Model (SN)'!O61-'Model (SC)'!O61</f>
        <v>0</v>
      </c>
      <c r="P61" s="91">
        <f>'Model (SN)'!P61-'Model (SC)'!P61</f>
        <v>0</v>
      </c>
      <c r="Q61" s="91">
        <f>'Model (SN)'!Q61-'Model (SC)'!Q61</f>
        <v>0</v>
      </c>
      <c r="R61" s="91">
        <f>'Model (SN)'!R61-'Model (SC)'!R61</f>
        <v>0</v>
      </c>
      <c r="S61" s="91">
        <f>'Model (SN)'!S61-'Model (SC)'!S61</f>
        <v>0</v>
      </c>
      <c r="T61" s="91">
        <f>'Model (SN)'!T61-'Model (SC)'!T61</f>
        <v>0</v>
      </c>
      <c r="U61" s="91">
        <f>'Model (SN)'!U61-'Model (SC)'!U61</f>
        <v>0</v>
      </c>
      <c r="V61" s="91">
        <f>'Model (SN)'!V61-'Model (SC)'!V61</f>
        <v>0</v>
      </c>
    </row>
    <row r="62" spans="1:22" x14ac:dyDescent="0.25">
      <c r="A62" s="82"/>
      <c r="B62" s="63" t="s">
        <v>735</v>
      </c>
      <c r="C62" s="94">
        <f>'Model (SN)'!C62-'Model (SC)'!C62</f>
        <v>0</v>
      </c>
      <c r="D62" s="91">
        <f>'Model (SN)'!D62-'Model (SC)'!D62</f>
        <v>0</v>
      </c>
      <c r="E62" s="91">
        <f>'Model (SN)'!E62-'Model (SC)'!E62</f>
        <v>0</v>
      </c>
      <c r="F62" s="91">
        <f>'Model (SN)'!F62-'Model (SC)'!F62</f>
        <v>0</v>
      </c>
      <c r="G62" s="91">
        <f>'Model (SN)'!G62-'Model (SC)'!G62</f>
        <v>0</v>
      </c>
      <c r="H62" s="91">
        <f>'Model (SN)'!H62-'Model (SC)'!H62</f>
        <v>0</v>
      </c>
      <c r="I62" s="91">
        <f>'Model (SN)'!I62-'Model (SC)'!I62</f>
        <v>0</v>
      </c>
      <c r="J62" s="91">
        <f>'Model (SN)'!J62-'Model (SC)'!J62</f>
        <v>0</v>
      </c>
      <c r="K62" s="91">
        <f>'Model (SN)'!K62-'Model (SC)'!K62</f>
        <v>0</v>
      </c>
      <c r="L62" s="91">
        <f>'Model (SN)'!L62-'Model (SC)'!L62</f>
        <v>0</v>
      </c>
      <c r="M62" s="91">
        <f>'Model (SN)'!M62-'Model (SC)'!M62</f>
        <v>0</v>
      </c>
      <c r="N62" s="91">
        <f>'Model (SN)'!N62-'Model (SC)'!N62</f>
        <v>0</v>
      </c>
      <c r="O62" s="91">
        <f>'Model (SN)'!O62-'Model (SC)'!O62</f>
        <v>0</v>
      </c>
      <c r="P62" s="91">
        <f>'Model (SN)'!P62-'Model (SC)'!P62</f>
        <v>0</v>
      </c>
      <c r="Q62" s="91">
        <f>'Model (SN)'!Q62-'Model (SC)'!Q62</f>
        <v>0</v>
      </c>
      <c r="R62" s="91">
        <f>'Model (SN)'!R62-'Model (SC)'!R62</f>
        <v>0</v>
      </c>
      <c r="S62" s="91">
        <f>'Model (SN)'!S62-'Model (SC)'!S62</f>
        <v>0</v>
      </c>
      <c r="T62" s="91">
        <f>'Model (SN)'!T62-'Model (SC)'!T62</f>
        <v>0</v>
      </c>
      <c r="U62" s="91">
        <f>'Model (SN)'!U62-'Model (SC)'!U62</f>
        <v>0</v>
      </c>
      <c r="V62" s="91">
        <f>'Model (SN)'!V62-'Model (SC)'!V62</f>
        <v>0</v>
      </c>
    </row>
    <row r="63" spans="1:22" x14ac:dyDescent="0.25">
      <c r="A63" s="82"/>
      <c r="B63" s="63" t="s">
        <v>736</v>
      </c>
      <c r="C63" s="94">
        <f>'Model (SN)'!C63-'Model (SC)'!C63</f>
        <v>0</v>
      </c>
      <c r="D63" s="91">
        <f>'Model (SN)'!D63-'Model (SC)'!D63</f>
        <v>0</v>
      </c>
      <c r="E63" s="91">
        <f>'Model (SN)'!E63-'Model (SC)'!E63</f>
        <v>0</v>
      </c>
      <c r="F63" s="91">
        <f>'Model (SN)'!F63-'Model (SC)'!F63</f>
        <v>0</v>
      </c>
      <c r="G63" s="91">
        <f>'Model (SN)'!G63-'Model (SC)'!G63</f>
        <v>0</v>
      </c>
      <c r="H63" s="91">
        <f>'Model (SN)'!H63-'Model (SC)'!H63</f>
        <v>0</v>
      </c>
      <c r="I63" s="91">
        <f>'Model (SN)'!I63-'Model (SC)'!I63</f>
        <v>0</v>
      </c>
      <c r="J63" s="91">
        <f>'Model (SN)'!J63-'Model (SC)'!J63</f>
        <v>0</v>
      </c>
      <c r="K63" s="91">
        <f>'Model (SN)'!K63-'Model (SC)'!K63</f>
        <v>0</v>
      </c>
      <c r="L63" s="91">
        <f>'Model (SN)'!L63-'Model (SC)'!L63</f>
        <v>0</v>
      </c>
      <c r="M63" s="91">
        <f>'Model (SN)'!M63-'Model (SC)'!M63</f>
        <v>0</v>
      </c>
      <c r="N63" s="91">
        <f>'Model (SN)'!N63-'Model (SC)'!N63</f>
        <v>0</v>
      </c>
      <c r="O63" s="91">
        <f>'Model (SN)'!O63-'Model (SC)'!O63</f>
        <v>0</v>
      </c>
      <c r="P63" s="91">
        <f>'Model (SN)'!P63-'Model (SC)'!P63</f>
        <v>0</v>
      </c>
      <c r="Q63" s="91">
        <f>'Model (SN)'!Q63-'Model (SC)'!Q63</f>
        <v>0</v>
      </c>
      <c r="R63" s="91">
        <f>'Model (SN)'!R63-'Model (SC)'!R63</f>
        <v>0</v>
      </c>
      <c r="S63" s="91">
        <f>'Model (SN)'!S63-'Model (SC)'!S63</f>
        <v>0</v>
      </c>
      <c r="T63" s="91">
        <f>'Model (SN)'!T63-'Model (SC)'!T63</f>
        <v>0</v>
      </c>
      <c r="U63" s="91">
        <f>'Model (SN)'!U63-'Model (SC)'!U63</f>
        <v>0</v>
      </c>
      <c r="V63" s="91">
        <f>'Model (SN)'!V63-'Model (SC)'!V63</f>
        <v>0</v>
      </c>
    </row>
    <row r="64" spans="1:22" x14ac:dyDescent="0.25">
      <c r="A64" s="82"/>
      <c r="B64" s="63" t="s">
        <v>154</v>
      </c>
      <c r="C64" s="94">
        <f>'Model (SN)'!C64-'Model (SC)'!C64</f>
        <v>0</v>
      </c>
      <c r="D64" s="91">
        <f>'Model (SN)'!D64-'Model (SC)'!D64</f>
        <v>0</v>
      </c>
      <c r="E64" s="91">
        <f>'Model (SN)'!E64-'Model (SC)'!E64</f>
        <v>0</v>
      </c>
      <c r="F64" s="91">
        <f>'Model (SN)'!F64-'Model (SC)'!F64</f>
        <v>0</v>
      </c>
      <c r="G64" s="91">
        <f>'Model (SN)'!G64-'Model (SC)'!G64</f>
        <v>0</v>
      </c>
      <c r="H64" s="91">
        <f>'Model (SN)'!H64-'Model (SC)'!H64</f>
        <v>0</v>
      </c>
      <c r="I64" s="91">
        <f>'Model (SN)'!I64-'Model (SC)'!I64</f>
        <v>0</v>
      </c>
      <c r="J64" s="91">
        <f>'Model (SN)'!J64-'Model (SC)'!J64</f>
        <v>0</v>
      </c>
      <c r="K64" s="91">
        <f>'Model (SN)'!K64-'Model (SC)'!K64</f>
        <v>0</v>
      </c>
      <c r="L64" s="91">
        <f>'Model (SN)'!L64-'Model (SC)'!L64</f>
        <v>0</v>
      </c>
      <c r="M64" s="91">
        <f>'Model (SN)'!M64-'Model (SC)'!M64</f>
        <v>0</v>
      </c>
      <c r="N64" s="91">
        <f>'Model (SN)'!N64-'Model (SC)'!N64</f>
        <v>-0.83609851999993623</v>
      </c>
      <c r="O64" s="91">
        <f>'Model (SN)'!O64-'Model (SC)'!O64</f>
        <v>-0.88139471368319278</v>
      </c>
      <c r="P64" s="91">
        <f>'Model (SN)'!P64-'Model (SC)'!P64</f>
        <v>-0.85908401415686342</v>
      </c>
      <c r="Q64" s="91">
        <f>'Model (SN)'!Q64-'Model (SC)'!Q64</f>
        <v>-0.84058806492507188</v>
      </c>
      <c r="R64" s="91">
        <f>'Model (SN)'!R64-'Model (SC)'!R64</f>
        <v>-0.83180586972088832</v>
      </c>
      <c r="S64" s="91">
        <f>'Model (SN)'!S64-'Model (SC)'!S64</f>
        <v>-0.83016640100226624</v>
      </c>
      <c r="T64" s="91">
        <f>'Model (SN)'!T64-'Model (SC)'!T64</f>
        <v>-0.8332750842160408</v>
      </c>
      <c r="U64" s="91">
        <f>'Model (SN)'!U64-'Model (SC)'!U64</f>
        <v>-0.83950252951903082</v>
      </c>
      <c r="V64" s="91">
        <f>'Model (SN)'!V64-'Model (SC)'!V64</f>
        <v>-0.84775181498044105</v>
      </c>
    </row>
    <row r="65" spans="1:22" x14ac:dyDescent="0.25">
      <c r="A65" s="82"/>
      <c r="B65" s="63" t="s">
        <v>155</v>
      </c>
      <c r="C65" s="94">
        <f>'Model (SN)'!C65-'Model (SC)'!C65</f>
        <v>0</v>
      </c>
      <c r="D65" s="91">
        <f>'Model (SN)'!D65-'Model (SC)'!D65</f>
        <v>0</v>
      </c>
      <c r="E65" s="91">
        <f>'Model (SN)'!E65-'Model (SC)'!E65</f>
        <v>0</v>
      </c>
      <c r="F65" s="91">
        <f>'Model (SN)'!F65-'Model (SC)'!F65</f>
        <v>0</v>
      </c>
      <c r="G65" s="91">
        <f>'Model (SN)'!G65-'Model (SC)'!G65</f>
        <v>0</v>
      </c>
      <c r="H65" s="91">
        <f>'Model (SN)'!H65-'Model (SC)'!H65</f>
        <v>0</v>
      </c>
      <c r="I65" s="91">
        <f>'Model (SN)'!I65-'Model (SC)'!I65</f>
        <v>0</v>
      </c>
      <c r="J65" s="201">
        <f>'Model (SN)'!J65-'Model (SC)'!J65</f>
        <v>0</v>
      </c>
      <c r="K65" s="91">
        <f>'Model (SN)'!K65-'Model (SC)'!K65</f>
        <v>0</v>
      </c>
      <c r="L65" s="91">
        <f>'Model (SN)'!L65-'Model (SC)'!L65</f>
        <v>0</v>
      </c>
      <c r="M65" s="91">
        <f>'Model (SN)'!M65-'Model (SC)'!M65</f>
        <v>0</v>
      </c>
      <c r="N65" s="91">
        <f>'Model (SN)'!N65-'Model (SC)'!N65</f>
        <v>0</v>
      </c>
      <c r="O65" s="91">
        <f>'Model (SN)'!O65-'Model (SC)'!O65</f>
        <v>-0.23362976510750855</v>
      </c>
      <c r="P65" s="91">
        <f>'Model (SN)'!P65-'Model (SC)'!P65</f>
        <v>-0.46422909355824515</v>
      </c>
      <c r="Q65" s="91">
        <f>'Model (SN)'!Q65-'Model (SC)'!Q65</f>
        <v>-0.6731101758398097</v>
      </c>
      <c r="R65" s="91">
        <f>'Model (SN)'!R65-'Model (SC)'!R65</f>
        <v>-0.86279727208031431</v>
      </c>
      <c r="S65" s="91">
        <f>'Model (SN)'!S65-'Model (SC)'!S65</f>
        <v>-1.0372934963217801</v>
      </c>
      <c r="T65" s="91">
        <f>'Model (SN)'!T65-'Model (SC)'!T65</f>
        <v>-1.1996147480192008</v>
      </c>
      <c r="U65" s="91">
        <f>'Model (SN)'!U65-'Model (SC)'!U65</f>
        <v>-1.3519053063100159</v>
      </c>
      <c r="V65" s="91">
        <f>'Model (SN)'!V65-'Model (SC)'!V65</f>
        <v>-1.4957101709296126</v>
      </c>
    </row>
    <row r="66" spans="1:22" x14ac:dyDescent="0.25">
      <c r="A66" s="82"/>
      <c r="B66" s="63" t="s">
        <v>737</v>
      </c>
      <c r="C66" s="94">
        <f>'Model (SN)'!C66-'Model (SC)'!C66</f>
        <v>0</v>
      </c>
      <c r="D66" s="91">
        <f>'Model (SN)'!D66-'Model (SC)'!D66</f>
        <v>0</v>
      </c>
      <c r="E66" s="91">
        <f>'Model (SN)'!E66-'Model (SC)'!E66</f>
        <v>0</v>
      </c>
      <c r="F66" s="91">
        <f>'Model (SN)'!F66-'Model (SC)'!F66</f>
        <v>0</v>
      </c>
      <c r="G66" s="91">
        <f>'Model (SN)'!G66-'Model (SC)'!G66</f>
        <v>0</v>
      </c>
      <c r="H66" s="91">
        <f>'Model (SN)'!H66-'Model (SC)'!H66</f>
        <v>0</v>
      </c>
      <c r="I66" s="91">
        <f>'Model (SN)'!I66-'Model (SC)'!I66</f>
        <v>0</v>
      </c>
      <c r="J66" s="91">
        <f>'Model (SN)'!J66-'Model (SC)'!J66</f>
        <v>0</v>
      </c>
      <c r="K66" s="91">
        <f>'Model (SN)'!K66-'Model (SC)'!K66</f>
        <v>0</v>
      </c>
      <c r="L66" s="91">
        <f>'Model (SN)'!L66-'Model (SC)'!L66</f>
        <v>0</v>
      </c>
      <c r="M66" s="91">
        <f>'Model (SN)'!M66-'Model (SC)'!M66</f>
        <v>0</v>
      </c>
      <c r="N66" s="91">
        <f>'Model (SN)'!N66-'Model (SC)'!N66</f>
        <v>0</v>
      </c>
      <c r="O66" s="91">
        <f>'Model (SN)'!O66-'Model (SC)'!O66</f>
        <v>0</v>
      </c>
      <c r="P66" s="91">
        <f>'Model (SN)'!P66-'Model (SC)'!P66</f>
        <v>0</v>
      </c>
      <c r="Q66" s="91">
        <f>'Model (SN)'!Q66-'Model (SC)'!Q66</f>
        <v>0</v>
      </c>
      <c r="R66" s="91">
        <f>'Model (SN)'!R66-'Model (SC)'!R66</f>
        <v>0</v>
      </c>
      <c r="S66" s="91">
        <f>'Model (SN)'!S66-'Model (SC)'!S66</f>
        <v>0</v>
      </c>
      <c r="T66" s="91">
        <f>'Model (SN)'!T66-'Model (SC)'!T66</f>
        <v>0</v>
      </c>
      <c r="U66" s="91">
        <f>'Model (SN)'!U66-'Model (SC)'!U66</f>
        <v>0</v>
      </c>
      <c r="V66" s="91">
        <f>'Model (SN)'!V66-'Model (SC)'!V66</f>
        <v>0</v>
      </c>
    </row>
    <row r="67" spans="1:22" x14ac:dyDescent="0.25">
      <c r="A67" s="82"/>
      <c r="B67" s="63" t="s">
        <v>145</v>
      </c>
      <c r="C67" s="94">
        <f>'Model (SN)'!C67-'Model (SC)'!C67</f>
        <v>0</v>
      </c>
      <c r="D67" s="91">
        <f>'Model (SN)'!D67-'Model (SC)'!D67</f>
        <v>0</v>
      </c>
      <c r="E67" s="91">
        <f>'Model (SN)'!E67-'Model (SC)'!E67</f>
        <v>0</v>
      </c>
      <c r="F67" s="91">
        <f>'Model (SN)'!F67-'Model (SC)'!F67</f>
        <v>0</v>
      </c>
      <c r="G67" s="91">
        <f>'Model (SN)'!G67-'Model (SC)'!G67</f>
        <v>0</v>
      </c>
      <c r="H67" s="91">
        <f>'Model (SN)'!H67-'Model (SC)'!H67</f>
        <v>0</v>
      </c>
      <c r="I67" s="91">
        <f>'Model (SN)'!I67-'Model (SC)'!I67</f>
        <v>0</v>
      </c>
      <c r="J67" s="91">
        <f>'Model (SN)'!J67-'Model (SC)'!J67</f>
        <v>0</v>
      </c>
      <c r="K67" s="91">
        <f>'Model (SN)'!K67-'Model (SC)'!K67</f>
        <v>0</v>
      </c>
      <c r="L67" s="91">
        <f>'Model (SN)'!L67-'Model (SC)'!L67</f>
        <v>0</v>
      </c>
      <c r="M67" s="91">
        <f>'Model (SN)'!M67-'Model (SC)'!M67</f>
        <v>0</v>
      </c>
      <c r="N67" s="91">
        <f>'Model (SN)'!N67-'Model (SC)'!N67</f>
        <v>0</v>
      </c>
      <c r="O67" s="91">
        <f>'Model (SN)'!O67-'Model (SC)'!O67</f>
        <v>0</v>
      </c>
      <c r="P67" s="91">
        <f>'Model (SN)'!P67-'Model (SC)'!P67</f>
        <v>-2.3499022069159992E-2</v>
      </c>
      <c r="Q67" s="91">
        <f>'Model (SN)'!Q67-'Model (SC)'!Q67</f>
        <v>-6.4623586215290629E-2</v>
      </c>
      <c r="R67" s="91">
        <f>'Model (SN)'!R67-'Model (SC)'!R67</f>
        <v>-0.11883674549736156</v>
      </c>
      <c r="S67" s="91">
        <f>'Model (SN)'!S67-'Model (SC)'!S67</f>
        <v>-0.18294966512658561</v>
      </c>
      <c r="T67" s="91">
        <f>'Model (SN)'!T67-'Model (SC)'!T67</f>
        <v>-0.25458457005768764</v>
      </c>
      <c r="U67" s="91">
        <f>'Model (SN)'!U67-'Model (SC)'!U67</f>
        <v>-0.33189251478333404</v>
      </c>
      <c r="V67" s="91">
        <f>'Model (SN)'!V67-'Model (SC)'!V67</f>
        <v>-0.4134057737005179</v>
      </c>
    </row>
    <row r="68" spans="1:22" x14ac:dyDescent="0.25">
      <c r="A68" s="82"/>
      <c r="B68" s="63" t="s">
        <v>738</v>
      </c>
      <c r="C68" s="94">
        <f>'Model (SN)'!C68-'Model (SC)'!C68</f>
        <v>0</v>
      </c>
      <c r="D68" s="91">
        <f>'Model (SN)'!D68-'Model (SC)'!D68</f>
        <v>0</v>
      </c>
      <c r="E68" s="91">
        <f>'Model (SN)'!E68-'Model (SC)'!E68</f>
        <v>0</v>
      </c>
      <c r="F68" s="91">
        <f>'Model (SN)'!F68-'Model (SC)'!F68</f>
        <v>0</v>
      </c>
      <c r="G68" s="91">
        <f>'Model (SN)'!G68-'Model (SC)'!G68</f>
        <v>0</v>
      </c>
      <c r="H68" s="91">
        <f>'Model (SN)'!H68-'Model (SC)'!H68</f>
        <v>0</v>
      </c>
      <c r="I68" s="91">
        <f>'Model (SN)'!I68-'Model (SC)'!I68</f>
        <v>0</v>
      </c>
      <c r="J68" s="91">
        <f>'Model (SN)'!J68-'Model (SC)'!J68</f>
        <v>0</v>
      </c>
      <c r="K68" s="91">
        <f>'Model (SN)'!K68-'Model (SC)'!K68</f>
        <v>0</v>
      </c>
      <c r="L68" s="91">
        <f>'Model (SN)'!L68-'Model (SC)'!L68</f>
        <v>0</v>
      </c>
      <c r="M68" s="91">
        <f>'Model (SN)'!M68-'Model (SC)'!M68</f>
        <v>0</v>
      </c>
      <c r="N68" s="91">
        <f>'Model (SN)'!N68-'Model (SC)'!N68</f>
        <v>0</v>
      </c>
      <c r="O68" s="91">
        <f>'Model (SN)'!O68-'Model (SC)'!O68</f>
        <v>0</v>
      </c>
      <c r="P68" s="91">
        <f>'Model (SN)'!P68-'Model (SC)'!P68</f>
        <v>0</v>
      </c>
      <c r="Q68" s="91">
        <f>'Model (SN)'!Q68-'Model (SC)'!Q68</f>
        <v>0</v>
      </c>
      <c r="R68" s="91">
        <f>'Model (SN)'!R68-'Model (SC)'!R68</f>
        <v>0</v>
      </c>
      <c r="S68" s="91">
        <f>'Model (SN)'!S68-'Model (SC)'!S68</f>
        <v>0</v>
      </c>
      <c r="T68" s="91">
        <f>'Model (SN)'!T68-'Model (SC)'!T68</f>
        <v>0</v>
      </c>
      <c r="U68" s="91">
        <f>'Model (SN)'!U68-'Model (SC)'!U68</f>
        <v>0</v>
      </c>
      <c r="V68" s="91">
        <f>'Model (SN)'!V68-'Model (SC)'!V68</f>
        <v>0</v>
      </c>
    </row>
    <row r="69" spans="1:22" x14ac:dyDescent="0.25">
      <c r="A69" s="82"/>
      <c r="B69" s="64" t="s">
        <v>146</v>
      </c>
      <c r="C69" s="94">
        <f>'Model (SN)'!C69-'Model (SC)'!C69</f>
        <v>0</v>
      </c>
      <c r="D69" s="91">
        <f>'Model (SN)'!D69-'Model (SC)'!D69</f>
        <v>0</v>
      </c>
      <c r="E69" s="91">
        <f>'Model (SN)'!E69-'Model (SC)'!E69</f>
        <v>0</v>
      </c>
      <c r="F69" s="91">
        <f>'Model (SN)'!F69-'Model (SC)'!F69</f>
        <v>0</v>
      </c>
      <c r="G69" s="91">
        <f>'Model (SN)'!G69-'Model (SC)'!G69</f>
        <v>0</v>
      </c>
      <c r="H69" s="91">
        <f>'Model (SN)'!H69-'Model (SC)'!H69</f>
        <v>0</v>
      </c>
      <c r="I69" s="91">
        <f>'Model (SN)'!I69-'Model (SC)'!I69</f>
        <v>0</v>
      </c>
      <c r="J69" s="91">
        <f>'Model (SN)'!J69-'Model (SC)'!J69</f>
        <v>0</v>
      </c>
      <c r="K69" s="91">
        <f>'Model (SN)'!K69-'Model (SC)'!K69</f>
        <v>0</v>
      </c>
      <c r="L69" s="91">
        <f>'Model (SN)'!L69-'Model (SC)'!L69</f>
        <v>0</v>
      </c>
      <c r="M69" s="91">
        <f>'Model (SN)'!M69-'Model (SC)'!M69</f>
        <v>0</v>
      </c>
      <c r="N69" s="91">
        <f>'Model (SN)'!N69-'Model (SC)'!N69</f>
        <v>-0.83609851999983675</v>
      </c>
      <c r="O69" s="91">
        <f>'Model (SN)'!O69-'Model (SC)'!O69</f>
        <v>-1.1150244787907013</v>
      </c>
      <c r="P69" s="91">
        <f>'Model (SN)'!P69-'Model (SC)'!P69</f>
        <v>-1.3468121297842117</v>
      </c>
      <c r="Q69" s="91">
        <f>'Model (SN)'!Q69-'Model (SC)'!Q69</f>
        <v>-1.5783218269800727</v>
      </c>
      <c r="R69" s="91">
        <f>'Model (SN)'!R69-'Model (SC)'!R69</f>
        <v>-1.8134398872985003</v>
      </c>
      <c r="S69" s="91">
        <f>'Model (SN)'!S69-'Model (SC)'!S69</f>
        <v>-2.050409562450568</v>
      </c>
      <c r="T69" s="91">
        <f>'Model (SN)'!T69-'Model (SC)'!T69</f>
        <v>-2.2874744022929008</v>
      </c>
      <c r="U69" s="91">
        <f>'Model (SN)'!U69-'Model (SC)'!U69</f>
        <v>-2.5233003506124305</v>
      </c>
      <c r="V69" s="91">
        <f>'Model (SN)'!V69-'Model (SC)'!V69</f>
        <v>-2.7568677596105999</v>
      </c>
    </row>
    <row r="70" spans="1:22" x14ac:dyDescent="0.25">
      <c r="A70" s="82"/>
      <c r="B70" s="98" t="s">
        <v>131</v>
      </c>
      <c r="C70" s="94">
        <f>'Model (SN)'!C70-'Model (SC)'!C70</f>
        <v>0</v>
      </c>
      <c r="D70" s="91">
        <f>'Model (SN)'!D70-'Model (SC)'!D70</f>
        <v>0</v>
      </c>
      <c r="E70" s="91">
        <f>'Model (SN)'!E70-'Model (SC)'!E70</f>
        <v>0</v>
      </c>
      <c r="F70" s="91">
        <f>'Model (SN)'!F70-'Model (SC)'!F70</f>
        <v>0</v>
      </c>
      <c r="G70" s="91">
        <f>'Model (SN)'!G70-'Model (SC)'!G70</f>
        <v>0</v>
      </c>
      <c r="H70" s="100">
        <f>'Model (SN)'!H70-'Model (SC)'!H70</f>
        <v>0</v>
      </c>
      <c r="I70" s="100">
        <f>'Model (SN)'!I70-'Model (SC)'!I70</f>
        <v>0</v>
      </c>
      <c r="J70" s="91">
        <f>'Model (SN)'!J70-'Model (SC)'!J70</f>
        <v>0</v>
      </c>
      <c r="K70" s="91">
        <f>'Model (SN)'!K70-'Model (SC)'!K70</f>
        <v>0</v>
      </c>
      <c r="L70" s="100">
        <f>'Model (SN)'!L70-'Model (SC)'!L70</f>
        <v>0</v>
      </c>
      <c r="M70" s="100">
        <f>'Model (SN)'!M70-'Model (SC)'!M70</f>
        <v>-9.4947972287372977</v>
      </c>
      <c r="N70" s="100">
        <f>'Model (SN)'!N70-'Model (SC)'!N70</f>
        <v>-10.825212034056676</v>
      </c>
      <c r="O70" s="100">
        <f>'Model (SN)'!O70-'Model (SC)'!O70</f>
        <v>-12.115564890906171</v>
      </c>
      <c r="P70" s="100">
        <f>'Model (SN)'!P70-'Model (SC)'!P70</f>
        <v>-13.50872430311756</v>
      </c>
      <c r="Q70" s="100">
        <f>'Model (SN)'!Q70-'Model (SC)'!Q70</f>
        <v>-15.000475431470477</v>
      </c>
      <c r="R70" s="100">
        <f>'Model (SN)'!R70-'Model (SC)'!R70</f>
        <v>-16.555760166906111</v>
      </c>
      <c r="S70" s="100">
        <f>'Model (SN)'!S70-'Model (SC)'!S70</f>
        <v>-18.147999969598459</v>
      </c>
      <c r="T70" s="100">
        <f>'Model (SN)'!T70-'Model (SC)'!T70</f>
        <v>-19.758221123069234</v>
      </c>
      <c r="U70" s="100">
        <f>'Model (SN)'!U70-'Model (SC)'!U70</f>
        <v>-21.37245716759935</v>
      </c>
      <c r="V70" s="100">
        <f>'Model (SN)'!V70-'Model (SC)'!V70</f>
        <v>-22.980144351911804</v>
      </c>
    </row>
    <row r="71" spans="1:22" s="88" customFormat="1" x14ac:dyDescent="0.25">
      <c r="A71" s="89"/>
      <c r="C71" s="319"/>
      <c r="D71" s="103"/>
      <c r="E71" s="104"/>
      <c r="F71" s="104"/>
      <c r="G71" s="104"/>
      <c r="H71" s="176"/>
      <c r="I71" s="176"/>
      <c r="J71" s="104"/>
      <c r="K71" s="104"/>
      <c r="L71" s="176"/>
      <c r="M71" s="176"/>
      <c r="N71" s="176"/>
      <c r="O71" s="176"/>
      <c r="P71" s="176"/>
      <c r="Q71" s="176"/>
      <c r="R71" s="176"/>
      <c r="S71" s="176"/>
      <c r="T71" s="64"/>
      <c r="U71" s="64"/>
      <c r="V71" s="64"/>
    </row>
    <row r="72" spans="1:22" x14ac:dyDescent="0.25">
      <c r="C72" s="24"/>
    </row>
    <row r="73" spans="1:22" x14ac:dyDescent="0.25">
      <c r="C73" s="24"/>
    </row>
    <row r="74" spans="1:22" x14ac:dyDescent="0.25">
      <c r="C74" s="24"/>
    </row>
    <row r="75" spans="1:22" x14ac:dyDescent="0.25">
      <c r="C75" s="24"/>
    </row>
    <row r="76" spans="1:22" x14ac:dyDescent="0.25">
      <c r="C76" s="24"/>
    </row>
    <row r="77" spans="1:22" x14ac:dyDescent="0.25">
      <c r="C77" s="24"/>
    </row>
    <row r="78" spans="1:22" x14ac:dyDescent="0.25">
      <c r="C78" s="24"/>
    </row>
    <row r="79" spans="1:22" x14ac:dyDescent="0.25">
      <c r="C79" s="24"/>
    </row>
  </sheetData>
  <printOptions horizontalCentered="1"/>
  <pageMargins left="0.5" right="0.5" top="0.75" bottom="0.75" header="0.3" footer="0.3"/>
  <pageSetup scale="77"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V79"/>
  <sheetViews>
    <sheetView zoomScaleNormal="100" workbookViewId="0">
      <pane xSplit="2" ySplit="1" topLeftCell="C2" activePane="bottomRight" state="frozen"/>
      <selection pane="topRight" activeCell="C1" sqref="C1"/>
      <selection pane="bottomLeft" activeCell="A3" sqref="A3"/>
      <selection pane="bottomRight" activeCell="C3" sqref="C3"/>
    </sheetView>
  </sheetViews>
  <sheetFormatPr defaultColWidth="9.140625" defaultRowHeight="15" x14ac:dyDescent="0.25"/>
  <cols>
    <col min="1" max="1" width="2.7109375" style="127" customWidth="1"/>
    <col min="2" max="2" width="37.5703125" style="127" customWidth="1"/>
    <col min="3" max="3" width="10.42578125" style="311" customWidth="1"/>
    <col min="4" max="7" width="10.42578125" style="127" customWidth="1"/>
    <col min="8" max="8" width="10.42578125" style="64" customWidth="1"/>
    <col min="9" max="12" width="10.42578125" style="127" customWidth="1"/>
    <col min="13" max="14" width="10.42578125" style="64" customWidth="1"/>
    <col min="15" max="17" width="10.42578125" style="127" customWidth="1"/>
    <col min="18" max="18" width="10.42578125" style="64" customWidth="1"/>
    <col min="19" max="22" width="10.42578125" style="127" customWidth="1"/>
    <col min="23" max="16384" width="9.140625" style="127"/>
  </cols>
  <sheetData>
    <row r="1" spans="1:22" s="137" customFormat="1" x14ac:dyDescent="0.25">
      <c r="A1" s="134"/>
      <c r="B1" s="135">
        <f>COUNTIF(C3:V70,"&lt;&gt;0")</f>
        <v>147</v>
      </c>
      <c r="C1" s="79">
        <v>2004</v>
      </c>
      <c r="D1" s="80">
        <v>2005</v>
      </c>
      <c r="E1" s="80">
        <v>2006</v>
      </c>
      <c r="F1" s="80">
        <v>2007</v>
      </c>
      <c r="G1" s="80">
        <v>2008</v>
      </c>
      <c r="H1" s="80">
        <v>2009</v>
      </c>
      <c r="I1" s="80">
        <v>2010</v>
      </c>
      <c r="J1" s="80">
        <v>2011</v>
      </c>
      <c r="K1" s="80">
        <v>2012</v>
      </c>
      <c r="L1" s="80">
        <v>2013</v>
      </c>
      <c r="M1" s="80">
        <v>2014</v>
      </c>
      <c r="N1" s="80">
        <v>2015</v>
      </c>
      <c r="O1" s="80">
        <v>2016</v>
      </c>
      <c r="P1" s="80">
        <v>2017</v>
      </c>
      <c r="Q1" s="80">
        <v>2018</v>
      </c>
      <c r="R1" s="80">
        <v>2019</v>
      </c>
      <c r="S1" s="80">
        <v>2020</v>
      </c>
      <c r="T1" s="80">
        <v>2021</v>
      </c>
      <c r="U1" s="80">
        <v>2022</v>
      </c>
      <c r="V1" s="80">
        <v>2023</v>
      </c>
    </row>
    <row r="2" spans="1:22" x14ac:dyDescent="0.25">
      <c r="A2" s="86" t="s">
        <v>313</v>
      </c>
      <c r="B2" s="64"/>
      <c r="C2" s="87"/>
      <c r="D2" s="88"/>
      <c r="E2" s="88"/>
      <c r="F2" s="88"/>
      <c r="G2" s="88"/>
      <c r="H2" s="88"/>
      <c r="I2" s="64"/>
      <c r="J2" s="88"/>
      <c r="K2" s="88"/>
      <c r="L2" s="88"/>
      <c r="M2" s="88"/>
      <c r="O2" s="64"/>
      <c r="P2" s="88"/>
      <c r="Q2" s="88"/>
      <c r="R2" s="88"/>
      <c r="S2" s="88"/>
      <c r="T2" s="64"/>
      <c r="V2" s="64"/>
    </row>
    <row r="3" spans="1:22" x14ac:dyDescent="0.25">
      <c r="A3" s="82"/>
      <c r="B3" s="64" t="s">
        <v>124</v>
      </c>
      <c r="C3" s="94">
        <f>'Model (SN)'!C3-'Model (Matrix)'!C3</f>
        <v>0</v>
      </c>
      <c r="D3" s="91">
        <f>'Model (SN)'!D3-'Model (Matrix)'!D3</f>
        <v>0</v>
      </c>
      <c r="E3" s="91">
        <f>'Model (SN)'!E3-'Model (Matrix)'!E3</f>
        <v>0</v>
      </c>
      <c r="F3" s="91">
        <f>'Model (SN)'!F3-'Model (Matrix)'!F3</f>
        <v>0</v>
      </c>
      <c r="G3" s="91">
        <f>'Model (SN)'!G3-'Model (Matrix)'!G3</f>
        <v>0</v>
      </c>
      <c r="H3" s="91">
        <f>'Model (SN)'!H3-'Model (Matrix)'!H3</f>
        <v>0</v>
      </c>
      <c r="I3" s="91">
        <f>'Model (SN)'!I3-'Model (Matrix)'!I3</f>
        <v>0</v>
      </c>
      <c r="J3" s="91">
        <f>'Model (SN)'!J3-'Model (Matrix)'!J3</f>
        <v>0</v>
      </c>
      <c r="K3" s="91">
        <f>'Model (SN)'!K3-'Model (Matrix)'!K3</f>
        <v>0</v>
      </c>
      <c r="L3" s="91">
        <f>'Model (SN)'!L3-'Model (Matrix)'!L3</f>
        <v>0</v>
      </c>
      <c r="M3" s="91">
        <f>'Model (SN)'!M3-'Model (Matrix)'!M3</f>
        <v>0</v>
      </c>
      <c r="N3" s="91">
        <f>'Model (SN)'!N3-'Model (Matrix)'!N3</f>
        <v>0</v>
      </c>
      <c r="O3" s="91">
        <f>'Model (SN)'!O3-'Model (Matrix)'!O3</f>
        <v>0</v>
      </c>
      <c r="P3" s="91">
        <f>'Model (SN)'!P3-'Model (Matrix)'!P3</f>
        <v>0</v>
      </c>
      <c r="Q3" s="91">
        <f>'Model (SN)'!Q3-'Model (Matrix)'!Q3</f>
        <v>0</v>
      </c>
      <c r="R3" s="91">
        <f>'Model (SN)'!R3-'Model (Matrix)'!R3</f>
        <v>0</v>
      </c>
      <c r="S3" s="91">
        <f>'Model (SN)'!S3-'Model (Matrix)'!S3</f>
        <v>0</v>
      </c>
      <c r="T3" s="91">
        <f>'Model (SN)'!T3-'Model (Matrix)'!T3</f>
        <v>0</v>
      </c>
      <c r="U3" s="91">
        <f>'Model (SN)'!U3-'Model (Matrix)'!U3</f>
        <v>0</v>
      </c>
      <c r="V3" s="91">
        <f>'Model (SN)'!V3-'Model (Matrix)'!V3</f>
        <v>0</v>
      </c>
    </row>
    <row r="4" spans="1:22" x14ac:dyDescent="0.25">
      <c r="A4" s="82"/>
      <c r="B4" s="64" t="s">
        <v>630</v>
      </c>
      <c r="C4" s="94">
        <f>'Model (SN)'!C4-'Model (Matrix)'!C4</f>
        <v>0</v>
      </c>
      <c r="D4" s="91">
        <f>'Model (SN)'!D4-'Model (Matrix)'!D4</f>
        <v>0</v>
      </c>
      <c r="E4" s="91">
        <f>'Model (SN)'!E4-'Model (Matrix)'!E4</f>
        <v>0</v>
      </c>
      <c r="F4" s="91">
        <f>'Model (SN)'!F4-'Model (Matrix)'!F4</f>
        <v>0</v>
      </c>
      <c r="G4" s="91">
        <f>'Model (SN)'!G4-'Model (Matrix)'!G4</f>
        <v>0</v>
      </c>
      <c r="H4" s="91">
        <f>'Model (SN)'!H4-'Model (Matrix)'!H4</f>
        <v>0</v>
      </c>
      <c r="I4" s="91">
        <f>'Model (SN)'!I4-'Model (Matrix)'!I4</f>
        <v>0</v>
      </c>
      <c r="J4" s="91">
        <f>'Model (SN)'!J4-'Model (Matrix)'!J4</f>
        <v>0</v>
      </c>
      <c r="K4" s="91">
        <f>'Model (SN)'!K4-'Model (Matrix)'!K4</f>
        <v>0</v>
      </c>
      <c r="L4" s="91">
        <f>'Model (SN)'!L4-'Model (Matrix)'!L4</f>
        <v>0</v>
      </c>
      <c r="M4" s="91">
        <f>'Model (SN)'!M4-'Model (Matrix)'!M4</f>
        <v>0</v>
      </c>
      <c r="N4" s="91">
        <f>'Model (SN)'!N4-'Model (Matrix)'!N4</f>
        <v>0</v>
      </c>
      <c r="O4" s="91">
        <f>'Model (SN)'!O4-'Model (Matrix)'!O4</f>
        <v>0</v>
      </c>
      <c r="P4" s="91">
        <f>'Model (SN)'!P4-'Model (Matrix)'!P4</f>
        <v>0</v>
      </c>
      <c r="Q4" s="91">
        <f>'Model (SN)'!Q4-'Model (Matrix)'!Q4</f>
        <v>0</v>
      </c>
      <c r="R4" s="91">
        <f>'Model (SN)'!R4-'Model (Matrix)'!R4</f>
        <v>0</v>
      </c>
      <c r="S4" s="91">
        <f>'Model (SN)'!S4-'Model (Matrix)'!S4</f>
        <v>0</v>
      </c>
      <c r="T4" s="91">
        <f>'Model (SN)'!T4-'Model (Matrix)'!T4</f>
        <v>0</v>
      </c>
      <c r="U4" s="91">
        <f>'Model (SN)'!U4-'Model (Matrix)'!U4</f>
        <v>0</v>
      </c>
      <c r="V4" s="91">
        <f>'Model (SN)'!V4-'Model (Matrix)'!V4</f>
        <v>0</v>
      </c>
    </row>
    <row r="5" spans="1:22" x14ac:dyDescent="0.25">
      <c r="A5" s="82"/>
      <c r="B5" s="64" t="s">
        <v>570</v>
      </c>
      <c r="C5" s="318">
        <f>'Model (SN)'!C5-'Model (Matrix)'!C5</f>
        <v>0</v>
      </c>
      <c r="D5" s="91">
        <f>'Model (SN)'!D5-'Model (Matrix)'!D5</f>
        <v>0</v>
      </c>
      <c r="E5" s="91">
        <f>'Model (SN)'!E5-'Model (Matrix)'!E5</f>
        <v>0</v>
      </c>
      <c r="F5" s="91">
        <f>'Model (SN)'!F5-'Model (Matrix)'!F5</f>
        <v>0</v>
      </c>
      <c r="G5" s="91">
        <f>'Model (SN)'!G5-'Model (Matrix)'!G5</f>
        <v>0</v>
      </c>
      <c r="H5" s="91">
        <f>'Model (SN)'!H5-'Model (Matrix)'!H5</f>
        <v>0</v>
      </c>
      <c r="I5" s="91">
        <f>'Model (SN)'!I5-'Model (Matrix)'!I5</f>
        <v>0</v>
      </c>
      <c r="J5" s="91">
        <f>'Model (SN)'!J5-'Model (Matrix)'!J5</f>
        <v>0</v>
      </c>
      <c r="K5" s="91">
        <f>'Model (SN)'!K5-'Model (Matrix)'!K5</f>
        <v>0</v>
      </c>
      <c r="L5" s="91">
        <f>'Model (SN)'!L5-'Model (Matrix)'!L5</f>
        <v>0</v>
      </c>
      <c r="M5" s="91">
        <f>'Model (SN)'!M5-'Model (Matrix)'!M5</f>
        <v>0</v>
      </c>
      <c r="N5" s="91">
        <f>'Model (SN)'!N5-'Model (Matrix)'!N5</f>
        <v>0</v>
      </c>
      <c r="O5" s="91">
        <f>'Model (SN)'!O5-'Model (Matrix)'!O5</f>
        <v>0</v>
      </c>
      <c r="P5" s="91">
        <f>'Model (SN)'!P5-'Model (Matrix)'!P5</f>
        <v>0</v>
      </c>
      <c r="Q5" s="91">
        <f>'Model (SN)'!Q5-'Model (Matrix)'!Q5</f>
        <v>0</v>
      </c>
      <c r="R5" s="91">
        <f>'Model (SN)'!R5-'Model (Matrix)'!R5</f>
        <v>0</v>
      </c>
      <c r="S5" s="91">
        <f>'Model (SN)'!S5-'Model (Matrix)'!S5</f>
        <v>0</v>
      </c>
      <c r="T5" s="91">
        <f>'Model (SN)'!T5-'Model (Matrix)'!T5</f>
        <v>0</v>
      </c>
      <c r="U5" s="91">
        <f>'Model (SN)'!U5-'Model (Matrix)'!U5</f>
        <v>0</v>
      </c>
      <c r="V5" s="91">
        <f>'Model (SN)'!V5-'Model (Matrix)'!V5</f>
        <v>0</v>
      </c>
    </row>
    <row r="6" spans="1:22" x14ac:dyDescent="0.25">
      <c r="A6" s="82"/>
      <c r="B6" s="64" t="s">
        <v>127</v>
      </c>
      <c r="C6" s="310">
        <f>'Model (SN)'!C6-'Model (Matrix)'!C6</f>
        <v>0</v>
      </c>
      <c r="D6" s="91">
        <f>'Model (SN)'!D6-'Model (Matrix)'!D6</f>
        <v>0</v>
      </c>
      <c r="E6" s="91">
        <f>'Model (SN)'!E6-'Model (Matrix)'!E6</f>
        <v>0</v>
      </c>
      <c r="F6" s="91">
        <f>'Model (SN)'!F6-'Model (Matrix)'!F6</f>
        <v>0</v>
      </c>
      <c r="G6" s="91">
        <f>'Model (SN)'!G6-'Model (Matrix)'!G6</f>
        <v>0</v>
      </c>
      <c r="H6" s="91">
        <f>'Model (SN)'!H6-'Model (Matrix)'!H6</f>
        <v>0</v>
      </c>
      <c r="I6" s="91">
        <f>'Model (SN)'!I6-'Model (Matrix)'!I6</f>
        <v>0</v>
      </c>
      <c r="J6" s="91">
        <f>'Model (SN)'!J6-'Model (Matrix)'!J6</f>
        <v>0</v>
      </c>
      <c r="K6" s="91">
        <f>'Model (SN)'!K6-'Model (Matrix)'!K6</f>
        <v>0</v>
      </c>
      <c r="L6" s="91">
        <f>'Model (SN)'!L6-'Model (Matrix)'!L6</f>
        <v>0</v>
      </c>
      <c r="M6" s="91">
        <f>'Model (SN)'!M6-'Model (Matrix)'!M6</f>
        <v>0</v>
      </c>
      <c r="N6" s="91">
        <f>'Model (SN)'!N6-'Model (Matrix)'!N6</f>
        <v>0</v>
      </c>
      <c r="O6" s="91">
        <f>'Model (SN)'!O6-'Model (Matrix)'!O6</f>
        <v>0</v>
      </c>
      <c r="P6" s="91">
        <f>'Model (SN)'!P6-'Model (Matrix)'!P6</f>
        <v>0</v>
      </c>
      <c r="Q6" s="91">
        <f>'Model (SN)'!Q6-'Model (Matrix)'!Q6</f>
        <v>0</v>
      </c>
      <c r="R6" s="91">
        <f>'Model (SN)'!R6-'Model (Matrix)'!R6</f>
        <v>0</v>
      </c>
      <c r="S6" s="91">
        <f>'Model (SN)'!S6-'Model (Matrix)'!S6</f>
        <v>0</v>
      </c>
      <c r="T6" s="91">
        <f>'Model (SN)'!T6-'Model (Matrix)'!T6</f>
        <v>0</v>
      </c>
      <c r="U6" s="91">
        <f>'Model (SN)'!U6-'Model (Matrix)'!U6</f>
        <v>0</v>
      </c>
      <c r="V6" s="91">
        <f>'Model (SN)'!V6-'Model (Matrix)'!V6</f>
        <v>0</v>
      </c>
    </row>
    <row r="7" spans="1:22" x14ac:dyDescent="0.25">
      <c r="A7" s="82"/>
      <c r="B7" s="63" t="s">
        <v>128</v>
      </c>
      <c r="C7" s="310">
        <f>'Model (SN)'!C7-'Model (Matrix)'!C7</f>
        <v>0</v>
      </c>
      <c r="D7" s="91">
        <f>'Model (SN)'!D7-'Model (Matrix)'!D7</f>
        <v>0</v>
      </c>
      <c r="E7" s="91">
        <f>'Model (SN)'!E7-'Model (Matrix)'!E7</f>
        <v>0</v>
      </c>
      <c r="F7" s="91">
        <f>'Model (SN)'!F7-'Model (Matrix)'!F7</f>
        <v>0</v>
      </c>
      <c r="G7" s="91">
        <f>'Model (SN)'!G7-'Model (Matrix)'!G7</f>
        <v>0</v>
      </c>
      <c r="H7" s="91">
        <f>'Model (SN)'!H7-'Model (Matrix)'!H7</f>
        <v>0</v>
      </c>
      <c r="I7" s="91">
        <f>'Model (SN)'!I7-'Model (Matrix)'!I7</f>
        <v>0</v>
      </c>
      <c r="J7" s="91">
        <f>'Model (SN)'!J7-'Model (Matrix)'!J7</f>
        <v>0</v>
      </c>
      <c r="K7" s="91">
        <f>'Model (SN)'!K7-'Model (Matrix)'!K7</f>
        <v>0</v>
      </c>
      <c r="L7" s="91">
        <f>'Model (SN)'!L7-'Model (Matrix)'!L7</f>
        <v>0</v>
      </c>
      <c r="M7" s="91">
        <f>'Model (SN)'!M7-'Model (Matrix)'!M7</f>
        <v>0</v>
      </c>
      <c r="N7" s="91">
        <f>'Model (SN)'!N7-'Model (Matrix)'!N7</f>
        <v>0</v>
      </c>
      <c r="O7" s="91">
        <f>'Model (SN)'!O7-'Model (Matrix)'!O7</f>
        <v>0</v>
      </c>
      <c r="P7" s="91">
        <f>'Model (SN)'!P7-'Model (Matrix)'!P7</f>
        <v>0</v>
      </c>
      <c r="Q7" s="91">
        <f>'Model (SN)'!Q7-'Model (Matrix)'!Q7</f>
        <v>0</v>
      </c>
      <c r="R7" s="91">
        <f>'Model (SN)'!R7-'Model (Matrix)'!R7</f>
        <v>0</v>
      </c>
      <c r="S7" s="91">
        <f>'Model (SN)'!S7-'Model (Matrix)'!S7</f>
        <v>0</v>
      </c>
      <c r="T7" s="91">
        <f>'Model (SN)'!T7-'Model (Matrix)'!T7</f>
        <v>0</v>
      </c>
      <c r="U7" s="91">
        <f>'Model (SN)'!U7-'Model (Matrix)'!U7</f>
        <v>0</v>
      </c>
      <c r="V7" s="91">
        <f>'Model (SN)'!V7-'Model (Matrix)'!V7</f>
        <v>0</v>
      </c>
    </row>
    <row r="8" spans="1:22" x14ac:dyDescent="0.25">
      <c r="A8" s="82"/>
      <c r="B8" s="63" t="s">
        <v>129</v>
      </c>
      <c r="C8" s="310">
        <f>'Model (SN)'!C8-'Model (Matrix)'!C8</f>
        <v>0</v>
      </c>
      <c r="D8" s="91">
        <f>'Model (SN)'!D8-'Model (Matrix)'!D8</f>
        <v>0</v>
      </c>
      <c r="E8" s="91">
        <f>'Model (SN)'!E8-'Model (Matrix)'!E8</f>
        <v>0</v>
      </c>
      <c r="F8" s="91">
        <f>'Model (SN)'!F8-'Model (Matrix)'!F8</f>
        <v>0</v>
      </c>
      <c r="G8" s="91">
        <f>'Model (SN)'!G8-'Model (Matrix)'!G8</f>
        <v>0</v>
      </c>
      <c r="H8" s="91">
        <f>'Model (SN)'!H8-'Model (Matrix)'!H8</f>
        <v>0</v>
      </c>
      <c r="I8" s="91">
        <f>'Model (SN)'!I8-'Model (Matrix)'!I8</f>
        <v>0</v>
      </c>
      <c r="J8" s="91">
        <f>'Model (SN)'!J8-'Model (Matrix)'!J8</f>
        <v>0</v>
      </c>
      <c r="K8" s="91">
        <f>'Model (SN)'!K8-'Model (Matrix)'!K8</f>
        <v>0</v>
      </c>
      <c r="L8" s="91">
        <f>'Model (SN)'!L8-'Model (Matrix)'!L8</f>
        <v>0</v>
      </c>
      <c r="M8" s="91">
        <f>'Model (SN)'!M8-'Model (Matrix)'!M8</f>
        <v>0</v>
      </c>
      <c r="N8" s="91">
        <f>'Model (SN)'!N8-'Model (Matrix)'!N8</f>
        <v>0</v>
      </c>
      <c r="O8" s="91">
        <f>'Model (SN)'!O8-'Model (Matrix)'!O8</f>
        <v>0</v>
      </c>
      <c r="P8" s="91">
        <f>'Model (SN)'!P8-'Model (Matrix)'!P8</f>
        <v>0</v>
      </c>
      <c r="Q8" s="91">
        <f>'Model (SN)'!Q8-'Model (Matrix)'!Q8</f>
        <v>0</v>
      </c>
      <c r="R8" s="91">
        <f>'Model (SN)'!R8-'Model (Matrix)'!R8</f>
        <v>0</v>
      </c>
      <c r="S8" s="91">
        <f>'Model (SN)'!S8-'Model (Matrix)'!S8</f>
        <v>0</v>
      </c>
      <c r="T8" s="91">
        <f>'Model (SN)'!T8-'Model (Matrix)'!T8</f>
        <v>0</v>
      </c>
      <c r="U8" s="91">
        <f>'Model (SN)'!U8-'Model (Matrix)'!U8</f>
        <v>0</v>
      </c>
      <c r="V8" s="91">
        <f>'Model (SN)'!V8-'Model (Matrix)'!V8</f>
        <v>0</v>
      </c>
    </row>
    <row r="9" spans="1:22" x14ac:dyDescent="0.25">
      <c r="A9" s="82"/>
      <c r="B9" s="63" t="s">
        <v>130</v>
      </c>
      <c r="C9" s="310">
        <f>'Model (SN)'!C9-'Model (Matrix)'!C9</f>
        <v>0</v>
      </c>
      <c r="D9" s="91">
        <f>'Model (SN)'!D9-'Model (Matrix)'!D9</f>
        <v>0</v>
      </c>
      <c r="E9" s="91">
        <f>'Model (SN)'!E9-'Model (Matrix)'!E9</f>
        <v>0</v>
      </c>
      <c r="F9" s="91">
        <f>'Model (SN)'!F9-'Model (Matrix)'!F9</f>
        <v>0</v>
      </c>
      <c r="G9" s="91">
        <f>'Model (SN)'!G9-'Model (Matrix)'!G9</f>
        <v>0</v>
      </c>
      <c r="H9" s="91">
        <f>'Model (SN)'!H9-'Model (Matrix)'!H9</f>
        <v>0</v>
      </c>
      <c r="I9" s="91">
        <f>'Model (SN)'!I9-'Model (Matrix)'!I9</f>
        <v>0</v>
      </c>
      <c r="J9" s="91">
        <f>'Model (SN)'!J9-'Model (Matrix)'!J9</f>
        <v>0</v>
      </c>
      <c r="K9" s="91">
        <f>'Model (SN)'!K9-'Model (Matrix)'!K9</f>
        <v>0</v>
      </c>
      <c r="L9" s="91">
        <f>'Model (SN)'!L9-'Model (Matrix)'!L9</f>
        <v>0</v>
      </c>
      <c r="M9" s="91">
        <f>'Model (SN)'!M9-'Model (Matrix)'!M9</f>
        <v>0</v>
      </c>
      <c r="N9" s="91">
        <f>'Model (SN)'!N9-'Model (Matrix)'!N9</f>
        <v>0</v>
      </c>
      <c r="O9" s="91">
        <f>'Model (SN)'!O9-'Model (Matrix)'!O9</f>
        <v>0</v>
      </c>
      <c r="P9" s="91">
        <f>'Model (SN)'!P9-'Model (Matrix)'!P9</f>
        <v>0</v>
      </c>
      <c r="Q9" s="91">
        <f>'Model (SN)'!Q9-'Model (Matrix)'!Q9</f>
        <v>0</v>
      </c>
      <c r="R9" s="91">
        <f>'Model (SN)'!R9-'Model (Matrix)'!R9</f>
        <v>0</v>
      </c>
      <c r="S9" s="91">
        <f>'Model (SN)'!S9-'Model (Matrix)'!S9</f>
        <v>0</v>
      </c>
      <c r="T9" s="91">
        <f>'Model (SN)'!T9-'Model (Matrix)'!T9</f>
        <v>0</v>
      </c>
      <c r="U9" s="91">
        <f>'Model (SN)'!U9-'Model (Matrix)'!U9</f>
        <v>0</v>
      </c>
      <c r="V9" s="91">
        <f>'Model (SN)'!V9-'Model (Matrix)'!V9</f>
        <v>0</v>
      </c>
    </row>
    <row r="10" spans="1:22" x14ac:dyDescent="0.25">
      <c r="A10" s="82"/>
      <c r="B10" s="63" t="s">
        <v>131</v>
      </c>
      <c r="C10" s="310">
        <f>'Model (SN)'!C10-'Model (Matrix)'!C10</f>
        <v>0</v>
      </c>
      <c r="D10" s="91">
        <f>'Model (SN)'!D10-'Model (Matrix)'!D10</f>
        <v>0</v>
      </c>
      <c r="E10" s="91">
        <f>'Model (SN)'!E10-'Model (Matrix)'!E10</f>
        <v>0</v>
      </c>
      <c r="F10" s="91">
        <f>'Model (SN)'!F10-'Model (Matrix)'!F10</f>
        <v>0</v>
      </c>
      <c r="G10" s="91">
        <f>'Model (SN)'!G10-'Model (Matrix)'!G10</f>
        <v>0</v>
      </c>
      <c r="H10" s="91">
        <f>'Model (SN)'!H10-'Model (Matrix)'!H10</f>
        <v>0</v>
      </c>
      <c r="I10" s="91">
        <f>'Model (SN)'!I10-'Model (Matrix)'!I10</f>
        <v>0</v>
      </c>
      <c r="J10" s="91">
        <f>'Model (SN)'!J10-'Model (Matrix)'!J10</f>
        <v>0</v>
      </c>
      <c r="K10" s="91">
        <f>'Model (SN)'!K10-'Model (Matrix)'!K10</f>
        <v>0</v>
      </c>
      <c r="L10" s="91">
        <f>'Model (SN)'!L10-'Model (Matrix)'!L10</f>
        <v>0</v>
      </c>
      <c r="M10" s="91">
        <f>'Model (SN)'!M10-'Model (Matrix)'!M10</f>
        <v>0</v>
      </c>
      <c r="N10" s="91">
        <f>'Model (SN)'!N10-'Model (Matrix)'!N10</f>
        <v>0</v>
      </c>
      <c r="O10" s="91">
        <f>'Model (SN)'!O10-'Model (Matrix)'!O10</f>
        <v>0</v>
      </c>
      <c r="P10" s="91">
        <f>'Model (SN)'!P10-'Model (Matrix)'!P10</f>
        <v>0</v>
      </c>
      <c r="Q10" s="91">
        <f>'Model (SN)'!Q10-'Model (Matrix)'!Q10</f>
        <v>0</v>
      </c>
      <c r="R10" s="91">
        <f>'Model (SN)'!R10-'Model (Matrix)'!R10</f>
        <v>0</v>
      </c>
      <c r="S10" s="91">
        <f>'Model (SN)'!S10-'Model (Matrix)'!S10</f>
        <v>0</v>
      </c>
      <c r="T10" s="91">
        <f>'Model (SN)'!T10-'Model (Matrix)'!T10</f>
        <v>0</v>
      </c>
      <c r="U10" s="91">
        <f>'Model (SN)'!U10-'Model (Matrix)'!U10</f>
        <v>0</v>
      </c>
      <c r="V10" s="91">
        <f>'Model (SN)'!V10-'Model (Matrix)'!V10</f>
        <v>0</v>
      </c>
    </row>
    <row r="11" spans="1:22" x14ac:dyDescent="0.25">
      <c r="A11" s="86" t="s">
        <v>314</v>
      </c>
      <c r="B11" s="64"/>
      <c r="C11" s="310">
        <f>'Model (SN)'!C11-'Model (Matrix)'!C11</f>
        <v>0</v>
      </c>
      <c r="D11" s="91">
        <f>'Model (SN)'!D11-'Model (Matrix)'!D11</f>
        <v>0</v>
      </c>
      <c r="E11" s="91">
        <f>'Model (SN)'!E11-'Model (Matrix)'!E11</f>
        <v>0</v>
      </c>
      <c r="F11" s="91">
        <f>'Model (SN)'!F11-'Model (Matrix)'!F11</f>
        <v>0</v>
      </c>
      <c r="G11" s="91">
        <f>'Model (SN)'!G11-'Model (Matrix)'!G11</f>
        <v>0</v>
      </c>
      <c r="H11" s="91">
        <f>'Model (SN)'!H11-'Model (Matrix)'!H11</f>
        <v>0</v>
      </c>
      <c r="I11" s="91">
        <f>'Model (SN)'!I11-'Model (Matrix)'!I11</f>
        <v>0</v>
      </c>
      <c r="J11" s="91">
        <f>'Model (SN)'!J11-'Model (Matrix)'!J11</f>
        <v>0</v>
      </c>
      <c r="K11" s="91">
        <f>'Model (SN)'!K11-'Model (Matrix)'!K11</f>
        <v>0</v>
      </c>
      <c r="L11" s="91">
        <f>'Model (SN)'!L11-'Model (Matrix)'!L11</f>
        <v>0</v>
      </c>
      <c r="M11" s="91">
        <f>'Model (SN)'!M11-'Model (Matrix)'!M11</f>
        <v>0</v>
      </c>
      <c r="N11" s="91">
        <f>'Model (SN)'!N11-'Model (Matrix)'!N11</f>
        <v>0</v>
      </c>
      <c r="O11" s="91">
        <f>'Model (SN)'!O11-'Model (Matrix)'!O11</f>
        <v>0</v>
      </c>
      <c r="P11" s="91">
        <f>'Model (SN)'!P11-'Model (Matrix)'!P11</f>
        <v>0</v>
      </c>
      <c r="Q11" s="91">
        <f>'Model (SN)'!Q11-'Model (Matrix)'!Q11</f>
        <v>0</v>
      </c>
      <c r="R11" s="91">
        <f>'Model (SN)'!R11-'Model (Matrix)'!R11</f>
        <v>0</v>
      </c>
      <c r="S11" s="91">
        <f>'Model (SN)'!S11-'Model (Matrix)'!S11</f>
        <v>0</v>
      </c>
      <c r="T11" s="91">
        <f>'Model (SN)'!T11-'Model (Matrix)'!T11</f>
        <v>0</v>
      </c>
      <c r="U11" s="91">
        <f>'Model (SN)'!U11-'Model (Matrix)'!U11</f>
        <v>0</v>
      </c>
      <c r="V11" s="91">
        <f>'Model (SN)'!V11-'Model (Matrix)'!V11</f>
        <v>0</v>
      </c>
    </row>
    <row r="12" spans="1:22" x14ac:dyDescent="0.25">
      <c r="A12" s="82"/>
      <c r="B12" s="64" t="s">
        <v>124</v>
      </c>
      <c r="C12" s="94">
        <f>'Model (SN)'!C12-'Model (Matrix)'!C12</f>
        <v>0</v>
      </c>
      <c r="D12" s="91">
        <f>'Model (SN)'!D12-'Model (Matrix)'!D12</f>
        <v>0</v>
      </c>
      <c r="E12" s="91">
        <f>'Model (SN)'!E12-'Model (Matrix)'!E12</f>
        <v>0</v>
      </c>
      <c r="F12" s="91">
        <f>'Model (SN)'!F12-'Model (Matrix)'!F12</f>
        <v>0</v>
      </c>
      <c r="G12" s="91">
        <f>'Model (SN)'!G12-'Model (Matrix)'!G12</f>
        <v>0</v>
      </c>
      <c r="H12" s="91">
        <f>'Model (SN)'!H12-'Model (Matrix)'!H12</f>
        <v>0</v>
      </c>
      <c r="I12" s="91">
        <f>'Model (SN)'!I12-'Model (Matrix)'!I12</f>
        <v>0</v>
      </c>
      <c r="J12" s="91">
        <f>'Model (SN)'!J12-'Model (Matrix)'!J12</f>
        <v>0</v>
      </c>
      <c r="K12" s="91">
        <f>'Model (SN)'!K12-'Model (Matrix)'!K12</f>
        <v>0</v>
      </c>
      <c r="L12" s="91">
        <f>'Model (SN)'!L12-'Model (Matrix)'!L12</f>
        <v>0</v>
      </c>
      <c r="M12" s="91">
        <f>'Model (SN)'!M12-'Model (Matrix)'!M12</f>
        <v>0</v>
      </c>
      <c r="N12" s="91">
        <f>'Model (SN)'!N12-'Model (Matrix)'!N12</f>
        <v>0</v>
      </c>
      <c r="O12" s="91">
        <f>'Model (SN)'!O12-'Model (Matrix)'!O12</f>
        <v>0</v>
      </c>
      <c r="P12" s="91">
        <f>'Model (SN)'!P12-'Model (Matrix)'!P12</f>
        <v>0</v>
      </c>
      <c r="Q12" s="91">
        <f>'Model (SN)'!Q12-'Model (Matrix)'!Q12</f>
        <v>0</v>
      </c>
      <c r="R12" s="91">
        <f>'Model (SN)'!R12-'Model (Matrix)'!R12</f>
        <v>0</v>
      </c>
      <c r="S12" s="91">
        <f>'Model (SN)'!S12-'Model (Matrix)'!S12</f>
        <v>0</v>
      </c>
      <c r="T12" s="91">
        <f>'Model (SN)'!T12-'Model (Matrix)'!T12</f>
        <v>0</v>
      </c>
      <c r="U12" s="91">
        <f>'Model (SN)'!U12-'Model (Matrix)'!U12</f>
        <v>0</v>
      </c>
      <c r="V12" s="91">
        <f>'Model (SN)'!V12-'Model (Matrix)'!V12</f>
        <v>0</v>
      </c>
    </row>
    <row r="13" spans="1:22" x14ac:dyDescent="0.25">
      <c r="A13" s="82"/>
      <c r="B13" s="64" t="s">
        <v>630</v>
      </c>
      <c r="C13" s="94">
        <f>'Model (SN)'!C13-'Model (Matrix)'!C13</f>
        <v>0</v>
      </c>
      <c r="D13" s="91">
        <f>'Model (SN)'!D13-'Model (Matrix)'!D13</f>
        <v>0</v>
      </c>
      <c r="E13" s="91">
        <f>'Model (SN)'!E13-'Model (Matrix)'!E13</f>
        <v>0</v>
      </c>
      <c r="F13" s="91">
        <f>'Model (SN)'!F13-'Model (Matrix)'!F13</f>
        <v>0</v>
      </c>
      <c r="G13" s="91">
        <f>'Model (SN)'!G13-'Model (Matrix)'!G13</f>
        <v>0</v>
      </c>
      <c r="H13" s="91">
        <f>'Model (SN)'!H13-'Model (Matrix)'!H13</f>
        <v>0</v>
      </c>
      <c r="I13" s="91">
        <f>'Model (SN)'!I13-'Model (Matrix)'!I13</f>
        <v>0</v>
      </c>
      <c r="J13" s="91">
        <f>'Model (SN)'!J13-'Model (Matrix)'!J13</f>
        <v>0</v>
      </c>
      <c r="K13" s="91">
        <f>'Model (SN)'!K13-'Model (Matrix)'!K13</f>
        <v>0</v>
      </c>
      <c r="L13" s="91">
        <f>'Model (SN)'!L13-'Model (Matrix)'!L13</f>
        <v>0</v>
      </c>
      <c r="M13" s="91">
        <f>'Model (SN)'!M13-'Model (Matrix)'!M13</f>
        <v>0</v>
      </c>
      <c r="N13" s="91">
        <f>'Model (SN)'!N13-'Model (Matrix)'!N13</f>
        <v>0</v>
      </c>
      <c r="O13" s="91">
        <f>'Model (SN)'!O13-'Model (Matrix)'!O13</f>
        <v>0</v>
      </c>
      <c r="P13" s="91">
        <f>'Model (SN)'!P13-'Model (Matrix)'!P13</f>
        <v>0</v>
      </c>
      <c r="Q13" s="91">
        <f>'Model (SN)'!Q13-'Model (Matrix)'!Q13</f>
        <v>0</v>
      </c>
      <c r="R13" s="91">
        <f>'Model (SN)'!R13-'Model (Matrix)'!R13</f>
        <v>0</v>
      </c>
      <c r="S13" s="91">
        <f>'Model (SN)'!S13-'Model (Matrix)'!S13</f>
        <v>0</v>
      </c>
      <c r="T13" s="91">
        <f>'Model (SN)'!T13-'Model (Matrix)'!T13</f>
        <v>0</v>
      </c>
      <c r="U13" s="91">
        <f>'Model (SN)'!U13-'Model (Matrix)'!U13</f>
        <v>0</v>
      </c>
      <c r="V13" s="91">
        <f>'Model (SN)'!V13-'Model (Matrix)'!V13</f>
        <v>0</v>
      </c>
    </row>
    <row r="14" spans="1:22" x14ac:dyDescent="0.25">
      <c r="A14" s="82"/>
      <c r="B14" s="64" t="s">
        <v>132</v>
      </c>
      <c r="C14" s="94">
        <f>'Model (SN)'!C14-'Model (Matrix)'!C14</f>
        <v>0</v>
      </c>
      <c r="D14" s="91">
        <f>'Model (SN)'!D14-'Model (Matrix)'!D14</f>
        <v>0</v>
      </c>
      <c r="E14" s="91">
        <f>'Model (SN)'!E14-'Model (Matrix)'!E14</f>
        <v>0</v>
      </c>
      <c r="F14" s="91">
        <f>'Model (SN)'!F14-'Model (Matrix)'!F14</f>
        <v>0</v>
      </c>
      <c r="G14" s="91">
        <f>'Model (SN)'!G14-'Model (Matrix)'!G14</f>
        <v>0</v>
      </c>
      <c r="H14" s="91">
        <f>'Model (SN)'!H14-'Model (Matrix)'!H14</f>
        <v>0</v>
      </c>
      <c r="I14" s="91">
        <f>'Model (SN)'!I14-'Model (Matrix)'!I14</f>
        <v>0</v>
      </c>
      <c r="J14" s="91">
        <f>'Model (SN)'!J14-'Model (Matrix)'!J14</f>
        <v>0</v>
      </c>
      <c r="K14" s="91">
        <f>'Model (SN)'!K14-'Model (Matrix)'!K14</f>
        <v>0</v>
      </c>
      <c r="L14" s="91">
        <f>'Model (SN)'!L14-'Model (Matrix)'!L14</f>
        <v>0</v>
      </c>
      <c r="M14" s="91">
        <f>'Model (SN)'!M14-'Model (Matrix)'!M14</f>
        <v>0</v>
      </c>
      <c r="N14" s="91">
        <f>'Model (SN)'!N14-'Model (Matrix)'!N14</f>
        <v>0</v>
      </c>
      <c r="O14" s="91">
        <f>'Model (SN)'!O14-'Model (Matrix)'!O14</f>
        <v>0</v>
      </c>
      <c r="P14" s="91">
        <f>'Model (SN)'!P14-'Model (Matrix)'!P14</f>
        <v>0</v>
      </c>
      <c r="Q14" s="91">
        <f>'Model (SN)'!Q14-'Model (Matrix)'!Q14</f>
        <v>0</v>
      </c>
      <c r="R14" s="91">
        <f>'Model (SN)'!R14-'Model (Matrix)'!R14</f>
        <v>0</v>
      </c>
      <c r="S14" s="91">
        <f>'Model (SN)'!S14-'Model (Matrix)'!S14</f>
        <v>0</v>
      </c>
      <c r="T14" s="91">
        <f>'Model (SN)'!T14-'Model (Matrix)'!T14</f>
        <v>0</v>
      </c>
      <c r="U14" s="91">
        <f>'Model (SN)'!U14-'Model (Matrix)'!U14</f>
        <v>0</v>
      </c>
      <c r="V14" s="91">
        <f>'Model (SN)'!V14-'Model (Matrix)'!V14</f>
        <v>0</v>
      </c>
    </row>
    <row r="15" spans="1:22" x14ac:dyDescent="0.25">
      <c r="A15" s="82"/>
      <c r="B15" s="64" t="s">
        <v>133</v>
      </c>
      <c r="C15" s="94">
        <f>'Model (SN)'!C15-'Model (Matrix)'!C15</f>
        <v>0</v>
      </c>
      <c r="D15" s="91">
        <f>'Model (SN)'!D15-'Model (Matrix)'!D15</f>
        <v>0</v>
      </c>
      <c r="E15" s="91">
        <f>'Model (SN)'!E15-'Model (Matrix)'!E15</f>
        <v>0</v>
      </c>
      <c r="F15" s="91">
        <f>'Model (SN)'!F15-'Model (Matrix)'!F15</f>
        <v>0</v>
      </c>
      <c r="G15" s="91">
        <f>'Model (SN)'!G15-'Model (Matrix)'!G15</f>
        <v>0</v>
      </c>
      <c r="H15" s="91">
        <f>'Model (SN)'!H15-'Model (Matrix)'!H15</f>
        <v>0</v>
      </c>
      <c r="I15" s="91">
        <f>'Model (SN)'!I15-'Model (Matrix)'!I15</f>
        <v>0</v>
      </c>
      <c r="J15" s="91">
        <f>'Model (SN)'!J15-'Model (Matrix)'!J15</f>
        <v>0</v>
      </c>
      <c r="K15" s="91">
        <f>'Model (SN)'!K15-'Model (Matrix)'!K15</f>
        <v>0</v>
      </c>
      <c r="L15" s="91">
        <f>'Model (SN)'!L15-'Model (Matrix)'!L15</f>
        <v>0</v>
      </c>
      <c r="M15" s="91">
        <f>'Model (SN)'!M15-'Model (Matrix)'!M15</f>
        <v>0</v>
      </c>
      <c r="N15" s="91">
        <f>'Model (SN)'!N15-'Model (Matrix)'!N15</f>
        <v>0</v>
      </c>
      <c r="O15" s="91">
        <f>'Model (SN)'!O15-'Model (Matrix)'!O15</f>
        <v>0</v>
      </c>
      <c r="P15" s="91">
        <f>'Model (SN)'!P15-'Model (Matrix)'!P15</f>
        <v>0</v>
      </c>
      <c r="Q15" s="91">
        <f>'Model (SN)'!Q15-'Model (Matrix)'!Q15</f>
        <v>0</v>
      </c>
      <c r="R15" s="91">
        <f>'Model (SN)'!R15-'Model (Matrix)'!R15</f>
        <v>0</v>
      </c>
      <c r="S15" s="91">
        <f>'Model (SN)'!S15-'Model (Matrix)'!S15</f>
        <v>0</v>
      </c>
      <c r="T15" s="91">
        <f>'Model (SN)'!T15-'Model (Matrix)'!T15</f>
        <v>0</v>
      </c>
      <c r="U15" s="91">
        <f>'Model (SN)'!U15-'Model (Matrix)'!U15</f>
        <v>0</v>
      </c>
      <c r="V15" s="91">
        <f>'Model (SN)'!V15-'Model (Matrix)'!V15</f>
        <v>0</v>
      </c>
    </row>
    <row r="16" spans="1:22" x14ac:dyDescent="0.25">
      <c r="A16" s="82"/>
      <c r="B16" s="64" t="s">
        <v>570</v>
      </c>
      <c r="C16" s="94">
        <f>'Model (SN)'!C16-'Model (Matrix)'!C16</f>
        <v>0</v>
      </c>
      <c r="D16" s="91">
        <f>'Model (SN)'!D16-'Model (Matrix)'!D16</f>
        <v>0</v>
      </c>
      <c r="E16" s="91">
        <f>'Model (SN)'!E16-'Model (Matrix)'!E16</f>
        <v>0</v>
      </c>
      <c r="F16" s="91">
        <f>'Model (SN)'!F16-'Model (Matrix)'!F16</f>
        <v>0</v>
      </c>
      <c r="G16" s="91">
        <f>'Model (SN)'!G16-'Model (Matrix)'!G16</f>
        <v>0</v>
      </c>
      <c r="H16" s="91">
        <f>'Model (SN)'!H16-'Model (Matrix)'!H16</f>
        <v>0</v>
      </c>
      <c r="I16" s="91">
        <f>'Model (SN)'!I16-'Model (Matrix)'!I16</f>
        <v>0</v>
      </c>
      <c r="J16" s="91">
        <f>'Model (SN)'!J16-'Model (Matrix)'!J16</f>
        <v>0</v>
      </c>
      <c r="K16" s="91">
        <f>'Model (SN)'!K16-'Model (Matrix)'!K16</f>
        <v>0</v>
      </c>
      <c r="L16" s="91">
        <f>'Model (SN)'!L16-'Model (Matrix)'!L16</f>
        <v>0</v>
      </c>
      <c r="M16" s="91">
        <f>'Model (SN)'!M16-'Model (Matrix)'!M16</f>
        <v>0</v>
      </c>
      <c r="N16" s="91">
        <f>'Model (SN)'!N16-'Model (Matrix)'!N16</f>
        <v>0</v>
      </c>
      <c r="O16" s="91">
        <f>'Model (SN)'!O16-'Model (Matrix)'!O16</f>
        <v>0</v>
      </c>
      <c r="P16" s="91">
        <f>'Model (SN)'!P16-'Model (Matrix)'!P16</f>
        <v>0</v>
      </c>
      <c r="Q16" s="91">
        <f>'Model (SN)'!Q16-'Model (Matrix)'!Q16</f>
        <v>0</v>
      </c>
      <c r="R16" s="91">
        <f>'Model (SN)'!R16-'Model (Matrix)'!R16</f>
        <v>0</v>
      </c>
      <c r="S16" s="91">
        <f>'Model (SN)'!S16-'Model (Matrix)'!S16</f>
        <v>0</v>
      </c>
      <c r="T16" s="91">
        <f>'Model (SN)'!T16-'Model (Matrix)'!T16</f>
        <v>0</v>
      </c>
      <c r="U16" s="91">
        <f>'Model (SN)'!U16-'Model (Matrix)'!U16</f>
        <v>0</v>
      </c>
      <c r="V16" s="91">
        <f>'Model (SN)'!V16-'Model (Matrix)'!V16</f>
        <v>0</v>
      </c>
    </row>
    <row r="17" spans="1:22" x14ac:dyDescent="0.25">
      <c r="A17" s="82"/>
      <c r="B17" s="63" t="s">
        <v>134</v>
      </c>
      <c r="C17" s="94">
        <f>'Model (SN)'!C17-'Model (Matrix)'!C17</f>
        <v>0</v>
      </c>
      <c r="D17" s="91">
        <f>'Model (SN)'!D17-'Model (Matrix)'!D17</f>
        <v>0</v>
      </c>
      <c r="E17" s="91">
        <f>'Model (SN)'!E17-'Model (Matrix)'!E17</f>
        <v>0</v>
      </c>
      <c r="F17" s="91">
        <f>'Model (SN)'!F17-'Model (Matrix)'!F17</f>
        <v>0</v>
      </c>
      <c r="G17" s="91">
        <f>'Model (SN)'!G17-'Model (Matrix)'!G17</f>
        <v>0</v>
      </c>
      <c r="H17" s="91">
        <f>'Model (SN)'!H17-'Model (Matrix)'!H17</f>
        <v>0</v>
      </c>
      <c r="I17" s="91">
        <f>'Model (SN)'!I17-'Model (Matrix)'!I17</f>
        <v>0</v>
      </c>
      <c r="J17" s="91">
        <f>'Model (SN)'!J17-'Model (Matrix)'!J17</f>
        <v>0</v>
      </c>
      <c r="K17" s="91">
        <f>'Model (SN)'!K17-'Model (Matrix)'!K17</f>
        <v>0</v>
      </c>
      <c r="L17" s="91">
        <f>'Model (SN)'!L17-'Model (Matrix)'!L17</f>
        <v>0</v>
      </c>
      <c r="M17" s="91">
        <f>'Model (SN)'!M17-'Model (Matrix)'!M17</f>
        <v>0</v>
      </c>
      <c r="N17" s="91">
        <f>'Model (SN)'!N17-'Model (Matrix)'!N17</f>
        <v>0</v>
      </c>
      <c r="O17" s="91">
        <f>'Model (SN)'!O17-'Model (Matrix)'!O17</f>
        <v>0</v>
      </c>
      <c r="P17" s="91">
        <f>'Model (SN)'!P17-'Model (Matrix)'!P17</f>
        <v>0</v>
      </c>
      <c r="Q17" s="91">
        <f>'Model (SN)'!Q17-'Model (Matrix)'!Q17</f>
        <v>0</v>
      </c>
      <c r="R17" s="91">
        <f>'Model (SN)'!R17-'Model (Matrix)'!R17</f>
        <v>0</v>
      </c>
      <c r="S17" s="91">
        <f>'Model (SN)'!S17-'Model (Matrix)'!S17</f>
        <v>0</v>
      </c>
      <c r="T17" s="91">
        <f>'Model (SN)'!T17-'Model (Matrix)'!T17</f>
        <v>0</v>
      </c>
      <c r="U17" s="91">
        <f>'Model (SN)'!U17-'Model (Matrix)'!U17</f>
        <v>0</v>
      </c>
      <c r="V17" s="91">
        <f>'Model (SN)'!V17-'Model (Matrix)'!V17</f>
        <v>0</v>
      </c>
    </row>
    <row r="18" spans="1:22" x14ac:dyDescent="0.25">
      <c r="A18" s="82"/>
      <c r="B18" s="63" t="s">
        <v>730</v>
      </c>
      <c r="C18" s="94">
        <f>'Model (SN)'!C18-'Model (Matrix)'!C18</f>
        <v>0</v>
      </c>
      <c r="D18" s="91">
        <f>'Model (SN)'!D18-'Model (Matrix)'!D18</f>
        <v>0</v>
      </c>
      <c r="E18" s="91">
        <f>'Model (SN)'!E18-'Model (Matrix)'!E18</f>
        <v>0</v>
      </c>
      <c r="F18" s="91">
        <f>'Model (SN)'!F18-'Model (Matrix)'!F18</f>
        <v>0</v>
      </c>
      <c r="G18" s="91">
        <f>'Model (SN)'!G18-'Model (Matrix)'!G18</f>
        <v>0</v>
      </c>
      <c r="H18" s="91">
        <f>'Model (SN)'!H18-'Model (Matrix)'!H18</f>
        <v>0</v>
      </c>
      <c r="I18" s="91">
        <f>'Model (SN)'!I18-'Model (Matrix)'!I18</f>
        <v>0</v>
      </c>
      <c r="J18" s="91">
        <f>'Model (SN)'!J18-'Model (Matrix)'!J18</f>
        <v>0</v>
      </c>
      <c r="K18" s="91">
        <f>'Model (SN)'!K18-'Model (Matrix)'!K18</f>
        <v>0</v>
      </c>
      <c r="L18" s="91">
        <f>'Model (SN)'!L18-'Model (Matrix)'!L18</f>
        <v>0</v>
      </c>
      <c r="M18" s="91">
        <f>'Model (SN)'!M18-'Model (Matrix)'!M18</f>
        <v>0</v>
      </c>
      <c r="N18" s="91">
        <f>'Model (SN)'!N18-'Model (Matrix)'!N18</f>
        <v>0</v>
      </c>
      <c r="O18" s="91">
        <f>'Model (SN)'!O18-'Model (Matrix)'!O18</f>
        <v>0</v>
      </c>
      <c r="P18" s="91">
        <f>'Model (SN)'!P18-'Model (Matrix)'!P18</f>
        <v>0</v>
      </c>
      <c r="Q18" s="91">
        <f>'Model (SN)'!Q18-'Model (Matrix)'!Q18</f>
        <v>0</v>
      </c>
      <c r="R18" s="91">
        <f>'Model (SN)'!R18-'Model (Matrix)'!R18</f>
        <v>0</v>
      </c>
      <c r="S18" s="91">
        <f>'Model (SN)'!S18-'Model (Matrix)'!S18</f>
        <v>0</v>
      </c>
      <c r="T18" s="91">
        <f>'Model (SN)'!T18-'Model (Matrix)'!T18</f>
        <v>0</v>
      </c>
      <c r="U18" s="91">
        <f>'Model (SN)'!U18-'Model (Matrix)'!U18</f>
        <v>0</v>
      </c>
      <c r="V18" s="91">
        <f>'Model (SN)'!V18-'Model (Matrix)'!V18</f>
        <v>0</v>
      </c>
    </row>
    <row r="19" spans="1:22" x14ac:dyDescent="0.25">
      <c r="A19" s="82"/>
      <c r="B19" s="63" t="s">
        <v>135</v>
      </c>
      <c r="C19" s="94">
        <f>'Model (SN)'!C19-'Model (Matrix)'!C19</f>
        <v>0</v>
      </c>
      <c r="D19" s="91">
        <f>'Model (SN)'!D19-'Model (Matrix)'!D19</f>
        <v>0</v>
      </c>
      <c r="E19" s="91">
        <f>'Model (SN)'!E19-'Model (Matrix)'!E19</f>
        <v>0</v>
      </c>
      <c r="F19" s="91">
        <f>'Model (SN)'!F19-'Model (Matrix)'!F19</f>
        <v>0</v>
      </c>
      <c r="G19" s="91">
        <f>'Model (SN)'!G19-'Model (Matrix)'!G19</f>
        <v>0</v>
      </c>
      <c r="H19" s="91">
        <f>'Model (SN)'!H19-'Model (Matrix)'!H19</f>
        <v>0</v>
      </c>
      <c r="I19" s="91">
        <f>'Model (SN)'!I19-'Model (Matrix)'!I19</f>
        <v>0</v>
      </c>
      <c r="J19" s="91">
        <f>'Model (SN)'!J19-'Model (Matrix)'!J19</f>
        <v>0</v>
      </c>
      <c r="K19" s="91">
        <f>'Model (SN)'!K19-'Model (Matrix)'!K19</f>
        <v>0</v>
      </c>
      <c r="L19" s="91">
        <f>'Model (SN)'!L19-'Model (Matrix)'!L19</f>
        <v>0</v>
      </c>
      <c r="M19" s="91">
        <f>'Model (SN)'!M19-'Model (Matrix)'!M19</f>
        <v>0</v>
      </c>
      <c r="N19" s="91">
        <f>'Model (SN)'!N19-'Model (Matrix)'!N19</f>
        <v>0</v>
      </c>
      <c r="O19" s="91">
        <f>'Model (SN)'!O19-'Model (Matrix)'!O19</f>
        <v>0</v>
      </c>
      <c r="P19" s="91">
        <f>'Model (SN)'!P19-'Model (Matrix)'!P19</f>
        <v>0</v>
      </c>
      <c r="Q19" s="91">
        <f>'Model (SN)'!Q19-'Model (Matrix)'!Q19</f>
        <v>0</v>
      </c>
      <c r="R19" s="91">
        <f>'Model (SN)'!R19-'Model (Matrix)'!R19</f>
        <v>0</v>
      </c>
      <c r="S19" s="91">
        <f>'Model (SN)'!S19-'Model (Matrix)'!S19</f>
        <v>0</v>
      </c>
      <c r="T19" s="91">
        <f>'Model (SN)'!T19-'Model (Matrix)'!T19</f>
        <v>0</v>
      </c>
      <c r="U19" s="91">
        <f>'Model (SN)'!U19-'Model (Matrix)'!U19</f>
        <v>0</v>
      </c>
      <c r="V19" s="91">
        <f>'Model (SN)'!V19-'Model (Matrix)'!V19</f>
        <v>0</v>
      </c>
    </row>
    <row r="20" spans="1:22" x14ac:dyDescent="0.25">
      <c r="A20" s="82"/>
      <c r="B20" s="63" t="s">
        <v>136</v>
      </c>
      <c r="C20" s="94">
        <f>'Model (SN)'!C20-'Model (Matrix)'!C20</f>
        <v>0</v>
      </c>
      <c r="D20" s="91">
        <f>'Model (SN)'!D20-'Model (Matrix)'!D20</f>
        <v>0</v>
      </c>
      <c r="E20" s="91">
        <f>'Model (SN)'!E20-'Model (Matrix)'!E20</f>
        <v>0</v>
      </c>
      <c r="F20" s="91">
        <f>'Model (SN)'!F20-'Model (Matrix)'!F20</f>
        <v>0</v>
      </c>
      <c r="G20" s="91">
        <f>'Model (SN)'!G20-'Model (Matrix)'!G20</f>
        <v>0</v>
      </c>
      <c r="H20" s="91">
        <f>'Model (SN)'!H20-'Model (Matrix)'!H20</f>
        <v>0</v>
      </c>
      <c r="I20" s="91">
        <f>'Model (SN)'!I20-'Model (Matrix)'!I20</f>
        <v>0</v>
      </c>
      <c r="J20" s="91">
        <f>'Model (SN)'!J20-'Model (Matrix)'!J20</f>
        <v>0</v>
      </c>
      <c r="K20" s="91">
        <f>'Model (SN)'!K20-'Model (Matrix)'!K20</f>
        <v>0</v>
      </c>
      <c r="L20" s="91">
        <f>'Model (SN)'!L20-'Model (Matrix)'!L20</f>
        <v>0</v>
      </c>
      <c r="M20" s="91">
        <f>'Model (SN)'!M20-'Model (Matrix)'!M20</f>
        <v>0</v>
      </c>
      <c r="N20" s="91">
        <f>'Model (SN)'!N20-'Model (Matrix)'!N20</f>
        <v>0</v>
      </c>
      <c r="O20" s="91">
        <f>'Model (SN)'!O20-'Model (Matrix)'!O20</f>
        <v>0</v>
      </c>
      <c r="P20" s="91">
        <f>'Model (SN)'!P20-'Model (Matrix)'!P20</f>
        <v>0</v>
      </c>
      <c r="Q20" s="91">
        <f>'Model (SN)'!Q20-'Model (Matrix)'!Q20</f>
        <v>0</v>
      </c>
      <c r="R20" s="91">
        <f>'Model (SN)'!R20-'Model (Matrix)'!R20</f>
        <v>0</v>
      </c>
      <c r="S20" s="91">
        <f>'Model (SN)'!S20-'Model (Matrix)'!S20</f>
        <v>0</v>
      </c>
      <c r="T20" s="91">
        <f>'Model (SN)'!T20-'Model (Matrix)'!T20</f>
        <v>0</v>
      </c>
      <c r="U20" s="91">
        <f>'Model (SN)'!U20-'Model (Matrix)'!U20</f>
        <v>0</v>
      </c>
      <c r="V20" s="91">
        <f>'Model (SN)'!V20-'Model (Matrix)'!V20</f>
        <v>0</v>
      </c>
    </row>
    <row r="21" spans="1:22" x14ac:dyDescent="0.25">
      <c r="A21" s="82"/>
      <c r="B21" s="63" t="s">
        <v>137</v>
      </c>
      <c r="C21" s="94">
        <f>'Model (SN)'!C21-'Model (Matrix)'!C21</f>
        <v>0</v>
      </c>
      <c r="D21" s="202">
        <f>'Model (SN)'!D21-'Model (Matrix)'!D21</f>
        <v>0</v>
      </c>
      <c r="E21" s="202">
        <f>'Model (SN)'!E21-'Model (Matrix)'!E21</f>
        <v>0</v>
      </c>
      <c r="F21" s="202">
        <f>'Model (SN)'!F21-'Model (Matrix)'!F21</f>
        <v>0</v>
      </c>
      <c r="G21" s="202">
        <f>'Model (SN)'!G21-'Model (Matrix)'!G21</f>
        <v>0</v>
      </c>
      <c r="H21" s="202">
        <f>'Model (SN)'!H21-'Model (Matrix)'!H21</f>
        <v>0</v>
      </c>
      <c r="I21" s="202">
        <f>'Model (SN)'!I21-'Model (Matrix)'!I21</f>
        <v>0</v>
      </c>
      <c r="J21" s="91">
        <f>'Model (SN)'!J21-'Model (Matrix)'!J21</f>
        <v>0</v>
      </c>
      <c r="K21" s="91">
        <f>'Model (SN)'!K21-'Model (Matrix)'!K21</f>
        <v>0</v>
      </c>
      <c r="L21" s="91">
        <f>'Model (SN)'!L21-'Model (Matrix)'!L21</f>
        <v>0</v>
      </c>
      <c r="M21" s="91">
        <f>'Model (SN)'!M21-'Model (Matrix)'!M21</f>
        <v>0</v>
      </c>
      <c r="N21" s="91">
        <f>'Model (SN)'!N21-'Model (Matrix)'!N21</f>
        <v>0</v>
      </c>
      <c r="O21" s="91">
        <f>'Model (SN)'!O21-'Model (Matrix)'!O21</f>
        <v>0</v>
      </c>
      <c r="P21" s="91">
        <f>'Model (SN)'!P21-'Model (Matrix)'!P21</f>
        <v>0</v>
      </c>
      <c r="Q21" s="91">
        <f>'Model (SN)'!Q21-'Model (Matrix)'!Q21</f>
        <v>0</v>
      </c>
      <c r="R21" s="91">
        <f>'Model (SN)'!R21-'Model (Matrix)'!R21</f>
        <v>0</v>
      </c>
      <c r="S21" s="91">
        <f>'Model (SN)'!S21-'Model (Matrix)'!S21</f>
        <v>0</v>
      </c>
      <c r="T21" s="91">
        <f>'Model (SN)'!T21-'Model (Matrix)'!T21</f>
        <v>0</v>
      </c>
      <c r="U21" s="91">
        <f>'Model (SN)'!U21-'Model (Matrix)'!U21</f>
        <v>0</v>
      </c>
      <c r="V21" s="91">
        <f>'Model (SN)'!V21-'Model (Matrix)'!V21</f>
        <v>0</v>
      </c>
    </row>
    <row r="22" spans="1:22" x14ac:dyDescent="0.25">
      <c r="A22" s="82"/>
      <c r="B22" s="63" t="s">
        <v>138</v>
      </c>
      <c r="C22" s="94">
        <f>'Model (SN)'!C22-'Model (Matrix)'!C22</f>
        <v>0</v>
      </c>
      <c r="D22" s="91">
        <f>'Model (SN)'!D22-'Model (Matrix)'!D22</f>
        <v>0</v>
      </c>
      <c r="E22" s="91">
        <f>'Model (SN)'!E22-'Model (Matrix)'!E22</f>
        <v>0</v>
      </c>
      <c r="F22" s="91">
        <f>'Model (SN)'!F22-'Model (Matrix)'!F22</f>
        <v>0</v>
      </c>
      <c r="G22" s="91">
        <f>'Model (SN)'!G22-'Model (Matrix)'!G22</f>
        <v>0</v>
      </c>
      <c r="H22" s="91">
        <f>'Model (SN)'!H22-'Model (Matrix)'!H22</f>
        <v>0</v>
      </c>
      <c r="I22" s="91">
        <f>'Model (SN)'!I22-'Model (Matrix)'!I22</f>
        <v>0</v>
      </c>
      <c r="J22" s="91">
        <f>'Model (SN)'!J22-'Model (Matrix)'!J22</f>
        <v>0</v>
      </c>
      <c r="K22" s="91">
        <f>'Model (SN)'!K22-'Model (Matrix)'!K22</f>
        <v>0</v>
      </c>
      <c r="L22" s="91">
        <f>'Model (SN)'!L22-'Model (Matrix)'!L22</f>
        <v>0</v>
      </c>
      <c r="M22" s="91">
        <f>'Model (SN)'!M22-'Model (Matrix)'!M22</f>
        <v>0</v>
      </c>
      <c r="N22" s="91">
        <f>'Model (SN)'!N22-'Model (Matrix)'!N22</f>
        <v>0</v>
      </c>
      <c r="O22" s="91">
        <f>'Model (SN)'!O22-'Model (Matrix)'!O22</f>
        <v>0</v>
      </c>
      <c r="P22" s="91">
        <f>'Model (SN)'!P22-'Model (Matrix)'!P22</f>
        <v>0</v>
      </c>
      <c r="Q22" s="91">
        <f>'Model (SN)'!Q22-'Model (Matrix)'!Q22</f>
        <v>0</v>
      </c>
      <c r="R22" s="91">
        <f>'Model (SN)'!R22-'Model (Matrix)'!R22</f>
        <v>0</v>
      </c>
      <c r="S22" s="91">
        <f>'Model (SN)'!S22-'Model (Matrix)'!S22</f>
        <v>0</v>
      </c>
      <c r="T22" s="91">
        <f>'Model (SN)'!T22-'Model (Matrix)'!T22</f>
        <v>0</v>
      </c>
      <c r="U22" s="91">
        <f>'Model (SN)'!U22-'Model (Matrix)'!U22</f>
        <v>0</v>
      </c>
      <c r="V22" s="91">
        <f>'Model (SN)'!V22-'Model (Matrix)'!V22</f>
        <v>0</v>
      </c>
    </row>
    <row r="23" spans="1:22" x14ac:dyDescent="0.25">
      <c r="A23" s="82"/>
      <c r="B23" s="63" t="s">
        <v>139</v>
      </c>
      <c r="C23" s="94">
        <f>'Model (SN)'!C23-'Model (Matrix)'!C23</f>
        <v>0</v>
      </c>
      <c r="D23" s="91">
        <f>'Model (SN)'!D23-'Model (Matrix)'!D23</f>
        <v>0</v>
      </c>
      <c r="E23" s="91">
        <f>'Model (SN)'!E23-'Model (Matrix)'!E23</f>
        <v>0</v>
      </c>
      <c r="F23" s="91">
        <f>'Model (SN)'!F23-'Model (Matrix)'!F23</f>
        <v>0</v>
      </c>
      <c r="G23" s="91">
        <f>'Model (SN)'!G23-'Model (Matrix)'!G23</f>
        <v>0</v>
      </c>
      <c r="H23" s="91">
        <f>'Model (SN)'!H23-'Model (Matrix)'!H23</f>
        <v>0</v>
      </c>
      <c r="I23" s="91">
        <f>'Model (SN)'!I23-'Model (Matrix)'!I23</f>
        <v>0</v>
      </c>
      <c r="J23" s="91">
        <f>'Model (SN)'!J23-'Model (Matrix)'!J23</f>
        <v>0</v>
      </c>
      <c r="K23" s="91">
        <f>'Model (SN)'!K23-'Model (Matrix)'!K23</f>
        <v>0</v>
      </c>
      <c r="L23" s="91">
        <f>'Model (SN)'!L23-'Model (Matrix)'!L23</f>
        <v>0</v>
      </c>
      <c r="M23" s="91">
        <f>'Model (SN)'!M23-'Model (Matrix)'!M23</f>
        <v>0</v>
      </c>
      <c r="N23" s="91">
        <f>'Model (SN)'!N23-'Model (Matrix)'!N23</f>
        <v>0</v>
      </c>
      <c r="O23" s="91">
        <f>'Model (SN)'!O23-'Model (Matrix)'!O23</f>
        <v>0</v>
      </c>
      <c r="P23" s="91">
        <f>'Model (SN)'!P23-'Model (Matrix)'!P23</f>
        <v>0</v>
      </c>
      <c r="Q23" s="91">
        <f>'Model (SN)'!Q23-'Model (Matrix)'!Q23</f>
        <v>0</v>
      </c>
      <c r="R23" s="91">
        <f>'Model (SN)'!R23-'Model (Matrix)'!R23</f>
        <v>0</v>
      </c>
      <c r="S23" s="91">
        <f>'Model (SN)'!S23-'Model (Matrix)'!S23</f>
        <v>0</v>
      </c>
      <c r="T23" s="91">
        <f>'Model (SN)'!T23-'Model (Matrix)'!T23</f>
        <v>0</v>
      </c>
      <c r="U23" s="91">
        <f>'Model (SN)'!U23-'Model (Matrix)'!U23</f>
        <v>0</v>
      </c>
      <c r="V23" s="91">
        <f>'Model (SN)'!V23-'Model (Matrix)'!V23</f>
        <v>0</v>
      </c>
    </row>
    <row r="24" spans="1:22" x14ac:dyDescent="0.25">
      <c r="A24" s="82"/>
      <c r="B24" s="63" t="s">
        <v>127</v>
      </c>
      <c r="C24" s="94">
        <f>'Model (SN)'!C24-'Model (Matrix)'!C24</f>
        <v>0</v>
      </c>
      <c r="D24" s="91">
        <f>'Model (SN)'!D24-'Model (Matrix)'!D24</f>
        <v>0</v>
      </c>
      <c r="E24" s="91">
        <f>'Model (SN)'!E24-'Model (Matrix)'!E24</f>
        <v>0</v>
      </c>
      <c r="F24" s="91">
        <f>'Model (SN)'!F24-'Model (Matrix)'!F24</f>
        <v>0</v>
      </c>
      <c r="G24" s="91">
        <f>'Model (SN)'!G24-'Model (Matrix)'!G24</f>
        <v>0</v>
      </c>
      <c r="H24" s="91">
        <f>'Model (SN)'!H24-'Model (Matrix)'!H24</f>
        <v>0</v>
      </c>
      <c r="I24" s="91">
        <f>'Model (SN)'!I24-'Model (Matrix)'!I24</f>
        <v>0</v>
      </c>
      <c r="J24" s="91">
        <f>'Model (SN)'!J24-'Model (Matrix)'!J24</f>
        <v>0</v>
      </c>
      <c r="K24" s="91">
        <f>'Model (SN)'!K24-'Model (Matrix)'!K24</f>
        <v>0</v>
      </c>
      <c r="L24" s="91">
        <f>'Model (SN)'!L24-'Model (Matrix)'!L24</f>
        <v>0</v>
      </c>
      <c r="M24" s="91">
        <f>'Model (SN)'!M24-'Model (Matrix)'!M24</f>
        <v>0</v>
      </c>
      <c r="N24" s="91">
        <f>'Model (SN)'!N24-'Model (Matrix)'!N24</f>
        <v>0</v>
      </c>
      <c r="O24" s="91">
        <f>'Model (SN)'!O24-'Model (Matrix)'!O24</f>
        <v>0</v>
      </c>
      <c r="P24" s="91">
        <f>'Model (SN)'!P24-'Model (Matrix)'!P24</f>
        <v>0</v>
      </c>
      <c r="Q24" s="91">
        <f>'Model (SN)'!Q24-'Model (Matrix)'!Q24</f>
        <v>0</v>
      </c>
      <c r="R24" s="91">
        <f>'Model (SN)'!R24-'Model (Matrix)'!R24</f>
        <v>0</v>
      </c>
      <c r="S24" s="91">
        <f>'Model (SN)'!S24-'Model (Matrix)'!S24</f>
        <v>0</v>
      </c>
      <c r="T24" s="91">
        <f>'Model (SN)'!T24-'Model (Matrix)'!T24</f>
        <v>0</v>
      </c>
      <c r="U24" s="91">
        <f>'Model (SN)'!U24-'Model (Matrix)'!U24</f>
        <v>0</v>
      </c>
      <c r="V24" s="91">
        <f>'Model (SN)'!V24-'Model (Matrix)'!V24</f>
        <v>0</v>
      </c>
    </row>
    <row r="25" spans="1:22" x14ac:dyDescent="0.25">
      <c r="A25" s="82"/>
      <c r="B25" s="63" t="s">
        <v>128</v>
      </c>
      <c r="C25" s="94">
        <f>'Model (SN)'!C25-'Model (Matrix)'!C25</f>
        <v>0</v>
      </c>
      <c r="D25" s="91">
        <f>'Model (SN)'!D25-'Model (Matrix)'!D25</f>
        <v>0</v>
      </c>
      <c r="E25" s="91">
        <f>'Model (SN)'!E25-'Model (Matrix)'!E25</f>
        <v>0</v>
      </c>
      <c r="F25" s="91">
        <f>'Model (SN)'!F25-'Model (Matrix)'!F25</f>
        <v>0</v>
      </c>
      <c r="G25" s="91">
        <f>'Model (SN)'!G25-'Model (Matrix)'!G25</f>
        <v>0</v>
      </c>
      <c r="H25" s="91">
        <f>'Model (SN)'!H25-'Model (Matrix)'!H25</f>
        <v>0</v>
      </c>
      <c r="I25" s="91">
        <f>'Model (SN)'!I25-'Model (Matrix)'!I25</f>
        <v>0</v>
      </c>
      <c r="J25" s="91">
        <f>'Model (SN)'!J25-'Model (Matrix)'!J25</f>
        <v>0</v>
      </c>
      <c r="K25" s="91">
        <f>'Model (SN)'!K25-'Model (Matrix)'!K25</f>
        <v>0</v>
      </c>
      <c r="L25" s="91">
        <f>'Model (SN)'!L25-'Model (Matrix)'!L25</f>
        <v>0</v>
      </c>
      <c r="M25" s="91">
        <f>'Model (SN)'!M25-'Model (Matrix)'!M25</f>
        <v>0</v>
      </c>
      <c r="N25" s="91">
        <f>'Model (SN)'!N25-'Model (Matrix)'!N25</f>
        <v>0</v>
      </c>
      <c r="O25" s="91">
        <f>'Model (SN)'!O25-'Model (Matrix)'!O25</f>
        <v>0</v>
      </c>
      <c r="P25" s="91">
        <f>'Model (SN)'!P25-'Model (Matrix)'!P25</f>
        <v>0</v>
      </c>
      <c r="Q25" s="91">
        <f>'Model (SN)'!Q25-'Model (Matrix)'!Q25</f>
        <v>0</v>
      </c>
      <c r="R25" s="91">
        <f>'Model (SN)'!R25-'Model (Matrix)'!R25</f>
        <v>0</v>
      </c>
      <c r="S25" s="91">
        <f>'Model (SN)'!S25-'Model (Matrix)'!S25</f>
        <v>0</v>
      </c>
      <c r="T25" s="91">
        <f>'Model (SN)'!T25-'Model (Matrix)'!T25</f>
        <v>0</v>
      </c>
      <c r="U25" s="91">
        <f>'Model (SN)'!U25-'Model (Matrix)'!U25</f>
        <v>0</v>
      </c>
      <c r="V25" s="91">
        <f>'Model (SN)'!V25-'Model (Matrix)'!V25</f>
        <v>0</v>
      </c>
    </row>
    <row r="26" spans="1:22" x14ac:dyDescent="0.25">
      <c r="A26" s="82"/>
      <c r="B26" s="63" t="s">
        <v>140</v>
      </c>
      <c r="C26" s="94">
        <f>'Model (SN)'!C26-'Model (Matrix)'!C26</f>
        <v>0</v>
      </c>
      <c r="D26" s="91">
        <f>'Model (SN)'!D26-'Model (Matrix)'!D26</f>
        <v>0</v>
      </c>
      <c r="E26" s="91">
        <f>'Model (SN)'!E26-'Model (Matrix)'!E26</f>
        <v>0</v>
      </c>
      <c r="F26" s="91">
        <f>'Model (SN)'!F26-'Model (Matrix)'!F26</f>
        <v>0</v>
      </c>
      <c r="G26" s="91">
        <f>'Model (SN)'!G26-'Model (Matrix)'!G26</f>
        <v>0</v>
      </c>
      <c r="H26" s="91">
        <f>'Model (SN)'!H26-'Model (Matrix)'!H26</f>
        <v>0</v>
      </c>
      <c r="I26" s="91">
        <f>'Model (SN)'!I26-'Model (Matrix)'!I26</f>
        <v>0</v>
      </c>
      <c r="J26" s="91">
        <f>'Model (SN)'!J26-'Model (Matrix)'!J26</f>
        <v>0</v>
      </c>
      <c r="K26" s="91">
        <f>'Model (SN)'!K26-'Model (Matrix)'!K26</f>
        <v>0</v>
      </c>
      <c r="L26" s="91">
        <f>'Model (SN)'!L26-'Model (Matrix)'!L26</f>
        <v>0</v>
      </c>
      <c r="M26" s="91">
        <f>'Model (SN)'!M26-'Model (Matrix)'!M26</f>
        <v>0</v>
      </c>
      <c r="N26" s="91">
        <f>'Model (SN)'!N26-'Model (Matrix)'!N26</f>
        <v>0</v>
      </c>
      <c r="O26" s="91">
        <f>'Model (SN)'!O26-'Model (Matrix)'!O26</f>
        <v>0</v>
      </c>
      <c r="P26" s="91">
        <f>'Model (SN)'!P26-'Model (Matrix)'!P26</f>
        <v>0</v>
      </c>
      <c r="Q26" s="91">
        <f>'Model (SN)'!Q26-'Model (Matrix)'!Q26</f>
        <v>0</v>
      </c>
      <c r="R26" s="91">
        <f>'Model (SN)'!R26-'Model (Matrix)'!R26</f>
        <v>0</v>
      </c>
      <c r="S26" s="91">
        <f>'Model (SN)'!S26-'Model (Matrix)'!S26</f>
        <v>0</v>
      </c>
      <c r="T26" s="91">
        <f>'Model (SN)'!T26-'Model (Matrix)'!T26</f>
        <v>0</v>
      </c>
      <c r="U26" s="91">
        <f>'Model (SN)'!U26-'Model (Matrix)'!U26</f>
        <v>0</v>
      </c>
      <c r="V26" s="91">
        <f>'Model (SN)'!V26-'Model (Matrix)'!V26</f>
        <v>0</v>
      </c>
    </row>
    <row r="27" spans="1:22" x14ac:dyDescent="0.25">
      <c r="A27" s="82"/>
      <c r="B27" s="63" t="s">
        <v>141</v>
      </c>
      <c r="C27" s="94">
        <f>'Model (SN)'!C27-'Model (Matrix)'!C27</f>
        <v>0</v>
      </c>
      <c r="D27" s="91">
        <f>'Model (SN)'!D27-'Model (Matrix)'!D27</f>
        <v>0</v>
      </c>
      <c r="E27" s="91">
        <f>'Model (SN)'!E27-'Model (Matrix)'!E27</f>
        <v>0</v>
      </c>
      <c r="F27" s="91">
        <f>'Model (SN)'!F27-'Model (Matrix)'!F27</f>
        <v>0</v>
      </c>
      <c r="G27" s="91">
        <f>'Model (SN)'!G27-'Model (Matrix)'!G27</f>
        <v>0</v>
      </c>
      <c r="H27" s="91">
        <f>'Model (SN)'!H27-'Model (Matrix)'!H27</f>
        <v>0</v>
      </c>
      <c r="I27" s="91">
        <f>'Model (SN)'!I27-'Model (Matrix)'!I27</f>
        <v>0</v>
      </c>
      <c r="J27" s="91">
        <f>'Model (SN)'!J27-'Model (Matrix)'!J27</f>
        <v>0</v>
      </c>
      <c r="K27" s="91">
        <f>'Model (SN)'!K27-'Model (Matrix)'!K27</f>
        <v>0</v>
      </c>
      <c r="L27" s="91">
        <f>'Model (SN)'!L27-'Model (Matrix)'!L27</f>
        <v>0</v>
      </c>
      <c r="M27" s="91">
        <f>'Model (SN)'!M27-'Model (Matrix)'!M27</f>
        <v>0</v>
      </c>
      <c r="N27" s="91">
        <f>'Model (SN)'!N27-'Model (Matrix)'!N27</f>
        <v>0</v>
      </c>
      <c r="O27" s="91">
        <f>'Model (SN)'!O27-'Model (Matrix)'!O27</f>
        <v>0</v>
      </c>
      <c r="P27" s="91">
        <f>'Model (SN)'!P27-'Model (Matrix)'!P27</f>
        <v>0</v>
      </c>
      <c r="Q27" s="91">
        <f>'Model (SN)'!Q27-'Model (Matrix)'!Q27</f>
        <v>0</v>
      </c>
      <c r="R27" s="91">
        <f>'Model (SN)'!R27-'Model (Matrix)'!R27</f>
        <v>0</v>
      </c>
      <c r="S27" s="91">
        <f>'Model (SN)'!S27-'Model (Matrix)'!S27</f>
        <v>0</v>
      </c>
      <c r="T27" s="91">
        <f>'Model (SN)'!T27-'Model (Matrix)'!T27</f>
        <v>0</v>
      </c>
      <c r="U27" s="91">
        <f>'Model (SN)'!U27-'Model (Matrix)'!U27</f>
        <v>0</v>
      </c>
      <c r="V27" s="91">
        <f>'Model (SN)'!V27-'Model (Matrix)'!V27</f>
        <v>0</v>
      </c>
    </row>
    <row r="28" spans="1:22" x14ac:dyDescent="0.25">
      <c r="A28" s="82"/>
      <c r="B28" s="63" t="s">
        <v>142</v>
      </c>
      <c r="C28" s="94">
        <f>'Model (SN)'!C28-'Model (Matrix)'!C28</f>
        <v>0</v>
      </c>
      <c r="D28" s="91">
        <f>'Model (SN)'!D28-'Model (Matrix)'!D28</f>
        <v>0</v>
      </c>
      <c r="E28" s="91">
        <f>'Model (SN)'!E28-'Model (Matrix)'!E28</f>
        <v>0</v>
      </c>
      <c r="F28" s="91">
        <f>'Model (SN)'!F28-'Model (Matrix)'!F28</f>
        <v>0</v>
      </c>
      <c r="G28" s="91">
        <f>'Model (SN)'!G28-'Model (Matrix)'!G28</f>
        <v>0</v>
      </c>
      <c r="H28" s="91">
        <f>'Model (SN)'!H28-'Model (Matrix)'!H28</f>
        <v>0</v>
      </c>
      <c r="I28" s="91">
        <f>'Model (SN)'!I28-'Model (Matrix)'!I28</f>
        <v>0</v>
      </c>
      <c r="J28" s="91">
        <f>'Model (SN)'!J28-'Model (Matrix)'!J28</f>
        <v>0</v>
      </c>
      <c r="K28" s="91">
        <f>'Model (SN)'!K28-'Model (Matrix)'!K28</f>
        <v>0</v>
      </c>
      <c r="L28" s="91">
        <f>'Model (SN)'!L28-'Model (Matrix)'!L28</f>
        <v>0</v>
      </c>
      <c r="M28" s="91">
        <f>'Model (SN)'!M28-'Model (Matrix)'!M28</f>
        <v>0</v>
      </c>
      <c r="N28" s="91">
        <f>'Model (SN)'!N28-'Model (Matrix)'!N28</f>
        <v>0</v>
      </c>
      <c r="O28" s="91">
        <f>'Model (SN)'!O28-'Model (Matrix)'!O28</f>
        <v>0</v>
      </c>
      <c r="P28" s="91">
        <f>'Model (SN)'!P28-'Model (Matrix)'!P28</f>
        <v>0</v>
      </c>
      <c r="Q28" s="91">
        <f>'Model (SN)'!Q28-'Model (Matrix)'!Q28</f>
        <v>0</v>
      </c>
      <c r="R28" s="91">
        <f>'Model (SN)'!R28-'Model (Matrix)'!R28</f>
        <v>0</v>
      </c>
      <c r="S28" s="91">
        <f>'Model (SN)'!S28-'Model (Matrix)'!S28</f>
        <v>0</v>
      </c>
      <c r="T28" s="91">
        <f>'Model (SN)'!T28-'Model (Matrix)'!T28</f>
        <v>0</v>
      </c>
      <c r="U28" s="91">
        <f>'Model (SN)'!U28-'Model (Matrix)'!U28</f>
        <v>0</v>
      </c>
      <c r="V28" s="91">
        <f>'Model (SN)'!V28-'Model (Matrix)'!V28</f>
        <v>0</v>
      </c>
    </row>
    <row r="29" spans="1:22" x14ac:dyDescent="0.25">
      <c r="A29" s="82"/>
      <c r="B29" s="64" t="s">
        <v>130</v>
      </c>
      <c r="C29" s="94">
        <f>'Model (SN)'!C29-'Model (Matrix)'!C29</f>
        <v>0</v>
      </c>
      <c r="D29" s="91">
        <f>'Model (SN)'!D29-'Model (Matrix)'!D29</f>
        <v>0</v>
      </c>
      <c r="E29" s="91">
        <f>'Model (SN)'!E29-'Model (Matrix)'!E29</f>
        <v>0</v>
      </c>
      <c r="F29" s="91">
        <f>'Model (SN)'!F29-'Model (Matrix)'!F29</f>
        <v>0</v>
      </c>
      <c r="G29" s="91">
        <f>'Model (SN)'!G29-'Model (Matrix)'!G29</f>
        <v>0</v>
      </c>
      <c r="H29" s="91">
        <f>'Model (SN)'!H29-'Model (Matrix)'!H29</f>
        <v>0</v>
      </c>
      <c r="I29" s="91">
        <f>'Model (SN)'!I29-'Model (Matrix)'!I29</f>
        <v>0</v>
      </c>
      <c r="J29" s="91">
        <f>'Model (SN)'!J29-'Model (Matrix)'!J29</f>
        <v>0</v>
      </c>
      <c r="K29" s="91">
        <f>'Model (SN)'!K29-'Model (Matrix)'!K29</f>
        <v>0</v>
      </c>
      <c r="L29" s="91">
        <f>'Model (SN)'!L29-'Model (Matrix)'!L29</f>
        <v>0</v>
      </c>
      <c r="M29" s="91">
        <f>'Model (SN)'!M29-'Model (Matrix)'!M29</f>
        <v>0</v>
      </c>
      <c r="N29" s="91">
        <f>'Model (SN)'!N29-'Model (Matrix)'!N29</f>
        <v>0</v>
      </c>
      <c r="O29" s="91">
        <f>'Model (SN)'!O29-'Model (Matrix)'!O29</f>
        <v>0</v>
      </c>
      <c r="P29" s="91">
        <f>'Model (SN)'!P29-'Model (Matrix)'!P29</f>
        <v>0</v>
      </c>
      <c r="Q29" s="91">
        <f>'Model (SN)'!Q29-'Model (Matrix)'!Q29</f>
        <v>0</v>
      </c>
      <c r="R29" s="91">
        <f>'Model (SN)'!R29-'Model (Matrix)'!R29</f>
        <v>0</v>
      </c>
      <c r="S29" s="91">
        <f>'Model (SN)'!S29-'Model (Matrix)'!S29</f>
        <v>0</v>
      </c>
      <c r="T29" s="91">
        <f>'Model (SN)'!T29-'Model (Matrix)'!T29</f>
        <v>0</v>
      </c>
      <c r="U29" s="91">
        <f>'Model (SN)'!U29-'Model (Matrix)'!U29</f>
        <v>0</v>
      </c>
      <c r="V29" s="91">
        <f>'Model (SN)'!V29-'Model (Matrix)'!V29</f>
        <v>0</v>
      </c>
    </row>
    <row r="30" spans="1:22" x14ac:dyDescent="0.25">
      <c r="A30" s="82"/>
      <c r="B30" s="63" t="s">
        <v>143</v>
      </c>
      <c r="C30" s="94">
        <f>'Model (SN)'!C30-'Model (Matrix)'!C30</f>
        <v>0</v>
      </c>
      <c r="D30" s="91">
        <f>'Model (SN)'!D30-'Model (Matrix)'!D30</f>
        <v>0</v>
      </c>
      <c r="E30" s="91">
        <f>'Model (SN)'!E30-'Model (Matrix)'!E30</f>
        <v>0</v>
      </c>
      <c r="F30" s="91">
        <f>'Model (SN)'!F30-'Model (Matrix)'!F30</f>
        <v>0</v>
      </c>
      <c r="G30" s="91">
        <f>'Model (SN)'!G30-'Model (Matrix)'!G30</f>
        <v>0</v>
      </c>
      <c r="H30" s="91">
        <f>'Model (SN)'!H30-'Model (Matrix)'!H30</f>
        <v>0</v>
      </c>
      <c r="I30" s="91">
        <f>'Model (SN)'!I30-'Model (Matrix)'!I30</f>
        <v>0</v>
      </c>
      <c r="J30" s="91">
        <f>'Model (SN)'!J30-'Model (Matrix)'!J30</f>
        <v>0</v>
      </c>
      <c r="K30" s="91">
        <f>'Model (SN)'!K30-'Model (Matrix)'!K30</f>
        <v>0</v>
      </c>
      <c r="L30" s="91">
        <f>'Model (SN)'!L30-'Model (Matrix)'!L30</f>
        <v>0</v>
      </c>
      <c r="M30" s="91">
        <f>'Model (SN)'!M30-'Model (Matrix)'!M30</f>
        <v>0</v>
      </c>
      <c r="N30" s="91">
        <f>'Model (SN)'!N30-'Model (Matrix)'!N30</f>
        <v>0</v>
      </c>
      <c r="O30" s="91">
        <f>'Model (SN)'!O30-'Model (Matrix)'!O30</f>
        <v>0</v>
      </c>
      <c r="P30" s="91">
        <f>'Model (SN)'!P30-'Model (Matrix)'!P30</f>
        <v>0</v>
      </c>
      <c r="Q30" s="91">
        <f>'Model (SN)'!Q30-'Model (Matrix)'!Q30</f>
        <v>0</v>
      </c>
      <c r="R30" s="91">
        <f>'Model (SN)'!R30-'Model (Matrix)'!R30</f>
        <v>0</v>
      </c>
      <c r="S30" s="91">
        <f>'Model (SN)'!S30-'Model (Matrix)'!S30</f>
        <v>0</v>
      </c>
      <c r="T30" s="91">
        <f>'Model (SN)'!T30-'Model (Matrix)'!T30</f>
        <v>0</v>
      </c>
      <c r="U30" s="91">
        <f>'Model (SN)'!U30-'Model (Matrix)'!U30</f>
        <v>0</v>
      </c>
      <c r="V30" s="91">
        <f>'Model (SN)'!V30-'Model (Matrix)'!V30</f>
        <v>0</v>
      </c>
    </row>
    <row r="31" spans="1:22" x14ac:dyDescent="0.25">
      <c r="A31" s="82"/>
      <c r="B31" s="63" t="s">
        <v>731</v>
      </c>
      <c r="C31" s="94">
        <f>'Model (SN)'!C31-'Model (Matrix)'!C31</f>
        <v>0</v>
      </c>
      <c r="D31" s="91">
        <f>'Model (SN)'!D31-'Model (Matrix)'!D31</f>
        <v>0</v>
      </c>
      <c r="E31" s="91">
        <f>'Model (SN)'!E31-'Model (Matrix)'!E31</f>
        <v>0</v>
      </c>
      <c r="F31" s="91">
        <f>'Model (SN)'!F31-'Model (Matrix)'!F31</f>
        <v>0</v>
      </c>
      <c r="G31" s="91">
        <f>'Model (SN)'!G31-'Model (Matrix)'!G31</f>
        <v>0</v>
      </c>
      <c r="H31" s="91">
        <f>'Model (SN)'!H31-'Model (Matrix)'!H31</f>
        <v>0</v>
      </c>
      <c r="I31" s="91">
        <f>'Model (SN)'!I31-'Model (Matrix)'!I31</f>
        <v>0</v>
      </c>
      <c r="J31" s="91">
        <f>'Model (SN)'!J31-'Model (Matrix)'!J31</f>
        <v>0</v>
      </c>
      <c r="K31" s="91">
        <f>'Model (SN)'!K31-'Model (Matrix)'!K31</f>
        <v>0</v>
      </c>
      <c r="L31" s="91">
        <f>'Model (SN)'!L31-'Model (Matrix)'!L31</f>
        <v>0</v>
      </c>
      <c r="M31" s="91">
        <f>'Model (SN)'!M31-'Model (Matrix)'!M31</f>
        <v>0</v>
      </c>
      <c r="N31" s="91">
        <f>'Model (SN)'!N31-'Model (Matrix)'!N31</f>
        <v>0</v>
      </c>
      <c r="O31" s="91">
        <f>'Model (SN)'!O31-'Model (Matrix)'!O31</f>
        <v>0</v>
      </c>
      <c r="P31" s="91">
        <f>'Model (SN)'!P31-'Model (Matrix)'!P31</f>
        <v>0</v>
      </c>
      <c r="Q31" s="91">
        <f>'Model (SN)'!Q31-'Model (Matrix)'!Q31</f>
        <v>0</v>
      </c>
      <c r="R31" s="91">
        <f>'Model (SN)'!R31-'Model (Matrix)'!R31</f>
        <v>0</v>
      </c>
      <c r="S31" s="91">
        <f>'Model (SN)'!S31-'Model (Matrix)'!S31</f>
        <v>0</v>
      </c>
      <c r="T31" s="91">
        <f>'Model (SN)'!T31-'Model (Matrix)'!T31</f>
        <v>0</v>
      </c>
      <c r="U31" s="91">
        <f>'Model (SN)'!U31-'Model (Matrix)'!U31</f>
        <v>0</v>
      </c>
      <c r="V31" s="91">
        <f>'Model (SN)'!V31-'Model (Matrix)'!V31</f>
        <v>0</v>
      </c>
    </row>
    <row r="32" spans="1:22" x14ac:dyDescent="0.25">
      <c r="A32" s="82"/>
      <c r="B32" s="63" t="s">
        <v>144</v>
      </c>
      <c r="C32" s="94">
        <f>'Model (SN)'!C32-'Model (Matrix)'!C32</f>
        <v>0</v>
      </c>
      <c r="D32" s="91">
        <f>'Model (SN)'!D32-'Model (Matrix)'!D32</f>
        <v>0</v>
      </c>
      <c r="E32" s="91">
        <f>'Model (SN)'!E32-'Model (Matrix)'!E32</f>
        <v>0</v>
      </c>
      <c r="F32" s="91">
        <f>'Model (SN)'!F32-'Model (Matrix)'!F32</f>
        <v>0</v>
      </c>
      <c r="G32" s="91">
        <f>'Model (SN)'!G32-'Model (Matrix)'!G32</f>
        <v>0</v>
      </c>
      <c r="H32" s="91">
        <f>'Model (SN)'!H32-'Model (Matrix)'!H32</f>
        <v>0</v>
      </c>
      <c r="I32" s="91">
        <f>'Model (SN)'!I32-'Model (Matrix)'!I32</f>
        <v>0</v>
      </c>
      <c r="J32" s="91">
        <f>'Model (SN)'!J32-'Model (Matrix)'!J32</f>
        <v>0</v>
      </c>
      <c r="K32" s="91">
        <f>'Model (SN)'!K32-'Model (Matrix)'!K32</f>
        <v>0</v>
      </c>
      <c r="L32" s="91">
        <f>'Model (SN)'!L32-'Model (Matrix)'!L32</f>
        <v>0</v>
      </c>
      <c r="M32" s="91">
        <f>'Model (SN)'!M32-'Model (Matrix)'!M32</f>
        <v>0</v>
      </c>
      <c r="N32" s="91">
        <f>'Model (SN)'!N32-'Model (Matrix)'!N32</f>
        <v>0</v>
      </c>
      <c r="O32" s="91">
        <f>'Model (SN)'!O32-'Model (Matrix)'!O32</f>
        <v>0</v>
      </c>
      <c r="P32" s="91">
        <f>'Model (SN)'!P32-'Model (Matrix)'!P32</f>
        <v>0</v>
      </c>
      <c r="Q32" s="91">
        <f>'Model (SN)'!Q32-'Model (Matrix)'!Q32</f>
        <v>0</v>
      </c>
      <c r="R32" s="91">
        <f>'Model (SN)'!R32-'Model (Matrix)'!R32</f>
        <v>0</v>
      </c>
      <c r="S32" s="91">
        <f>'Model (SN)'!S32-'Model (Matrix)'!S32</f>
        <v>0</v>
      </c>
      <c r="T32" s="91">
        <f>'Model (SN)'!T32-'Model (Matrix)'!T32</f>
        <v>0</v>
      </c>
      <c r="U32" s="91">
        <f>'Model (SN)'!U32-'Model (Matrix)'!U32</f>
        <v>0</v>
      </c>
      <c r="V32" s="91">
        <f>'Model (SN)'!V32-'Model (Matrix)'!V32</f>
        <v>0</v>
      </c>
    </row>
    <row r="33" spans="1:22" x14ac:dyDescent="0.25">
      <c r="A33" s="82"/>
      <c r="B33" s="63" t="s">
        <v>145</v>
      </c>
      <c r="C33" s="94">
        <f>'Model (SN)'!C33-'Model (Matrix)'!C33</f>
        <v>0</v>
      </c>
      <c r="D33" s="91">
        <f>'Model (SN)'!D33-'Model (Matrix)'!D33</f>
        <v>0</v>
      </c>
      <c r="E33" s="91">
        <f>'Model (SN)'!E33-'Model (Matrix)'!E33</f>
        <v>0</v>
      </c>
      <c r="F33" s="91">
        <f>'Model (SN)'!F33-'Model (Matrix)'!F33</f>
        <v>0</v>
      </c>
      <c r="G33" s="91">
        <f>'Model (SN)'!G33-'Model (Matrix)'!G33</f>
        <v>0</v>
      </c>
      <c r="H33" s="91">
        <f>'Model (SN)'!H33-'Model (Matrix)'!H33</f>
        <v>0</v>
      </c>
      <c r="I33" s="91">
        <f>'Model (SN)'!I33-'Model (Matrix)'!I33</f>
        <v>0</v>
      </c>
      <c r="J33" s="91">
        <f>'Model (SN)'!J33-'Model (Matrix)'!J33</f>
        <v>0</v>
      </c>
      <c r="K33" s="91">
        <f>'Model (SN)'!K33-'Model (Matrix)'!K33</f>
        <v>0</v>
      </c>
      <c r="L33" s="91">
        <f>'Model (SN)'!L33-'Model (Matrix)'!L33</f>
        <v>0</v>
      </c>
      <c r="M33" s="91">
        <f>'Model (SN)'!M33-'Model (Matrix)'!M33</f>
        <v>0</v>
      </c>
      <c r="N33" s="91">
        <f>'Model (SN)'!N33-'Model (Matrix)'!N33</f>
        <v>0</v>
      </c>
      <c r="O33" s="91">
        <f>'Model (SN)'!O33-'Model (Matrix)'!O33</f>
        <v>0</v>
      </c>
      <c r="P33" s="91">
        <f>'Model (SN)'!P33-'Model (Matrix)'!P33</f>
        <v>0</v>
      </c>
      <c r="Q33" s="91">
        <f>'Model (SN)'!Q33-'Model (Matrix)'!Q33</f>
        <v>0</v>
      </c>
      <c r="R33" s="91">
        <f>'Model (SN)'!R33-'Model (Matrix)'!R33</f>
        <v>0</v>
      </c>
      <c r="S33" s="91">
        <f>'Model (SN)'!S33-'Model (Matrix)'!S33</f>
        <v>0</v>
      </c>
      <c r="T33" s="91">
        <f>'Model (SN)'!T33-'Model (Matrix)'!T33</f>
        <v>0</v>
      </c>
      <c r="U33" s="91">
        <f>'Model (SN)'!U33-'Model (Matrix)'!U33</f>
        <v>0</v>
      </c>
      <c r="V33" s="91">
        <f>'Model (SN)'!V33-'Model (Matrix)'!V33</f>
        <v>0</v>
      </c>
    </row>
    <row r="34" spans="1:22" x14ac:dyDescent="0.25">
      <c r="A34" s="82"/>
      <c r="B34" s="63" t="s">
        <v>146</v>
      </c>
      <c r="C34" s="94">
        <f>'Model (SN)'!C34-'Model (Matrix)'!C34</f>
        <v>0</v>
      </c>
      <c r="D34" s="91">
        <f>'Model (SN)'!D34-'Model (Matrix)'!D34</f>
        <v>0</v>
      </c>
      <c r="E34" s="91">
        <f>'Model (SN)'!E34-'Model (Matrix)'!E34</f>
        <v>0</v>
      </c>
      <c r="F34" s="91">
        <f>'Model (SN)'!F34-'Model (Matrix)'!F34</f>
        <v>0</v>
      </c>
      <c r="G34" s="91">
        <f>'Model (SN)'!G34-'Model (Matrix)'!G34</f>
        <v>0</v>
      </c>
      <c r="H34" s="91">
        <f>'Model (SN)'!H34-'Model (Matrix)'!H34</f>
        <v>0</v>
      </c>
      <c r="I34" s="91">
        <f>'Model (SN)'!I34-'Model (Matrix)'!I34</f>
        <v>0</v>
      </c>
      <c r="J34" s="91">
        <f>'Model (SN)'!J34-'Model (Matrix)'!J34</f>
        <v>0</v>
      </c>
      <c r="K34" s="91">
        <f>'Model (SN)'!K34-'Model (Matrix)'!K34</f>
        <v>0</v>
      </c>
      <c r="L34" s="91">
        <f>'Model (SN)'!L34-'Model (Matrix)'!L34</f>
        <v>0</v>
      </c>
      <c r="M34" s="91">
        <f>'Model (SN)'!M34-'Model (Matrix)'!M34</f>
        <v>0</v>
      </c>
      <c r="N34" s="91">
        <f>'Model (SN)'!N34-'Model (Matrix)'!N34</f>
        <v>0</v>
      </c>
      <c r="O34" s="91">
        <f>'Model (SN)'!O34-'Model (Matrix)'!O34</f>
        <v>0</v>
      </c>
      <c r="P34" s="91">
        <f>'Model (SN)'!P34-'Model (Matrix)'!P34</f>
        <v>0</v>
      </c>
      <c r="Q34" s="91">
        <f>'Model (SN)'!Q34-'Model (Matrix)'!Q34</f>
        <v>0</v>
      </c>
      <c r="R34" s="91">
        <f>'Model (SN)'!R34-'Model (Matrix)'!R34</f>
        <v>0</v>
      </c>
      <c r="S34" s="91">
        <f>'Model (SN)'!S34-'Model (Matrix)'!S34</f>
        <v>0</v>
      </c>
      <c r="T34" s="91">
        <f>'Model (SN)'!T34-'Model (Matrix)'!T34</f>
        <v>0</v>
      </c>
      <c r="U34" s="91">
        <f>'Model (SN)'!U34-'Model (Matrix)'!U34</f>
        <v>0</v>
      </c>
      <c r="V34" s="91">
        <f>'Model (SN)'!V34-'Model (Matrix)'!V34</f>
        <v>0</v>
      </c>
    </row>
    <row r="35" spans="1:22" x14ac:dyDescent="0.25">
      <c r="A35" s="82"/>
      <c r="B35" s="98" t="s">
        <v>131</v>
      </c>
      <c r="C35" s="94">
        <f>'Model (SN)'!C35-'Model (Matrix)'!C35</f>
        <v>0</v>
      </c>
      <c r="D35" s="91">
        <f>'Model (SN)'!D35-'Model (Matrix)'!D35</f>
        <v>0</v>
      </c>
      <c r="E35" s="91">
        <f>'Model (SN)'!E35-'Model (Matrix)'!E35</f>
        <v>0</v>
      </c>
      <c r="F35" s="91">
        <f>'Model (SN)'!F35-'Model (Matrix)'!F35</f>
        <v>0</v>
      </c>
      <c r="G35" s="91">
        <f>'Model (SN)'!G35-'Model (Matrix)'!G35</f>
        <v>0</v>
      </c>
      <c r="H35" s="91">
        <f>'Model (SN)'!H35-'Model (Matrix)'!H35</f>
        <v>0</v>
      </c>
      <c r="I35" s="91">
        <f>'Model (SN)'!I35-'Model (Matrix)'!I35</f>
        <v>0</v>
      </c>
      <c r="J35" s="91">
        <f>'Model (SN)'!J35-'Model (Matrix)'!J35</f>
        <v>0</v>
      </c>
      <c r="K35" s="91">
        <f>'Model (SN)'!K35-'Model (Matrix)'!K35</f>
        <v>0</v>
      </c>
      <c r="L35" s="91">
        <f>'Model (SN)'!L35-'Model (Matrix)'!L35</f>
        <v>0</v>
      </c>
      <c r="M35" s="91">
        <f>'Model (SN)'!M35-'Model (Matrix)'!M35</f>
        <v>0</v>
      </c>
      <c r="N35" s="91">
        <f>'Model (SN)'!N35-'Model (Matrix)'!N35</f>
        <v>0</v>
      </c>
      <c r="O35" s="91">
        <f>'Model (SN)'!O35-'Model (Matrix)'!O35</f>
        <v>0</v>
      </c>
      <c r="P35" s="91">
        <f>'Model (SN)'!P35-'Model (Matrix)'!P35</f>
        <v>0</v>
      </c>
      <c r="Q35" s="91">
        <f>'Model (SN)'!Q35-'Model (Matrix)'!Q35</f>
        <v>0</v>
      </c>
      <c r="R35" s="91">
        <f>'Model (SN)'!R35-'Model (Matrix)'!R35</f>
        <v>0</v>
      </c>
      <c r="S35" s="91">
        <f>'Model (SN)'!S35-'Model (Matrix)'!S35</f>
        <v>0</v>
      </c>
      <c r="T35" s="91">
        <f>'Model (SN)'!T35-'Model (Matrix)'!T35</f>
        <v>0</v>
      </c>
      <c r="U35" s="91">
        <f>'Model (SN)'!U35-'Model (Matrix)'!U35</f>
        <v>0</v>
      </c>
      <c r="V35" s="91">
        <f>'Model (SN)'!V35-'Model (Matrix)'!V35</f>
        <v>0</v>
      </c>
    </row>
    <row r="36" spans="1:22" x14ac:dyDescent="0.25">
      <c r="A36" s="86" t="s">
        <v>315</v>
      </c>
      <c r="B36" s="64"/>
      <c r="C36" s="94">
        <f>'Model (SN)'!C36-'Model (Matrix)'!C36</f>
        <v>0</v>
      </c>
      <c r="D36" s="91">
        <f>'Model (SN)'!D36-'Model (Matrix)'!D36</f>
        <v>0</v>
      </c>
      <c r="E36" s="91">
        <f>'Model (SN)'!E36-'Model (Matrix)'!E36</f>
        <v>0</v>
      </c>
      <c r="F36" s="91">
        <f>'Model (SN)'!F36-'Model (Matrix)'!F36</f>
        <v>0</v>
      </c>
      <c r="G36" s="91">
        <f>'Model (SN)'!G36-'Model (Matrix)'!G36</f>
        <v>0</v>
      </c>
      <c r="H36" s="91">
        <f>'Model (SN)'!H36-'Model (Matrix)'!H36</f>
        <v>0</v>
      </c>
      <c r="I36" s="91">
        <f>'Model (SN)'!I36-'Model (Matrix)'!I36</f>
        <v>0</v>
      </c>
      <c r="J36" s="91">
        <f>'Model (SN)'!J36-'Model (Matrix)'!J36</f>
        <v>0</v>
      </c>
      <c r="K36" s="91">
        <f>'Model (SN)'!K36-'Model (Matrix)'!K36</f>
        <v>0</v>
      </c>
      <c r="L36" s="91">
        <f>'Model (SN)'!L36-'Model (Matrix)'!L36</f>
        <v>0</v>
      </c>
      <c r="M36" s="91">
        <f>'Model (SN)'!M36-'Model (Matrix)'!M36</f>
        <v>0</v>
      </c>
      <c r="N36" s="91">
        <f>'Model (SN)'!N36-'Model (Matrix)'!N36</f>
        <v>0</v>
      </c>
      <c r="O36" s="91">
        <f>'Model (SN)'!O36-'Model (Matrix)'!O36</f>
        <v>0</v>
      </c>
      <c r="P36" s="91">
        <f>'Model (SN)'!P36-'Model (Matrix)'!P36</f>
        <v>0</v>
      </c>
      <c r="Q36" s="91">
        <f>'Model (SN)'!Q36-'Model (Matrix)'!Q36</f>
        <v>0</v>
      </c>
      <c r="R36" s="91">
        <f>'Model (SN)'!R36-'Model (Matrix)'!R36</f>
        <v>0</v>
      </c>
      <c r="S36" s="91">
        <f>'Model (SN)'!S36-'Model (Matrix)'!S36</f>
        <v>0</v>
      </c>
      <c r="T36" s="91">
        <f>'Model (SN)'!T36-'Model (Matrix)'!T36</f>
        <v>0</v>
      </c>
      <c r="U36" s="91">
        <f>'Model (SN)'!U36-'Model (Matrix)'!U36</f>
        <v>0</v>
      </c>
      <c r="V36" s="91">
        <f>'Model (SN)'!V36-'Model (Matrix)'!V36</f>
        <v>0</v>
      </c>
    </row>
    <row r="37" spans="1:22" x14ac:dyDescent="0.25">
      <c r="A37" s="82"/>
      <c r="B37" s="64" t="s">
        <v>124</v>
      </c>
      <c r="C37" s="94">
        <f>'Model (SN)'!C37-'Model (Matrix)'!C37</f>
        <v>0</v>
      </c>
      <c r="D37" s="91">
        <f>'Model (SN)'!D37-'Model (Matrix)'!D37</f>
        <v>0</v>
      </c>
      <c r="E37" s="91">
        <f>'Model (SN)'!E37-'Model (Matrix)'!E37</f>
        <v>0</v>
      </c>
      <c r="F37" s="91">
        <f>'Model (SN)'!F37-'Model (Matrix)'!F37</f>
        <v>0</v>
      </c>
      <c r="G37" s="91">
        <f>'Model (SN)'!G37-'Model (Matrix)'!G37</f>
        <v>0</v>
      </c>
      <c r="H37" s="91">
        <f>'Model (SN)'!H37-'Model (Matrix)'!H37</f>
        <v>0</v>
      </c>
      <c r="I37" s="91">
        <f>'Model (SN)'!I37-'Model (Matrix)'!I37</f>
        <v>0</v>
      </c>
      <c r="J37" s="91">
        <f>'Model (SN)'!J37-'Model (Matrix)'!J37</f>
        <v>0</v>
      </c>
      <c r="K37" s="91">
        <f>'Model (SN)'!K37-'Model (Matrix)'!K37</f>
        <v>0</v>
      </c>
      <c r="L37" s="91">
        <f>'Model (SN)'!L37-'Model (Matrix)'!L37</f>
        <v>0</v>
      </c>
      <c r="M37" s="91">
        <f>'Model (SN)'!M37-'Model (Matrix)'!M37</f>
        <v>0</v>
      </c>
      <c r="N37" s="91">
        <f>'Model (SN)'!N37-'Model (Matrix)'!N37</f>
        <v>0</v>
      </c>
      <c r="O37" s="91">
        <f>'Model (SN)'!O37-'Model (Matrix)'!O37</f>
        <v>0</v>
      </c>
      <c r="P37" s="91">
        <f>'Model (SN)'!P37-'Model (Matrix)'!P37</f>
        <v>0</v>
      </c>
      <c r="Q37" s="91">
        <f>'Model (SN)'!Q37-'Model (Matrix)'!Q37</f>
        <v>0</v>
      </c>
      <c r="R37" s="91">
        <f>'Model (SN)'!R37-'Model (Matrix)'!R37</f>
        <v>0</v>
      </c>
      <c r="S37" s="91">
        <f>'Model (SN)'!S37-'Model (Matrix)'!S37</f>
        <v>0</v>
      </c>
      <c r="T37" s="91">
        <f>'Model (SN)'!T37-'Model (Matrix)'!T37</f>
        <v>0</v>
      </c>
      <c r="U37" s="91">
        <f>'Model (SN)'!U37-'Model (Matrix)'!U37</f>
        <v>0</v>
      </c>
      <c r="V37" s="91">
        <f>'Model (SN)'!V37-'Model (Matrix)'!V37</f>
        <v>0</v>
      </c>
    </row>
    <row r="38" spans="1:22" x14ac:dyDescent="0.25">
      <c r="A38" s="82"/>
      <c r="B38" s="64" t="s">
        <v>630</v>
      </c>
      <c r="C38" s="94">
        <f>'Model (SN)'!C38-'Model (Matrix)'!C38</f>
        <v>0</v>
      </c>
      <c r="D38" s="91">
        <f>'Model (SN)'!D38-'Model (Matrix)'!D38</f>
        <v>0</v>
      </c>
      <c r="E38" s="91">
        <f>'Model (SN)'!E38-'Model (Matrix)'!E38</f>
        <v>0</v>
      </c>
      <c r="F38" s="91">
        <f>'Model (SN)'!F38-'Model (Matrix)'!F38</f>
        <v>0</v>
      </c>
      <c r="G38" s="91">
        <f>'Model (SN)'!G38-'Model (Matrix)'!G38</f>
        <v>0</v>
      </c>
      <c r="H38" s="91">
        <f>'Model (SN)'!H38-'Model (Matrix)'!H38</f>
        <v>0</v>
      </c>
      <c r="I38" s="91">
        <f>'Model (SN)'!I38-'Model (Matrix)'!I38</f>
        <v>0</v>
      </c>
      <c r="J38" s="91">
        <f>'Model (SN)'!J38-'Model (Matrix)'!J38</f>
        <v>0</v>
      </c>
      <c r="K38" s="91">
        <f>'Model (SN)'!K38-'Model (Matrix)'!K38</f>
        <v>0</v>
      </c>
      <c r="L38" s="91">
        <f>'Model (SN)'!L38-'Model (Matrix)'!L38</f>
        <v>0</v>
      </c>
      <c r="M38" s="91">
        <f>'Model (SN)'!M38-'Model (Matrix)'!M38</f>
        <v>0</v>
      </c>
      <c r="N38" s="91">
        <f>'Model (SN)'!N38-'Model (Matrix)'!N38</f>
        <v>0</v>
      </c>
      <c r="O38" s="91">
        <f>'Model (SN)'!O38-'Model (Matrix)'!O38</f>
        <v>0</v>
      </c>
      <c r="P38" s="91">
        <f>'Model (SN)'!P38-'Model (Matrix)'!P38</f>
        <v>0</v>
      </c>
      <c r="Q38" s="91">
        <f>'Model (SN)'!Q38-'Model (Matrix)'!Q38</f>
        <v>0</v>
      </c>
      <c r="R38" s="91">
        <f>'Model (SN)'!R38-'Model (Matrix)'!R38</f>
        <v>0</v>
      </c>
      <c r="S38" s="91">
        <f>'Model (SN)'!S38-'Model (Matrix)'!S38</f>
        <v>0</v>
      </c>
      <c r="T38" s="91">
        <f>'Model (SN)'!T38-'Model (Matrix)'!T38</f>
        <v>0</v>
      </c>
      <c r="U38" s="91">
        <f>'Model (SN)'!U38-'Model (Matrix)'!U38</f>
        <v>0</v>
      </c>
      <c r="V38" s="91">
        <f>'Model (SN)'!V38-'Model (Matrix)'!V38</f>
        <v>0</v>
      </c>
    </row>
    <row r="39" spans="1:22" x14ac:dyDescent="0.25">
      <c r="A39" s="82"/>
      <c r="B39" s="64" t="s">
        <v>147</v>
      </c>
      <c r="C39" s="94">
        <f>'Model (SN)'!C39-'Model (Matrix)'!C39</f>
        <v>0</v>
      </c>
      <c r="D39" s="91">
        <f>'Model (SN)'!D39-'Model (Matrix)'!D39</f>
        <v>0</v>
      </c>
      <c r="E39" s="91">
        <f>'Model (SN)'!E39-'Model (Matrix)'!E39</f>
        <v>0</v>
      </c>
      <c r="F39" s="91">
        <f>'Model (SN)'!F39-'Model (Matrix)'!F39</f>
        <v>0</v>
      </c>
      <c r="G39" s="91">
        <f>'Model (SN)'!G39-'Model (Matrix)'!G39</f>
        <v>0</v>
      </c>
      <c r="H39" s="91">
        <f>'Model (SN)'!H39-'Model (Matrix)'!H39</f>
        <v>0</v>
      </c>
      <c r="I39" s="91">
        <f>'Model (SN)'!I39-'Model (Matrix)'!I39</f>
        <v>0</v>
      </c>
      <c r="J39" s="91">
        <f>'Model (SN)'!J39-'Model (Matrix)'!J39</f>
        <v>0</v>
      </c>
      <c r="K39" s="91">
        <f>'Model (SN)'!K39-'Model (Matrix)'!K39</f>
        <v>0</v>
      </c>
      <c r="L39" s="91">
        <f>'Model (SN)'!L39-'Model (Matrix)'!L39</f>
        <v>-64.238711735621564</v>
      </c>
      <c r="M39" s="91">
        <f>'Model (SN)'!M39-'Model (Matrix)'!M39</f>
        <v>-58.398796386802132</v>
      </c>
      <c r="N39" s="91">
        <f>'Model (SN)'!N39-'Model (Matrix)'!N39</f>
        <v>-56.179709560750325</v>
      </c>
      <c r="O39" s="91">
        <f>'Model (SN)'!O39-'Model (Matrix)'!O39</f>
        <v>-55.007337892559462</v>
      </c>
      <c r="P39" s="91">
        <f>'Model (SN)'!P39-'Model (Matrix)'!P39</f>
        <v>-54.538765135077483</v>
      </c>
      <c r="Q39" s="91">
        <f>'Model (SN)'!Q39-'Model (Matrix)'!Q39</f>
        <v>-54.510698459334435</v>
      </c>
      <c r="R39" s="91">
        <f>'Model (SN)'!R39-'Model (Matrix)'!R39</f>
        <v>-54.767818638608787</v>
      </c>
      <c r="S39" s="91">
        <f>'Model (SN)'!S39-'Model (Matrix)'!S39</f>
        <v>-55.211629800230639</v>
      </c>
      <c r="T39" s="91">
        <f>'Model (SN)'!T39-'Model (Matrix)'!T39</f>
        <v>-55.776016779645943</v>
      </c>
      <c r="U39" s="91">
        <f>'Model (SN)'!U39-'Model (Matrix)'!U39</f>
        <v>-56.415265763216212</v>
      </c>
      <c r="V39" s="91">
        <f>'Model (SN)'!V39-'Model (Matrix)'!V39</f>
        <v>-57.097536757150465</v>
      </c>
    </row>
    <row r="40" spans="1:22" x14ac:dyDescent="0.25">
      <c r="A40" s="82"/>
      <c r="B40" s="63" t="s">
        <v>148</v>
      </c>
      <c r="C40" s="94">
        <f>'Model (SN)'!C40-'Model (Matrix)'!C40</f>
        <v>0</v>
      </c>
      <c r="D40" s="91">
        <f>'Model (SN)'!D40-'Model (Matrix)'!D40</f>
        <v>0</v>
      </c>
      <c r="E40" s="91">
        <f>'Model (SN)'!E40-'Model (Matrix)'!E40</f>
        <v>0</v>
      </c>
      <c r="F40" s="91">
        <f>'Model (SN)'!F40-'Model (Matrix)'!F40</f>
        <v>0</v>
      </c>
      <c r="G40" s="91">
        <f>'Model (SN)'!G40-'Model (Matrix)'!G40</f>
        <v>0</v>
      </c>
      <c r="H40" s="91">
        <f>'Model (SN)'!H40-'Model (Matrix)'!H40</f>
        <v>0</v>
      </c>
      <c r="I40" s="91">
        <f>'Model (SN)'!I40-'Model (Matrix)'!I40</f>
        <v>0</v>
      </c>
      <c r="J40" s="91">
        <f>'Model (SN)'!J40-'Model (Matrix)'!J40</f>
        <v>0</v>
      </c>
      <c r="K40" s="91">
        <f>'Model (SN)'!K40-'Model (Matrix)'!K40</f>
        <v>0</v>
      </c>
      <c r="L40" s="91">
        <f>'Model (SN)'!L40-'Model (Matrix)'!L40</f>
        <v>0</v>
      </c>
      <c r="M40" s="91">
        <f>'Model (SN)'!M40-'Model (Matrix)'!M40</f>
        <v>-52.707206827519258</v>
      </c>
      <c r="N40" s="91">
        <f>'Model (SN)'!N40-'Model (Matrix)'!N40</f>
        <v>-97.083703945289017</v>
      </c>
      <c r="O40" s="91">
        <f>'Model (SN)'!O40-'Model (Matrix)'!O40</f>
        <v>-136.65972444028012</v>
      </c>
      <c r="P40" s="91">
        <f>'Model (SN)'!P40-'Model (Matrix)'!P40</f>
        <v>-172.61642391891655</v>
      </c>
      <c r="Q40" s="91">
        <f>'Model (SN)'!Q40-'Model (Matrix)'!Q40</f>
        <v>-205.77428792287537</v>
      </c>
      <c r="R40" s="91">
        <f>'Model (SN)'!R40-'Model (Matrix)'!R40</f>
        <v>-236.68267996115901</v>
      </c>
      <c r="S40" s="91">
        <f>'Model (SN)'!S40-'Model (Matrix)'!S40</f>
        <v>-265.72663771725274</v>
      </c>
      <c r="T40" s="91">
        <f>'Model (SN)'!T40-'Model (Matrix)'!T40</f>
        <v>-293.18452997951317</v>
      </c>
      <c r="U40" s="91">
        <f>'Model (SN)'!U40-'Model (Matrix)'!U40</f>
        <v>-319.26178715344213</v>
      </c>
      <c r="V40" s="91">
        <f>'Model (SN)'!V40-'Model (Matrix)'!V40</f>
        <v>-344.11253793873038</v>
      </c>
    </row>
    <row r="41" spans="1:22" x14ac:dyDescent="0.25">
      <c r="A41" s="82"/>
      <c r="B41" s="64" t="s">
        <v>133</v>
      </c>
      <c r="C41" s="94">
        <f>'Model (SN)'!C41-'Model (Matrix)'!C41</f>
        <v>0</v>
      </c>
      <c r="D41" s="91">
        <f>'Model (SN)'!D41-'Model (Matrix)'!D41</f>
        <v>0</v>
      </c>
      <c r="E41" s="91">
        <f>'Model (SN)'!E41-'Model (Matrix)'!E41</f>
        <v>0</v>
      </c>
      <c r="F41" s="91">
        <f>'Model (SN)'!F41-'Model (Matrix)'!F41</f>
        <v>0</v>
      </c>
      <c r="G41" s="91">
        <f>'Model (SN)'!G41-'Model (Matrix)'!G41</f>
        <v>0</v>
      </c>
      <c r="H41" s="91">
        <f>'Model (SN)'!H41-'Model (Matrix)'!H41</f>
        <v>0</v>
      </c>
      <c r="I41" s="91">
        <f>'Model (SN)'!I41-'Model (Matrix)'!I41</f>
        <v>0</v>
      </c>
      <c r="J41" s="91">
        <f>'Model (SN)'!J41-'Model (Matrix)'!J41</f>
        <v>0</v>
      </c>
      <c r="K41" s="91">
        <f>'Model (SN)'!K41-'Model (Matrix)'!K41</f>
        <v>0</v>
      </c>
      <c r="L41" s="91">
        <f>'Model (SN)'!L41-'Model (Matrix)'!L41</f>
        <v>0</v>
      </c>
      <c r="M41" s="91">
        <f>'Model (SN)'!M41-'Model (Matrix)'!M41</f>
        <v>0</v>
      </c>
      <c r="N41" s="91">
        <f>'Model (SN)'!N41-'Model (Matrix)'!N41</f>
        <v>-2.0856473466783427</v>
      </c>
      <c r="O41" s="91">
        <f>'Model (SN)'!O41-'Model (Matrix)'!O41</f>
        <v>-5.4330467210438655</v>
      </c>
      <c r="P41" s="91">
        <f>'Model (SN)'!P41-'Model (Matrix)'!P41</f>
        <v>-9.7151557586857962</v>
      </c>
      <c r="Q41" s="91">
        <f>'Model (SN)'!Q41-'Model (Matrix)'!Q41</f>
        <v>-14.707372786027008</v>
      </c>
      <c r="R41" s="91">
        <f>'Model (SN)'!R41-'Model (Matrix)'!R41</f>
        <v>-20.239721820806153</v>
      </c>
      <c r="S41" s="91">
        <f>'Model (SN)'!S41-'Model (Matrix)'!S41</f>
        <v>-26.178718949448921</v>
      </c>
      <c r="T41" s="91">
        <f>'Model (SN)'!T41-'Model (Matrix)'!T41</f>
        <v>-32.41790556234173</v>
      </c>
      <c r="U41" s="91">
        <f>'Model (SN)'!U41-'Model (Matrix)'!U41</f>
        <v>-38.871536104337792</v>
      </c>
      <c r="V41" s="91">
        <f>'Model (SN)'!V41-'Model (Matrix)'!V41</f>
        <v>-45.470004605009308</v>
      </c>
    </row>
    <row r="42" spans="1:22" x14ac:dyDescent="0.25">
      <c r="A42" s="82"/>
      <c r="B42" s="64" t="s">
        <v>570</v>
      </c>
      <c r="C42" s="24">
        <f>'Model (SN)'!C42-'Model (Matrix)'!C42</f>
        <v>0</v>
      </c>
      <c r="D42" s="91">
        <f>'Model (SN)'!D42-'Model (Matrix)'!D42</f>
        <v>0</v>
      </c>
      <c r="E42" s="91">
        <f>'Model (SN)'!E42-'Model (Matrix)'!E42</f>
        <v>0</v>
      </c>
      <c r="F42" s="91">
        <f>'Model (SN)'!F42-'Model (Matrix)'!F42</f>
        <v>0</v>
      </c>
      <c r="G42" s="91">
        <f>'Model (SN)'!G42-'Model (Matrix)'!G42</f>
        <v>0</v>
      </c>
      <c r="H42" s="91">
        <f>'Model (SN)'!H42-'Model (Matrix)'!H42</f>
        <v>0</v>
      </c>
      <c r="I42" s="91">
        <f>'Model (SN)'!I42-'Model (Matrix)'!I42</f>
        <v>0</v>
      </c>
      <c r="J42" s="91">
        <f>'Model (SN)'!J42-'Model (Matrix)'!J42</f>
        <v>0</v>
      </c>
      <c r="K42" s="91">
        <f>'Model (SN)'!K42-'Model (Matrix)'!K42</f>
        <v>0</v>
      </c>
      <c r="L42" s="91">
        <f>'Model (SN)'!L42-'Model (Matrix)'!L42</f>
        <v>0</v>
      </c>
      <c r="M42" s="91">
        <f>'Model (SN)'!M42-'Model (Matrix)'!M42</f>
        <v>0</v>
      </c>
      <c r="N42" s="91">
        <f>'Model (SN)'!N42-'Model (Matrix)'!N42</f>
        <v>0</v>
      </c>
      <c r="O42" s="91">
        <f>'Model (SN)'!O42-'Model (Matrix)'!O42</f>
        <v>0</v>
      </c>
      <c r="P42" s="91">
        <f>'Model (SN)'!P42-'Model (Matrix)'!P42</f>
        <v>0</v>
      </c>
      <c r="Q42" s="91">
        <f>'Model (SN)'!Q42-'Model (Matrix)'!Q42</f>
        <v>0</v>
      </c>
      <c r="R42" s="91">
        <f>'Model (SN)'!R42-'Model (Matrix)'!R42</f>
        <v>0</v>
      </c>
      <c r="S42" s="91">
        <f>'Model (SN)'!S42-'Model (Matrix)'!S42</f>
        <v>0</v>
      </c>
      <c r="T42" s="91">
        <f>'Model (SN)'!T42-'Model (Matrix)'!T42</f>
        <v>0</v>
      </c>
      <c r="U42" s="91">
        <f>'Model (SN)'!U42-'Model (Matrix)'!U42</f>
        <v>0</v>
      </c>
      <c r="V42" s="91">
        <f>'Model (SN)'!V42-'Model (Matrix)'!V42</f>
        <v>0</v>
      </c>
    </row>
    <row r="43" spans="1:22" x14ac:dyDescent="0.25">
      <c r="A43" s="82"/>
      <c r="B43" s="63" t="s">
        <v>134</v>
      </c>
      <c r="C43" s="94">
        <f>'Model (SN)'!C43-'Model (Matrix)'!C43</f>
        <v>0</v>
      </c>
      <c r="D43" s="91">
        <f>'Model (SN)'!D43-'Model (Matrix)'!D43</f>
        <v>0</v>
      </c>
      <c r="E43" s="91">
        <f>'Model (SN)'!E43-'Model (Matrix)'!E43</f>
        <v>0</v>
      </c>
      <c r="F43" s="91">
        <f>'Model (SN)'!F43-'Model (Matrix)'!F43</f>
        <v>0</v>
      </c>
      <c r="G43" s="91">
        <f>'Model (SN)'!G43-'Model (Matrix)'!G43</f>
        <v>0</v>
      </c>
      <c r="H43" s="91">
        <f>'Model (SN)'!H43-'Model (Matrix)'!H43</f>
        <v>0</v>
      </c>
      <c r="I43" s="91">
        <f>'Model (SN)'!I43-'Model (Matrix)'!I43</f>
        <v>0</v>
      </c>
      <c r="J43" s="91">
        <f>'Model (SN)'!J43-'Model (Matrix)'!J43</f>
        <v>0</v>
      </c>
      <c r="K43" s="91">
        <f>'Model (SN)'!K43-'Model (Matrix)'!K43</f>
        <v>0</v>
      </c>
      <c r="L43" s="91">
        <f>'Model (SN)'!L43-'Model (Matrix)'!L43</f>
        <v>0</v>
      </c>
      <c r="M43" s="91">
        <f>'Model (SN)'!M43-'Model (Matrix)'!M43</f>
        <v>0</v>
      </c>
      <c r="N43" s="91">
        <f>'Model (SN)'!N43-'Model (Matrix)'!N43</f>
        <v>0</v>
      </c>
      <c r="O43" s="91">
        <f>'Model (SN)'!O43-'Model (Matrix)'!O43</f>
        <v>0</v>
      </c>
      <c r="P43" s="91">
        <f>'Model (SN)'!P43-'Model (Matrix)'!P43</f>
        <v>0</v>
      </c>
      <c r="Q43" s="91">
        <f>'Model (SN)'!Q43-'Model (Matrix)'!Q43</f>
        <v>0</v>
      </c>
      <c r="R43" s="91">
        <f>'Model (SN)'!R43-'Model (Matrix)'!R43</f>
        <v>0</v>
      </c>
      <c r="S43" s="91">
        <f>'Model (SN)'!S43-'Model (Matrix)'!S43</f>
        <v>0</v>
      </c>
      <c r="T43" s="91">
        <f>'Model (SN)'!T43-'Model (Matrix)'!T43</f>
        <v>0</v>
      </c>
      <c r="U43" s="91">
        <f>'Model (SN)'!U43-'Model (Matrix)'!U43</f>
        <v>0</v>
      </c>
      <c r="V43" s="91">
        <f>'Model (SN)'!V43-'Model (Matrix)'!V43</f>
        <v>0</v>
      </c>
    </row>
    <row r="44" spans="1:22" x14ac:dyDescent="0.25">
      <c r="A44" s="82"/>
      <c r="B44" s="63" t="s">
        <v>732</v>
      </c>
      <c r="C44" s="94">
        <f>'Model (SN)'!C44-'Model (Matrix)'!C44</f>
        <v>0</v>
      </c>
      <c r="D44" s="91">
        <f>'Model (SN)'!D44-'Model (Matrix)'!D44</f>
        <v>0</v>
      </c>
      <c r="E44" s="91">
        <f>'Model (SN)'!E44-'Model (Matrix)'!E44</f>
        <v>0</v>
      </c>
      <c r="F44" s="91">
        <f>'Model (SN)'!F44-'Model (Matrix)'!F44</f>
        <v>0</v>
      </c>
      <c r="G44" s="91">
        <f>'Model (SN)'!G44-'Model (Matrix)'!G44</f>
        <v>0</v>
      </c>
      <c r="H44" s="91">
        <f>'Model (SN)'!H44-'Model (Matrix)'!H44</f>
        <v>0</v>
      </c>
      <c r="I44" s="91">
        <f>'Model (SN)'!I44-'Model (Matrix)'!I44</f>
        <v>0</v>
      </c>
      <c r="J44" s="91">
        <f>'Model (SN)'!J44-'Model (Matrix)'!J44</f>
        <v>0</v>
      </c>
      <c r="K44" s="91">
        <f>'Model (SN)'!K44-'Model (Matrix)'!K44</f>
        <v>0</v>
      </c>
      <c r="L44" s="91">
        <f>'Model (SN)'!L44-'Model (Matrix)'!L44</f>
        <v>0</v>
      </c>
      <c r="M44" s="91">
        <f>'Model (SN)'!M44-'Model (Matrix)'!M44</f>
        <v>0</v>
      </c>
      <c r="N44" s="91">
        <f>'Model (SN)'!N44-'Model (Matrix)'!N44</f>
        <v>0</v>
      </c>
      <c r="O44" s="91">
        <f>'Model (SN)'!O44-'Model (Matrix)'!O44</f>
        <v>0</v>
      </c>
      <c r="P44" s="91">
        <f>'Model (SN)'!P44-'Model (Matrix)'!P44</f>
        <v>0</v>
      </c>
      <c r="Q44" s="91">
        <f>'Model (SN)'!Q44-'Model (Matrix)'!Q44</f>
        <v>0</v>
      </c>
      <c r="R44" s="91">
        <f>'Model (SN)'!R44-'Model (Matrix)'!R44</f>
        <v>0</v>
      </c>
      <c r="S44" s="91">
        <f>'Model (SN)'!S44-'Model (Matrix)'!S44</f>
        <v>0</v>
      </c>
      <c r="T44" s="91">
        <f>'Model (SN)'!T44-'Model (Matrix)'!T44</f>
        <v>0</v>
      </c>
      <c r="U44" s="91">
        <f>'Model (SN)'!U44-'Model (Matrix)'!U44</f>
        <v>0</v>
      </c>
      <c r="V44" s="91">
        <f>'Model (SN)'!V44-'Model (Matrix)'!V44</f>
        <v>0</v>
      </c>
    </row>
    <row r="45" spans="1:22" x14ac:dyDescent="0.25">
      <c r="A45" s="82"/>
      <c r="B45" s="63" t="s">
        <v>733</v>
      </c>
      <c r="C45" s="94">
        <f>'Model (SN)'!C45-'Model (Matrix)'!C45</f>
        <v>0</v>
      </c>
      <c r="D45" s="91">
        <f>'Model (SN)'!D45-'Model (Matrix)'!D45</f>
        <v>0</v>
      </c>
      <c r="E45" s="91">
        <f>'Model (SN)'!E45-'Model (Matrix)'!E45</f>
        <v>0</v>
      </c>
      <c r="F45" s="91">
        <f>'Model (SN)'!F45-'Model (Matrix)'!F45</f>
        <v>0</v>
      </c>
      <c r="G45" s="91">
        <f>'Model (SN)'!G45-'Model (Matrix)'!G45</f>
        <v>0</v>
      </c>
      <c r="H45" s="91">
        <f>'Model (SN)'!H45-'Model (Matrix)'!H45</f>
        <v>0</v>
      </c>
      <c r="I45" s="91">
        <f>'Model (SN)'!I45-'Model (Matrix)'!I45</f>
        <v>0</v>
      </c>
      <c r="J45" s="91">
        <f>'Model (SN)'!J45-'Model (Matrix)'!J45</f>
        <v>0</v>
      </c>
      <c r="K45" s="91">
        <f>'Model (SN)'!K45-'Model (Matrix)'!K45</f>
        <v>0</v>
      </c>
      <c r="L45" s="91">
        <f>'Model (SN)'!L45-'Model (Matrix)'!L45</f>
        <v>0</v>
      </c>
      <c r="M45" s="91">
        <f>'Model (SN)'!M45-'Model (Matrix)'!M45</f>
        <v>0</v>
      </c>
      <c r="N45" s="91">
        <f>'Model (SN)'!N45-'Model (Matrix)'!N45</f>
        <v>0</v>
      </c>
      <c r="O45" s="91">
        <f>'Model (SN)'!O45-'Model (Matrix)'!O45</f>
        <v>0</v>
      </c>
      <c r="P45" s="91">
        <f>'Model (SN)'!P45-'Model (Matrix)'!P45</f>
        <v>0</v>
      </c>
      <c r="Q45" s="91">
        <f>'Model (SN)'!Q45-'Model (Matrix)'!Q45</f>
        <v>0</v>
      </c>
      <c r="R45" s="91">
        <f>'Model (SN)'!R45-'Model (Matrix)'!R45</f>
        <v>0</v>
      </c>
      <c r="S45" s="91">
        <f>'Model (SN)'!S45-'Model (Matrix)'!S45</f>
        <v>0</v>
      </c>
      <c r="T45" s="91">
        <f>'Model (SN)'!T45-'Model (Matrix)'!T45</f>
        <v>0</v>
      </c>
      <c r="U45" s="91">
        <f>'Model (SN)'!U45-'Model (Matrix)'!U45</f>
        <v>0</v>
      </c>
      <c r="V45" s="91">
        <f>'Model (SN)'!V45-'Model (Matrix)'!V45</f>
        <v>0</v>
      </c>
    </row>
    <row r="46" spans="1:22" x14ac:dyDescent="0.25">
      <c r="A46" s="82"/>
      <c r="B46" s="63" t="s">
        <v>149</v>
      </c>
      <c r="C46" s="94">
        <f>'Model (SN)'!C46-'Model (Matrix)'!C46</f>
        <v>0</v>
      </c>
      <c r="D46" s="91">
        <f>'Model (SN)'!D46-'Model (Matrix)'!D46</f>
        <v>0</v>
      </c>
      <c r="E46" s="91">
        <f>'Model (SN)'!E46-'Model (Matrix)'!E46</f>
        <v>0</v>
      </c>
      <c r="F46" s="91">
        <f>'Model (SN)'!F46-'Model (Matrix)'!F46</f>
        <v>0</v>
      </c>
      <c r="G46" s="91">
        <f>'Model (SN)'!G46-'Model (Matrix)'!G46</f>
        <v>0</v>
      </c>
      <c r="H46" s="91">
        <f>'Model (SN)'!H46-'Model (Matrix)'!H46</f>
        <v>0</v>
      </c>
      <c r="I46" s="91">
        <f>'Model (SN)'!I46-'Model (Matrix)'!I46</f>
        <v>0</v>
      </c>
      <c r="J46" s="91">
        <f>'Model (SN)'!J46-'Model (Matrix)'!J46</f>
        <v>0</v>
      </c>
      <c r="K46" s="91">
        <f>'Model (SN)'!K46-'Model (Matrix)'!K46</f>
        <v>0</v>
      </c>
      <c r="L46" s="91">
        <f>'Model (SN)'!L46-'Model (Matrix)'!L46</f>
        <v>0</v>
      </c>
      <c r="M46" s="91">
        <f>'Model (SN)'!M46-'Model (Matrix)'!M46</f>
        <v>-2.0367076793796173</v>
      </c>
      <c r="N46" s="91">
        <f>'Model (SN)'!N46-'Model (Matrix)'!N46</f>
        <v>-2.1470476731896611</v>
      </c>
      <c r="O46" s="91">
        <f>'Model (SN)'!O46-'Model (Matrix)'!O46</f>
        <v>-2.0926995647184157</v>
      </c>
      <c r="P46" s="91">
        <f>'Model (SN)'!P46-'Model (Matrix)'!P46</f>
        <v>-2.0476440587741962</v>
      </c>
      <c r="Q46" s="91">
        <f>'Model (SN)'!Q46-'Model (Matrix)'!Q46</f>
        <v>-2.0262509286749122</v>
      </c>
      <c r="R46" s="91">
        <f>'Model (SN)'!R46-'Model (Matrix)'!R46</f>
        <v>-2.0222572383986943</v>
      </c>
      <c r="S46" s="91">
        <f>'Model (SN)'!S46-'Model (Matrix)'!S46</f>
        <v>-2.0298298854286685</v>
      </c>
      <c r="T46" s="91">
        <f>'Model (SN)'!T46-'Model (Matrix)'!T46</f>
        <v>-2.0449997312878736</v>
      </c>
      <c r="U46" s="91">
        <f>'Model (SN)'!U46-'Model (Matrix)'!U46</f>
        <v>-2.0650947113012563</v>
      </c>
      <c r="V46" s="91">
        <f>'Model (SN)'!V46-'Model (Matrix)'!V46</f>
        <v>-2.0882777780534099</v>
      </c>
    </row>
    <row r="47" spans="1:22" x14ac:dyDescent="0.25">
      <c r="A47" s="82"/>
      <c r="B47" s="63" t="s">
        <v>150</v>
      </c>
      <c r="C47" s="94">
        <f>'Model (SN)'!C47-'Model (Matrix)'!C47</f>
        <v>0</v>
      </c>
      <c r="D47" s="91">
        <f>'Model (SN)'!D47-'Model (Matrix)'!D47</f>
        <v>0</v>
      </c>
      <c r="E47" s="91">
        <f>'Model (SN)'!E47-'Model (Matrix)'!E47</f>
        <v>0</v>
      </c>
      <c r="F47" s="91">
        <f>'Model (SN)'!F47-'Model (Matrix)'!F47</f>
        <v>0</v>
      </c>
      <c r="G47" s="91">
        <f>'Model (SN)'!G47-'Model (Matrix)'!G47</f>
        <v>0</v>
      </c>
      <c r="H47" s="91">
        <f>'Model (SN)'!H47-'Model (Matrix)'!H47</f>
        <v>0</v>
      </c>
      <c r="I47" s="91">
        <f>'Model (SN)'!I47-'Model (Matrix)'!I47</f>
        <v>0</v>
      </c>
      <c r="J47" s="91">
        <f>'Model (SN)'!J47-'Model (Matrix)'!J47</f>
        <v>0</v>
      </c>
      <c r="K47" s="91">
        <f>'Model (SN)'!K47-'Model (Matrix)'!K47</f>
        <v>0</v>
      </c>
      <c r="L47" s="91">
        <f>'Model (SN)'!L47-'Model (Matrix)'!L47</f>
        <v>0</v>
      </c>
      <c r="M47" s="91">
        <f>'Model (SN)'!M47-'Model (Matrix)'!M47</f>
        <v>0</v>
      </c>
      <c r="N47" s="91">
        <f>'Model (SN)'!N47-'Model (Matrix)'!N47</f>
        <v>-0.56911419568871224</v>
      </c>
      <c r="O47" s="91">
        <f>'Model (SN)'!O47-'Model (Matrix)'!O47</f>
        <v>-1.1308463503101507</v>
      </c>
      <c r="P47" s="91">
        <f>'Model (SN)'!P47-'Model (Matrix)'!P47</f>
        <v>-1.6396735927743293</v>
      </c>
      <c r="Q47" s="91">
        <f>'Model (SN)'!Q47-'Model (Matrix)'!Q47</f>
        <v>-2.1017449352667086</v>
      </c>
      <c r="R47" s="91">
        <f>'Model (SN)'!R47-'Model (Matrix)'!R47</f>
        <v>-2.5268118280239378</v>
      </c>
      <c r="S47" s="91">
        <f>'Model (SN)'!S47-'Model (Matrix)'!S47</f>
        <v>-2.9222208999819941</v>
      </c>
      <c r="T47" s="91">
        <f>'Model (SN)'!T47-'Model (Matrix)'!T47</f>
        <v>-3.2931955425013371</v>
      </c>
      <c r="U47" s="91">
        <f>'Model (SN)'!U47-'Model (Matrix)'!U47</f>
        <v>-3.6434993226143888</v>
      </c>
      <c r="V47" s="91">
        <f>'Model (SN)'!V47-'Model (Matrix)'!V47</f>
        <v>-3.9758964449194991</v>
      </c>
    </row>
    <row r="48" spans="1:22" x14ac:dyDescent="0.25">
      <c r="A48" s="82"/>
      <c r="B48" s="63" t="s">
        <v>718</v>
      </c>
      <c r="C48" s="94">
        <f>'Model (SN)'!C48-'Model (Matrix)'!C48</f>
        <v>0</v>
      </c>
      <c r="D48" s="91">
        <f>'Model (SN)'!D48-'Model (Matrix)'!D48</f>
        <v>0</v>
      </c>
      <c r="E48" s="91">
        <f>'Model (SN)'!E48-'Model (Matrix)'!E48</f>
        <v>0</v>
      </c>
      <c r="F48" s="91">
        <f>'Model (SN)'!F48-'Model (Matrix)'!F48</f>
        <v>0</v>
      </c>
      <c r="G48" s="91">
        <f>'Model (SN)'!G48-'Model (Matrix)'!G48</f>
        <v>0</v>
      </c>
      <c r="H48" s="91">
        <f>'Model (SN)'!H48-'Model (Matrix)'!H48</f>
        <v>0</v>
      </c>
      <c r="I48" s="91">
        <f>'Model (SN)'!I48-'Model (Matrix)'!I48</f>
        <v>0</v>
      </c>
      <c r="J48" s="91">
        <f>'Model (SN)'!J48-'Model (Matrix)'!J48</f>
        <v>0</v>
      </c>
      <c r="K48" s="91">
        <f>'Model (SN)'!K48-'Model (Matrix)'!K48</f>
        <v>0</v>
      </c>
      <c r="L48" s="91">
        <f>'Model (SN)'!L48-'Model (Matrix)'!L48</f>
        <v>0</v>
      </c>
      <c r="M48" s="91">
        <f>'Model (SN)'!M48-'Model (Matrix)'!M48</f>
        <v>0</v>
      </c>
      <c r="N48" s="91">
        <f>'Model (SN)'!N48-'Model (Matrix)'!N48</f>
        <v>0</v>
      </c>
      <c r="O48" s="91">
        <f>'Model (SN)'!O48-'Model (Matrix)'!O48</f>
        <v>0</v>
      </c>
      <c r="P48" s="91">
        <f>'Model (SN)'!P48-'Model (Matrix)'!P48</f>
        <v>0</v>
      </c>
      <c r="Q48" s="91">
        <f>'Model (SN)'!Q48-'Model (Matrix)'!Q48</f>
        <v>0</v>
      </c>
      <c r="R48" s="91">
        <f>'Model (SN)'!R48-'Model (Matrix)'!R48</f>
        <v>0</v>
      </c>
      <c r="S48" s="91">
        <f>'Model (SN)'!S48-'Model (Matrix)'!S48</f>
        <v>0</v>
      </c>
      <c r="T48" s="91">
        <f>'Model (SN)'!T48-'Model (Matrix)'!T48</f>
        <v>0</v>
      </c>
      <c r="U48" s="91">
        <f>'Model (SN)'!U48-'Model (Matrix)'!U48</f>
        <v>0</v>
      </c>
      <c r="V48" s="91">
        <f>'Model (SN)'!V48-'Model (Matrix)'!V48</f>
        <v>0</v>
      </c>
    </row>
    <row r="49" spans="1:22" x14ac:dyDescent="0.25">
      <c r="A49" s="82"/>
      <c r="B49" s="63" t="s">
        <v>136</v>
      </c>
      <c r="C49" s="94">
        <f>'Model (SN)'!C49-'Model (Matrix)'!C49</f>
        <v>0</v>
      </c>
      <c r="D49" s="91">
        <f>'Model (SN)'!D49-'Model (Matrix)'!D49</f>
        <v>0</v>
      </c>
      <c r="E49" s="91">
        <f>'Model (SN)'!E49-'Model (Matrix)'!E49</f>
        <v>0</v>
      </c>
      <c r="F49" s="91">
        <f>'Model (SN)'!F49-'Model (Matrix)'!F49</f>
        <v>0</v>
      </c>
      <c r="G49" s="91">
        <f>'Model (SN)'!G49-'Model (Matrix)'!G49</f>
        <v>0</v>
      </c>
      <c r="H49" s="91">
        <f>'Model (SN)'!H49-'Model (Matrix)'!H49</f>
        <v>0</v>
      </c>
      <c r="I49" s="91">
        <f>'Model (SN)'!I49-'Model (Matrix)'!I49</f>
        <v>0</v>
      </c>
      <c r="J49" s="91">
        <f>'Model (SN)'!J49-'Model (Matrix)'!J49</f>
        <v>0</v>
      </c>
      <c r="K49" s="91">
        <f>'Model (SN)'!K49-'Model (Matrix)'!K49</f>
        <v>0</v>
      </c>
      <c r="L49" s="91">
        <f>'Model (SN)'!L49-'Model (Matrix)'!L49</f>
        <v>0</v>
      </c>
      <c r="M49" s="91">
        <f>'Model (SN)'!M49-'Model (Matrix)'!M49</f>
        <v>0</v>
      </c>
      <c r="N49" s="91">
        <f>'Model (SN)'!N49-'Model (Matrix)'!N49</f>
        <v>0</v>
      </c>
      <c r="O49" s="91">
        <f>'Model (SN)'!O49-'Model (Matrix)'!O49</f>
        <v>-5.7242821941855482E-2</v>
      </c>
      <c r="P49" s="91">
        <f>'Model (SN)'!P49-'Model (Matrix)'!P49</f>
        <v>-0.15742086747602002</v>
      </c>
      <c r="Q49" s="91">
        <f>'Model (SN)'!Q49-'Model (Matrix)'!Q49</f>
        <v>-0.28948228750243743</v>
      </c>
      <c r="R49" s="91">
        <f>'Model (SN)'!R49-'Model (Matrix)'!R49</f>
        <v>-0.44565918846896579</v>
      </c>
      <c r="S49" s="91">
        <f>'Model (SN)'!S49-'Model (Matrix)'!S49</f>
        <v>-0.62015939089107519</v>
      </c>
      <c r="T49" s="91">
        <f>'Model (SN)'!T49-'Model (Matrix)'!T49</f>
        <v>-0.80847892612936789</v>
      </c>
      <c r="U49" s="91">
        <f>'Model (SN)'!U49-'Model (Matrix)'!U49</f>
        <v>-1.0070424643209037</v>
      </c>
      <c r="V49" s="91">
        <f>'Model (SN)'!V49-'Model (Matrix)'!V49</f>
        <v>-1.2129778993348168</v>
      </c>
    </row>
    <row r="50" spans="1:22" x14ac:dyDescent="0.25">
      <c r="A50" s="82"/>
      <c r="B50" s="63" t="s">
        <v>734</v>
      </c>
      <c r="C50" s="94">
        <f>'Model (SN)'!C50-'Model (Matrix)'!C50</f>
        <v>0</v>
      </c>
      <c r="D50" s="91">
        <f>'Model (SN)'!D50-'Model (Matrix)'!D50</f>
        <v>0</v>
      </c>
      <c r="E50" s="91">
        <f>'Model (SN)'!E50-'Model (Matrix)'!E50</f>
        <v>0</v>
      </c>
      <c r="F50" s="91">
        <f>'Model (SN)'!F50-'Model (Matrix)'!F50</f>
        <v>0</v>
      </c>
      <c r="G50" s="91">
        <f>'Model (SN)'!G50-'Model (Matrix)'!G50</f>
        <v>0</v>
      </c>
      <c r="H50" s="91">
        <f>'Model (SN)'!H50-'Model (Matrix)'!H50</f>
        <v>0</v>
      </c>
      <c r="I50" s="91">
        <f>'Model (SN)'!I50-'Model (Matrix)'!I50</f>
        <v>0</v>
      </c>
      <c r="J50" s="91">
        <f>'Model (SN)'!J50-'Model (Matrix)'!J50</f>
        <v>0</v>
      </c>
      <c r="K50" s="91">
        <f>'Model (SN)'!K50-'Model (Matrix)'!K50</f>
        <v>0</v>
      </c>
      <c r="L50" s="91">
        <f>'Model (SN)'!L50-'Model (Matrix)'!L50</f>
        <v>0</v>
      </c>
      <c r="M50" s="91">
        <f>'Model (SN)'!M50-'Model (Matrix)'!M50</f>
        <v>0</v>
      </c>
      <c r="N50" s="91">
        <f>'Model (SN)'!N50-'Model (Matrix)'!N50</f>
        <v>0</v>
      </c>
      <c r="O50" s="91">
        <f>'Model (SN)'!O50-'Model (Matrix)'!O50</f>
        <v>0</v>
      </c>
      <c r="P50" s="91">
        <f>'Model (SN)'!P50-'Model (Matrix)'!P50</f>
        <v>0</v>
      </c>
      <c r="Q50" s="91">
        <f>'Model (SN)'!Q50-'Model (Matrix)'!Q50</f>
        <v>0</v>
      </c>
      <c r="R50" s="91">
        <f>'Model (SN)'!R50-'Model (Matrix)'!R50</f>
        <v>0</v>
      </c>
      <c r="S50" s="91">
        <f>'Model (SN)'!S50-'Model (Matrix)'!S50</f>
        <v>0</v>
      </c>
      <c r="T50" s="91">
        <f>'Model (SN)'!T50-'Model (Matrix)'!T50</f>
        <v>0</v>
      </c>
      <c r="U50" s="91">
        <f>'Model (SN)'!U50-'Model (Matrix)'!U50</f>
        <v>0</v>
      </c>
      <c r="V50" s="91">
        <f>'Model (SN)'!V50-'Model (Matrix)'!V50</f>
        <v>0</v>
      </c>
    </row>
    <row r="51" spans="1:22" x14ac:dyDescent="0.25">
      <c r="A51" s="82"/>
      <c r="B51" s="63" t="s">
        <v>137</v>
      </c>
      <c r="C51" s="202">
        <f>'Model (SN)'!C51-'Model (Matrix)'!C51</f>
        <v>0</v>
      </c>
      <c r="D51" s="91">
        <f>'Model (SN)'!D51-'Model (Matrix)'!D51</f>
        <v>0</v>
      </c>
      <c r="E51" s="91">
        <f>'Model (SN)'!E51-'Model (Matrix)'!E51</f>
        <v>0</v>
      </c>
      <c r="F51" s="91">
        <f>'Model (SN)'!F51-'Model (Matrix)'!F51</f>
        <v>0</v>
      </c>
      <c r="G51" s="91">
        <f>'Model (SN)'!G51-'Model (Matrix)'!G51</f>
        <v>0</v>
      </c>
      <c r="H51" s="91">
        <f>'Model (SN)'!H51-'Model (Matrix)'!H51</f>
        <v>0</v>
      </c>
      <c r="I51" s="91">
        <f>'Model (SN)'!I51-'Model (Matrix)'!I51</f>
        <v>0</v>
      </c>
      <c r="J51" s="91">
        <f>'Model (SN)'!J51-'Model (Matrix)'!J51</f>
        <v>0</v>
      </c>
      <c r="K51" s="91">
        <f>'Model (SN)'!K51-'Model (Matrix)'!K51</f>
        <v>0</v>
      </c>
      <c r="L51" s="91">
        <f>'Model (SN)'!L51-'Model (Matrix)'!L51</f>
        <v>0</v>
      </c>
      <c r="M51" s="91">
        <f>'Model (SN)'!M51-'Model (Matrix)'!M51</f>
        <v>0</v>
      </c>
      <c r="N51" s="91">
        <f>'Model (SN)'!N51-'Model (Matrix)'!N51</f>
        <v>0</v>
      </c>
      <c r="O51" s="91">
        <f>'Model (SN)'!O51-'Model (Matrix)'!O51</f>
        <v>0</v>
      </c>
      <c r="P51" s="91">
        <f>'Model (SN)'!P51-'Model (Matrix)'!P51</f>
        <v>0</v>
      </c>
      <c r="Q51" s="91">
        <f>'Model (SN)'!Q51-'Model (Matrix)'!Q51</f>
        <v>0</v>
      </c>
      <c r="R51" s="91">
        <f>'Model (SN)'!R51-'Model (Matrix)'!R51</f>
        <v>0</v>
      </c>
      <c r="S51" s="91">
        <f>'Model (SN)'!S51-'Model (Matrix)'!S51</f>
        <v>0</v>
      </c>
      <c r="T51" s="91">
        <f>'Model (SN)'!T51-'Model (Matrix)'!T51</f>
        <v>0</v>
      </c>
      <c r="U51" s="91">
        <f>'Model (SN)'!U51-'Model (Matrix)'!U51</f>
        <v>0</v>
      </c>
      <c r="V51" s="91">
        <f>'Model (SN)'!V51-'Model (Matrix)'!V51</f>
        <v>0</v>
      </c>
    </row>
    <row r="52" spans="1:22" x14ac:dyDescent="0.25">
      <c r="A52" s="82"/>
      <c r="B52" s="63" t="s">
        <v>138</v>
      </c>
      <c r="C52" s="202">
        <f>'Model (SN)'!C52-'Model (Matrix)'!C52</f>
        <v>0</v>
      </c>
      <c r="D52" s="91">
        <f>'Model (SN)'!D52-'Model (Matrix)'!D52</f>
        <v>0</v>
      </c>
      <c r="E52" s="91">
        <f>'Model (SN)'!E52-'Model (Matrix)'!E52</f>
        <v>0</v>
      </c>
      <c r="F52" s="91">
        <f>'Model (SN)'!F52-'Model (Matrix)'!F52</f>
        <v>0</v>
      </c>
      <c r="G52" s="91">
        <f>'Model (SN)'!G52-'Model (Matrix)'!G52</f>
        <v>0</v>
      </c>
      <c r="H52" s="91">
        <f>'Model (SN)'!H52-'Model (Matrix)'!H52</f>
        <v>0</v>
      </c>
      <c r="I52" s="91">
        <f>'Model (SN)'!I52-'Model (Matrix)'!I52</f>
        <v>0</v>
      </c>
      <c r="J52" s="91">
        <f>'Model (SN)'!J52-'Model (Matrix)'!J52</f>
        <v>0</v>
      </c>
      <c r="K52" s="91">
        <f>'Model (SN)'!K52-'Model (Matrix)'!K52</f>
        <v>0</v>
      </c>
      <c r="L52" s="91">
        <f>'Model (SN)'!L52-'Model (Matrix)'!L52</f>
        <v>0</v>
      </c>
      <c r="M52" s="91">
        <f>'Model (SN)'!M52-'Model (Matrix)'!M52</f>
        <v>-2.0367076793799015</v>
      </c>
      <c r="N52" s="91">
        <f>'Model (SN)'!N52-'Model (Matrix)'!N52</f>
        <v>-2.7161618688785438</v>
      </c>
      <c r="O52" s="91">
        <f>'Model (SN)'!O52-'Model (Matrix)'!O52</f>
        <v>-3.2807887369705213</v>
      </c>
      <c r="P52" s="91">
        <f>'Model (SN)'!P52-'Model (Matrix)'!P52</f>
        <v>-3.8447385190247587</v>
      </c>
      <c r="Q52" s="91">
        <f>'Model (SN)'!Q52-'Model (Matrix)'!Q52</f>
        <v>-4.4174781514441293</v>
      </c>
      <c r="R52" s="91">
        <f>'Model (SN)'!R52-'Model (Matrix)'!R52</f>
        <v>-4.99472825489147</v>
      </c>
      <c r="S52" s="91">
        <f>'Model (SN)'!S52-'Model (Matrix)'!S52</f>
        <v>-5.5722101763017235</v>
      </c>
      <c r="T52" s="91">
        <f>'Model (SN)'!T52-'Model (Matrix)'!T52</f>
        <v>-6.146674199918607</v>
      </c>
      <c r="U52" s="91">
        <f>'Model (SN)'!U52-'Model (Matrix)'!U52</f>
        <v>-6.7156364982364494</v>
      </c>
      <c r="V52" s="91">
        <f>'Model (SN)'!V52-'Model (Matrix)'!V52</f>
        <v>-7.2771521223075979</v>
      </c>
    </row>
    <row r="53" spans="1:22" x14ac:dyDescent="0.25">
      <c r="A53" s="82"/>
      <c r="B53" s="63" t="s">
        <v>139</v>
      </c>
      <c r="C53" s="202">
        <f>'Model (SN)'!C53-'Model (Matrix)'!C53</f>
        <v>0</v>
      </c>
      <c r="D53" s="91">
        <f>'Model (SN)'!D53-'Model (Matrix)'!D53</f>
        <v>0</v>
      </c>
      <c r="E53" s="91">
        <f>'Model (SN)'!E53-'Model (Matrix)'!E53</f>
        <v>0</v>
      </c>
      <c r="F53" s="91">
        <f>'Model (SN)'!F53-'Model (Matrix)'!F53</f>
        <v>0</v>
      </c>
      <c r="G53" s="91">
        <f>'Model (SN)'!G53-'Model (Matrix)'!G53</f>
        <v>0</v>
      </c>
      <c r="H53" s="91">
        <f>'Model (SN)'!H53-'Model (Matrix)'!H53</f>
        <v>0</v>
      </c>
      <c r="I53" s="91">
        <f>'Model (SN)'!I53-'Model (Matrix)'!I53</f>
        <v>0</v>
      </c>
      <c r="J53" s="91">
        <f>'Model (SN)'!J53-'Model (Matrix)'!J53</f>
        <v>0</v>
      </c>
      <c r="K53" s="91">
        <f>'Model (SN)'!K53-'Model (Matrix)'!K53</f>
        <v>0</v>
      </c>
      <c r="L53" s="91">
        <f>'Model (SN)'!L53-'Model (Matrix)'!L53</f>
        <v>0</v>
      </c>
      <c r="M53" s="91">
        <f>'Model (SN)'!M53-'Model (Matrix)'!M53</f>
        <v>-2.0367076793797878</v>
      </c>
      <c r="N53" s="91">
        <f>'Model (SN)'!N53-'Model (Matrix)'!N53</f>
        <v>-2.7161618688783165</v>
      </c>
      <c r="O53" s="91">
        <f>'Model (SN)'!O53-'Model (Matrix)'!O53</f>
        <v>-3.2807887369701803</v>
      </c>
      <c r="P53" s="91">
        <f>'Model (SN)'!P53-'Model (Matrix)'!P53</f>
        <v>-3.8447385190247587</v>
      </c>
      <c r="Q53" s="91">
        <f>'Model (SN)'!Q53-'Model (Matrix)'!Q53</f>
        <v>-4.4174781514441293</v>
      </c>
      <c r="R53" s="91">
        <f>'Model (SN)'!R53-'Model (Matrix)'!R53</f>
        <v>-4.99472825489147</v>
      </c>
      <c r="S53" s="91">
        <f>'Model (SN)'!S53-'Model (Matrix)'!S53</f>
        <v>-5.5722101763017235</v>
      </c>
      <c r="T53" s="91">
        <f>'Model (SN)'!T53-'Model (Matrix)'!T53</f>
        <v>-6.1466741999183796</v>
      </c>
      <c r="U53" s="91">
        <f>'Model (SN)'!U53-'Model (Matrix)'!U53</f>
        <v>-6.7156364982365631</v>
      </c>
      <c r="V53" s="91">
        <f>'Model (SN)'!V53-'Model (Matrix)'!V53</f>
        <v>-7.2771521223073705</v>
      </c>
    </row>
    <row r="54" spans="1:22" x14ac:dyDescent="0.25">
      <c r="A54" s="82"/>
      <c r="B54" s="63" t="s">
        <v>127</v>
      </c>
      <c r="C54" s="94">
        <f>'Model (SN)'!C54-'Model (Matrix)'!C54</f>
        <v>0</v>
      </c>
      <c r="D54" s="91">
        <f>'Model (SN)'!D54-'Model (Matrix)'!D54</f>
        <v>0</v>
      </c>
      <c r="E54" s="91">
        <f>'Model (SN)'!E54-'Model (Matrix)'!E54</f>
        <v>0</v>
      </c>
      <c r="F54" s="91">
        <f>'Model (SN)'!F54-'Model (Matrix)'!F54</f>
        <v>0</v>
      </c>
      <c r="G54" s="91">
        <f>'Model (SN)'!G54-'Model (Matrix)'!G54</f>
        <v>0</v>
      </c>
      <c r="H54" s="91">
        <f>'Model (SN)'!H54-'Model (Matrix)'!H54</f>
        <v>0</v>
      </c>
      <c r="I54" s="91">
        <f>'Model (SN)'!I54-'Model (Matrix)'!I54</f>
        <v>0</v>
      </c>
      <c r="J54" s="91">
        <f>'Model (SN)'!J54-'Model (Matrix)'!J54</f>
        <v>0</v>
      </c>
      <c r="K54" s="91">
        <f>'Model (SN)'!K54-'Model (Matrix)'!K54</f>
        <v>0</v>
      </c>
      <c r="L54" s="91">
        <f>'Model (SN)'!L54-'Model (Matrix)'!L54</f>
        <v>0</v>
      </c>
      <c r="M54" s="91">
        <f>'Model (SN)'!M54-'Model (Matrix)'!M54</f>
        <v>0</v>
      </c>
      <c r="N54" s="91">
        <f>'Model (SN)'!N54-'Model (Matrix)'!N54</f>
        <v>0</v>
      </c>
      <c r="O54" s="91">
        <f>'Model (SN)'!O54-'Model (Matrix)'!O54</f>
        <v>0</v>
      </c>
      <c r="P54" s="91">
        <f>'Model (SN)'!P54-'Model (Matrix)'!P54</f>
        <v>0</v>
      </c>
      <c r="Q54" s="91">
        <f>'Model (SN)'!Q54-'Model (Matrix)'!Q54</f>
        <v>0</v>
      </c>
      <c r="R54" s="91">
        <f>'Model (SN)'!R54-'Model (Matrix)'!R54</f>
        <v>0</v>
      </c>
      <c r="S54" s="91">
        <f>'Model (SN)'!S54-'Model (Matrix)'!S54</f>
        <v>0</v>
      </c>
      <c r="T54" s="91">
        <f>'Model (SN)'!T54-'Model (Matrix)'!T54</f>
        <v>0</v>
      </c>
      <c r="U54" s="91">
        <f>'Model (SN)'!U54-'Model (Matrix)'!U54</f>
        <v>0</v>
      </c>
      <c r="V54" s="91">
        <f>'Model (SN)'!V54-'Model (Matrix)'!V54</f>
        <v>0</v>
      </c>
    </row>
    <row r="55" spans="1:22" x14ac:dyDescent="0.25">
      <c r="A55" s="82"/>
      <c r="B55" s="63" t="s">
        <v>128</v>
      </c>
      <c r="C55" s="94">
        <f>'Model (SN)'!C55-'Model (Matrix)'!C55</f>
        <v>0</v>
      </c>
      <c r="D55" s="91">
        <f>'Model (SN)'!D55-'Model (Matrix)'!D55</f>
        <v>0</v>
      </c>
      <c r="E55" s="91">
        <f>'Model (SN)'!E55-'Model (Matrix)'!E55</f>
        <v>0</v>
      </c>
      <c r="F55" s="91">
        <f>'Model (SN)'!F55-'Model (Matrix)'!F55</f>
        <v>0</v>
      </c>
      <c r="G55" s="91">
        <f>'Model (SN)'!G55-'Model (Matrix)'!G55</f>
        <v>0</v>
      </c>
      <c r="H55" s="91">
        <f>'Model (SN)'!H55-'Model (Matrix)'!H55</f>
        <v>0</v>
      </c>
      <c r="I55" s="91">
        <f>'Model (SN)'!I55-'Model (Matrix)'!I55</f>
        <v>0</v>
      </c>
      <c r="J55" s="91">
        <f>'Model (SN)'!J55-'Model (Matrix)'!J55</f>
        <v>0</v>
      </c>
      <c r="K55" s="91">
        <f>'Model (SN)'!K55-'Model (Matrix)'!K55</f>
        <v>0</v>
      </c>
      <c r="L55" s="91">
        <f>'Model (SN)'!L55-'Model (Matrix)'!L55</f>
        <v>0</v>
      </c>
      <c r="M55" s="91">
        <f>'Model (SN)'!M55-'Model (Matrix)'!M55</f>
        <v>0</v>
      </c>
      <c r="N55" s="91">
        <f>'Model (SN)'!N55-'Model (Matrix)'!N55</f>
        <v>0</v>
      </c>
      <c r="O55" s="91">
        <f>'Model (SN)'!O55-'Model (Matrix)'!O55</f>
        <v>0</v>
      </c>
      <c r="P55" s="91">
        <f>'Model (SN)'!P55-'Model (Matrix)'!P55</f>
        <v>0</v>
      </c>
      <c r="Q55" s="91">
        <f>'Model (SN)'!Q55-'Model (Matrix)'!Q55</f>
        <v>0</v>
      </c>
      <c r="R55" s="91">
        <f>'Model (SN)'!R55-'Model (Matrix)'!R55</f>
        <v>0</v>
      </c>
      <c r="S55" s="91">
        <f>'Model (SN)'!S55-'Model (Matrix)'!S55</f>
        <v>0</v>
      </c>
      <c r="T55" s="91">
        <f>'Model (SN)'!T55-'Model (Matrix)'!T55</f>
        <v>0</v>
      </c>
      <c r="U55" s="91">
        <f>'Model (SN)'!U55-'Model (Matrix)'!U55</f>
        <v>0</v>
      </c>
      <c r="V55" s="91">
        <f>'Model (SN)'!V55-'Model (Matrix)'!V55</f>
        <v>0</v>
      </c>
    </row>
    <row r="56" spans="1:22" x14ac:dyDescent="0.25">
      <c r="A56" s="82"/>
      <c r="B56" s="63" t="s">
        <v>151</v>
      </c>
      <c r="C56" s="94">
        <f>'Model (SN)'!C56-'Model (Matrix)'!C56</f>
        <v>0</v>
      </c>
      <c r="D56" s="91">
        <f>'Model (SN)'!D56-'Model (Matrix)'!D56</f>
        <v>0</v>
      </c>
      <c r="E56" s="91">
        <f>'Model (SN)'!E56-'Model (Matrix)'!E56</f>
        <v>0</v>
      </c>
      <c r="F56" s="91">
        <f>'Model (SN)'!F56-'Model (Matrix)'!F56</f>
        <v>0</v>
      </c>
      <c r="G56" s="91">
        <f>'Model (SN)'!G56-'Model (Matrix)'!G56</f>
        <v>0</v>
      </c>
      <c r="H56" s="91">
        <f>'Model (SN)'!H56-'Model (Matrix)'!H56</f>
        <v>0</v>
      </c>
      <c r="I56" s="91">
        <f>'Model (SN)'!I56-'Model (Matrix)'!I56</f>
        <v>0</v>
      </c>
      <c r="J56" s="91">
        <f>'Model (SN)'!J56-'Model (Matrix)'!J56</f>
        <v>0</v>
      </c>
      <c r="K56" s="91">
        <f>'Model (SN)'!K56-'Model (Matrix)'!K56</f>
        <v>0</v>
      </c>
      <c r="L56" s="91">
        <f>'Model (SN)'!L56-'Model (Matrix)'!L56</f>
        <v>0</v>
      </c>
      <c r="M56" s="91">
        <f>'Model (SN)'!M56-'Model (Matrix)'!M56</f>
        <v>0</v>
      </c>
      <c r="N56" s="91">
        <f>'Model (SN)'!N56-'Model (Matrix)'!N56</f>
        <v>0</v>
      </c>
      <c r="O56" s="91">
        <f>'Model (SN)'!O56-'Model (Matrix)'!O56</f>
        <v>0</v>
      </c>
      <c r="P56" s="91">
        <f>'Model (SN)'!P56-'Model (Matrix)'!P56</f>
        <v>0</v>
      </c>
      <c r="Q56" s="91">
        <f>'Model (SN)'!Q56-'Model (Matrix)'!Q56</f>
        <v>0</v>
      </c>
      <c r="R56" s="91">
        <f>'Model (SN)'!R56-'Model (Matrix)'!R56</f>
        <v>0</v>
      </c>
      <c r="S56" s="91">
        <f>'Model (SN)'!S56-'Model (Matrix)'!S56</f>
        <v>0</v>
      </c>
      <c r="T56" s="91">
        <f>'Model (SN)'!T56-'Model (Matrix)'!T56</f>
        <v>0</v>
      </c>
      <c r="U56" s="91">
        <f>'Model (SN)'!U56-'Model (Matrix)'!U56</f>
        <v>0</v>
      </c>
      <c r="V56" s="91">
        <f>'Model (SN)'!V56-'Model (Matrix)'!V56</f>
        <v>0</v>
      </c>
    </row>
    <row r="57" spans="1:22" x14ac:dyDescent="0.25">
      <c r="A57" s="82"/>
      <c r="B57" s="63" t="s">
        <v>152</v>
      </c>
      <c r="C57" s="94">
        <f>'Model (SN)'!C57-'Model (Matrix)'!C57</f>
        <v>0</v>
      </c>
      <c r="D57" s="91">
        <f>'Model (SN)'!D57-'Model (Matrix)'!D57</f>
        <v>0</v>
      </c>
      <c r="E57" s="91">
        <f>'Model (SN)'!E57-'Model (Matrix)'!E57</f>
        <v>0</v>
      </c>
      <c r="F57" s="91">
        <f>'Model (SN)'!F57-'Model (Matrix)'!F57</f>
        <v>0</v>
      </c>
      <c r="G57" s="91">
        <f>'Model (SN)'!G57-'Model (Matrix)'!G57</f>
        <v>0</v>
      </c>
      <c r="H57" s="91">
        <f>'Model (SN)'!H57-'Model (Matrix)'!H57</f>
        <v>0</v>
      </c>
      <c r="I57" s="91">
        <f>'Model (SN)'!I57-'Model (Matrix)'!I57</f>
        <v>0</v>
      </c>
      <c r="J57" s="91">
        <f>'Model (SN)'!J57-'Model (Matrix)'!J57</f>
        <v>0</v>
      </c>
      <c r="K57" s="91">
        <f>'Model (SN)'!K57-'Model (Matrix)'!K57</f>
        <v>0</v>
      </c>
      <c r="L57" s="91">
        <f>'Model (SN)'!L57-'Model (Matrix)'!L57</f>
        <v>0</v>
      </c>
      <c r="M57" s="91">
        <f>'Model (SN)'!M57-'Model (Matrix)'!M57</f>
        <v>-9.4947972287374114</v>
      </c>
      <c r="N57" s="91">
        <f>'Model (SN)'!N57-'Model (Matrix)'!N57</f>
        <v>-8.6316290460030132</v>
      </c>
      <c r="O57" s="91">
        <f>'Model (SN)'!O57-'Model (Matrix)'!O57</f>
        <v>-8.3036371097226152</v>
      </c>
      <c r="P57" s="91">
        <f>'Model (SN)'!P57-'Model (Matrix)'!P57</f>
        <v>-8.1303548167650774</v>
      </c>
      <c r="Q57" s="91">
        <f>'Model (SN)'!Q57-'Model (Matrix)'!Q57</f>
        <v>-8.061097460896633</v>
      </c>
      <c r="R57" s="91">
        <f>'Model (SN)'!R57-'Model (Matrix)'!R57</f>
        <v>-8.0569490683174081</v>
      </c>
      <c r="S57" s="91">
        <f>'Model (SN)'!S57-'Model (Matrix)'!S57</f>
        <v>-8.0949526941633394</v>
      </c>
      <c r="T57" s="91">
        <f>'Model (SN)'!T57-'Model (Matrix)'!T57</f>
        <v>-8.1605501644985452</v>
      </c>
      <c r="U57" s="91">
        <f>'Model (SN)'!U57-'Model (Matrix)'!U57</f>
        <v>-8.2439693331479589</v>
      </c>
      <c r="V57" s="91">
        <f>'Model (SN)'!V57-'Model (Matrix)'!V57</f>
        <v>-8.3384534738426055</v>
      </c>
    </row>
    <row r="58" spans="1:22" x14ac:dyDescent="0.25">
      <c r="A58" s="82"/>
      <c r="B58" s="63" t="s">
        <v>153</v>
      </c>
      <c r="C58" s="94">
        <f>'Model (SN)'!C58-'Model (Matrix)'!C58</f>
        <v>0</v>
      </c>
      <c r="D58" s="91">
        <f>'Model (SN)'!D58-'Model (Matrix)'!D58</f>
        <v>0</v>
      </c>
      <c r="E58" s="91">
        <f>'Model (SN)'!E58-'Model (Matrix)'!E58</f>
        <v>0</v>
      </c>
      <c r="F58" s="91">
        <f>'Model (SN)'!F58-'Model (Matrix)'!F58</f>
        <v>0</v>
      </c>
      <c r="G58" s="91">
        <f>'Model (SN)'!G58-'Model (Matrix)'!G58</f>
        <v>0</v>
      </c>
      <c r="H58" s="91">
        <f>'Model (SN)'!H58-'Model (Matrix)'!H58</f>
        <v>0</v>
      </c>
      <c r="I58" s="91">
        <f>'Model (SN)'!I58-'Model (Matrix)'!I58</f>
        <v>0</v>
      </c>
      <c r="J58" s="91">
        <f>'Model (SN)'!J58-'Model (Matrix)'!J58</f>
        <v>0</v>
      </c>
      <c r="K58" s="91">
        <f>'Model (SN)'!K58-'Model (Matrix)'!K58</f>
        <v>0</v>
      </c>
      <c r="L58" s="91">
        <f>'Model (SN)'!L58-'Model (Matrix)'!L58</f>
        <v>0</v>
      </c>
      <c r="M58" s="91">
        <f>'Model (SN)'!M58-'Model (Matrix)'!M58</f>
        <v>0</v>
      </c>
      <c r="N58" s="91">
        <f>'Model (SN)'!N58-'Model (Matrix)'!N58</f>
        <v>-1.357484468054281</v>
      </c>
      <c r="O58" s="91">
        <f>'Model (SN)'!O58-'Model (Matrix)'!O58</f>
        <v>-2.5004098706691593</v>
      </c>
      <c r="P58" s="91">
        <f>'Model (SN)'!P58-'Model (Matrix)'!P58</f>
        <v>-3.5196980546392069</v>
      </c>
      <c r="Q58" s="91">
        <f>'Model (SN)'!Q58-'Model (Matrix)'!Q58</f>
        <v>-4.4457699146882987</v>
      </c>
      <c r="R58" s="91">
        <f>'Model (SN)'!R58-'Model (Matrix)'!R58</f>
        <v>-5.2997572171559568</v>
      </c>
      <c r="S58" s="91">
        <f>'Model (SN)'!S58-'Model (Matrix)'!S58</f>
        <v>-6.0958089271583731</v>
      </c>
      <c r="T58" s="91">
        <f>'Model (SN)'!T58-'Model (Matrix)'!T58</f>
        <v>-6.8438417658884418</v>
      </c>
      <c r="U58" s="91">
        <f>'Model (SN)'!U58-'Model (Matrix)'!U58</f>
        <v>-7.5510251761858171</v>
      </c>
      <c r="V58" s="91">
        <f>'Model (SN)'!V58-'Model (Matrix)'!V58</f>
        <v>-8.2226500585081794</v>
      </c>
    </row>
    <row r="59" spans="1:22" x14ac:dyDescent="0.25">
      <c r="A59" s="82"/>
      <c r="B59" s="63" t="s">
        <v>142</v>
      </c>
      <c r="C59" s="94">
        <f>'Model (SN)'!C59-'Model (Matrix)'!C59</f>
        <v>0</v>
      </c>
      <c r="D59" s="91">
        <f>'Model (SN)'!D59-'Model (Matrix)'!D59</f>
        <v>0</v>
      </c>
      <c r="E59" s="91">
        <f>'Model (SN)'!E59-'Model (Matrix)'!E59</f>
        <v>0</v>
      </c>
      <c r="F59" s="91">
        <f>'Model (SN)'!F59-'Model (Matrix)'!F59</f>
        <v>0</v>
      </c>
      <c r="G59" s="91">
        <f>'Model (SN)'!G59-'Model (Matrix)'!G59</f>
        <v>0</v>
      </c>
      <c r="H59" s="91">
        <f>'Model (SN)'!H59-'Model (Matrix)'!H59</f>
        <v>0</v>
      </c>
      <c r="I59" s="91">
        <f>'Model (SN)'!I59-'Model (Matrix)'!I59</f>
        <v>0</v>
      </c>
      <c r="J59" s="91">
        <f>'Model (SN)'!J59-'Model (Matrix)'!J59</f>
        <v>0</v>
      </c>
      <c r="K59" s="91">
        <f>'Model (SN)'!K59-'Model (Matrix)'!K59</f>
        <v>0</v>
      </c>
      <c r="L59" s="91">
        <f>'Model (SN)'!L59-'Model (Matrix)'!L59</f>
        <v>0</v>
      </c>
      <c r="M59" s="91">
        <f>'Model (SN)'!M59-'Model (Matrix)'!M59</f>
        <v>0</v>
      </c>
      <c r="N59" s="91">
        <f>'Model (SN)'!N59-'Model (Matrix)'!N59</f>
        <v>0</v>
      </c>
      <c r="O59" s="91">
        <f>'Model (SN)'!O59-'Model (Matrix)'!O59</f>
        <v>-0.19649343172511635</v>
      </c>
      <c r="P59" s="91">
        <f>'Model (SN)'!P59-'Model (Matrix)'!P59</f>
        <v>-0.51185930192878004</v>
      </c>
      <c r="Q59" s="91">
        <f>'Model (SN)'!Q59-'Model (Matrix)'!Q59</f>
        <v>-0.91528622890496081</v>
      </c>
      <c r="R59" s="91">
        <f>'Model (SN)'!R59-'Model (Matrix)'!R59</f>
        <v>-1.3856139941339052</v>
      </c>
      <c r="S59" s="91">
        <f>'Model (SN)'!S59-'Model (Matrix)'!S59</f>
        <v>-1.9068287858269741</v>
      </c>
      <c r="T59" s="91">
        <f>'Model (SN)'!T59-'Model (Matrix)'!T59</f>
        <v>-2.4663547903891185</v>
      </c>
      <c r="U59" s="91">
        <f>'Model (SN)'!U59-'Model (Matrix)'!U59</f>
        <v>-3.0541623076534279</v>
      </c>
      <c r="V59" s="91">
        <f>'Model (SN)'!V59-'Model (Matrix)'!V59</f>
        <v>-3.6621730599512148</v>
      </c>
    </row>
    <row r="60" spans="1:22" x14ac:dyDescent="0.25">
      <c r="A60" s="82"/>
      <c r="B60" s="64" t="s">
        <v>130</v>
      </c>
      <c r="C60" s="94">
        <f>'Model (SN)'!C60-'Model (Matrix)'!C60</f>
        <v>0</v>
      </c>
      <c r="D60" s="91">
        <f>'Model (SN)'!D60-'Model (Matrix)'!D60</f>
        <v>0</v>
      </c>
      <c r="E60" s="91">
        <f>'Model (SN)'!E60-'Model (Matrix)'!E60</f>
        <v>0</v>
      </c>
      <c r="F60" s="91">
        <f>'Model (SN)'!F60-'Model (Matrix)'!F60</f>
        <v>0</v>
      </c>
      <c r="G60" s="91">
        <f>'Model (SN)'!G60-'Model (Matrix)'!G60</f>
        <v>0</v>
      </c>
      <c r="H60" s="91">
        <f>'Model (SN)'!H60-'Model (Matrix)'!H60</f>
        <v>0</v>
      </c>
      <c r="I60" s="91">
        <f>'Model (SN)'!I60-'Model (Matrix)'!I60</f>
        <v>0</v>
      </c>
      <c r="J60" s="91">
        <f>'Model (SN)'!J60-'Model (Matrix)'!J60</f>
        <v>0</v>
      </c>
      <c r="K60" s="91">
        <f>'Model (SN)'!K60-'Model (Matrix)'!K60</f>
        <v>0</v>
      </c>
      <c r="L60" s="91">
        <f>'Model (SN)'!L60-'Model (Matrix)'!L60</f>
        <v>0</v>
      </c>
      <c r="M60" s="91">
        <f>'Model (SN)'!M60-'Model (Matrix)'!M60</f>
        <v>0</v>
      </c>
      <c r="N60" s="91">
        <f>'Model (SN)'!N60-'Model (Matrix)'!N60</f>
        <v>0</v>
      </c>
      <c r="O60" s="91">
        <f>'Model (SN)'!O60-'Model (Matrix)'!O60</f>
        <v>0</v>
      </c>
      <c r="P60" s="91">
        <f>'Model (SN)'!P60-'Model (Matrix)'!P60</f>
        <v>0</v>
      </c>
      <c r="Q60" s="91">
        <f>'Model (SN)'!Q60-'Model (Matrix)'!Q60</f>
        <v>0</v>
      </c>
      <c r="R60" s="91">
        <f>'Model (SN)'!R60-'Model (Matrix)'!R60</f>
        <v>0</v>
      </c>
      <c r="S60" s="91">
        <f>'Model (SN)'!S60-'Model (Matrix)'!S60</f>
        <v>0</v>
      </c>
      <c r="T60" s="91">
        <f>'Model (SN)'!T60-'Model (Matrix)'!T60</f>
        <v>0</v>
      </c>
      <c r="U60" s="91">
        <f>'Model (SN)'!U60-'Model (Matrix)'!U60</f>
        <v>0</v>
      </c>
      <c r="V60" s="91">
        <f>'Model (SN)'!V60-'Model (Matrix)'!V60</f>
        <v>0</v>
      </c>
    </row>
    <row r="61" spans="1:22" x14ac:dyDescent="0.25">
      <c r="A61" s="82"/>
      <c r="B61" s="63" t="s">
        <v>143</v>
      </c>
      <c r="C61" s="94">
        <f>'Model (SN)'!C61-'Model (Matrix)'!C61</f>
        <v>0</v>
      </c>
      <c r="D61" s="91">
        <f>'Model (SN)'!D61-'Model (Matrix)'!D61</f>
        <v>0</v>
      </c>
      <c r="E61" s="91">
        <f>'Model (SN)'!E61-'Model (Matrix)'!E61</f>
        <v>0</v>
      </c>
      <c r="F61" s="91">
        <f>'Model (SN)'!F61-'Model (Matrix)'!F61</f>
        <v>0</v>
      </c>
      <c r="G61" s="91">
        <f>'Model (SN)'!G61-'Model (Matrix)'!G61</f>
        <v>0</v>
      </c>
      <c r="H61" s="91">
        <f>'Model (SN)'!H61-'Model (Matrix)'!H61</f>
        <v>0</v>
      </c>
      <c r="I61" s="91">
        <f>'Model (SN)'!I61-'Model (Matrix)'!I61</f>
        <v>0</v>
      </c>
      <c r="J61" s="91">
        <f>'Model (SN)'!J61-'Model (Matrix)'!J61</f>
        <v>0</v>
      </c>
      <c r="K61" s="91">
        <f>'Model (SN)'!K61-'Model (Matrix)'!K61</f>
        <v>0</v>
      </c>
      <c r="L61" s="91">
        <f>'Model (SN)'!L61-'Model (Matrix)'!L61</f>
        <v>0</v>
      </c>
      <c r="M61" s="91">
        <f>'Model (SN)'!M61-'Model (Matrix)'!M61</f>
        <v>0</v>
      </c>
      <c r="N61" s="91">
        <f>'Model (SN)'!N61-'Model (Matrix)'!N61</f>
        <v>0</v>
      </c>
      <c r="O61" s="91">
        <f>'Model (SN)'!O61-'Model (Matrix)'!O61</f>
        <v>0</v>
      </c>
      <c r="P61" s="91">
        <f>'Model (SN)'!P61-'Model (Matrix)'!P61</f>
        <v>0</v>
      </c>
      <c r="Q61" s="91">
        <f>'Model (SN)'!Q61-'Model (Matrix)'!Q61</f>
        <v>0</v>
      </c>
      <c r="R61" s="91">
        <f>'Model (SN)'!R61-'Model (Matrix)'!R61</f>
        <v>0</v>
      </c>
      <c r="S61" s="91">
        <f>'Model (SN)'!S61-'Model (Matrix)'!S61</f>
        <v>0</v>
      </c>
      <c r="T61" s="91">
        <f>'Model (SN)'!T61-'Model (Matrix)'!T61</f>
        <v>0</v>
      </c>
      <c r="U61" s="91">
        <f>'Model (SN)'!U61-'Model (Matrix)'!U61</f>
        <v>0</v>
      </c>
      <c r="V61" s="91">
        <f>'Model (SN)'!V61-'Model (Matrix)'!V61</f>
        <v>0</v>
      </c>
    </row>
    <row r="62" spans="1:22" x14ac:dyDescent="0.25">
      <c r="A62" s="82"/>
      <c r="B62" s="63" t="s">
        <v>735</v>
      </c>
      <c r="C62" s="94">
        <f>'Model (SN)'!C62-'Model (Matrix)'!C62</f>
        <v>0</v>
      </c>
      <c r="D62" s="91">
        <f>'Model (SN)'!D62-'Model (Matrix)'!D62</f>
        <v>0</v>
      </c>
      <c r="E62" s="91">
        <f>'Model (SN)'!E62-'Model (Matrix)'!E62</f>
        <v>0</v>
      </c>
      <c r="F62" s="91">
        <f>'Model (SN)'!F62-'Model (Matrix)'!F62</f>
        <v>0</v>
      </c>
      <c r="G62" s="91">
        <f>'Model (SN)'!G62-'Model (Matrix)'!G62</f>
        <v>0</v>
      </c>
      <c r="H62" s="91">
        <f>'Model (SN)'!H62-'Model (Matrix)'!H62</f>
        <v>0</v>
      </c>
      <c r="I62" s="91">
        <f>'Model (SN)'!I62-'Model (Matrix)'!I62</f>
        <v>0</v>
      </c>
      <c r="J62" s="91">
        <f>'Model (SN)'!J62-'Model (Matrix)'!J62</f>
        <v>0</v>
      </c>
      <c r="K62" s="91">
        <f>'Model (SN)'!K62-'Model (Matrix)'!K62</f>
        <v>0</v>
      </c>
      <c r="L62" s="91">
        <f>'Model (SN)'!L62-'Model (Matrix)'!L62</f>
        <v>0</v>
      </c>
      <c r="M62" s="91">
        <f>'Model (SN)'!M62-'Model (Matrix)'!M62</f>
        <v>0</v>
      </c>
      <c r="N62" s="91">
        <f>'Model (SN)'!N62-'Model (Matrix)'!N62</f>
        <v>0</v>
      </c>
      <c r="O62" s="91">
        <f>'Model (SN)'!O62-'Model (Matrix)'!O62</f>
        <v>0</v>
      </c>
      <c r="P62" s="91">
        <f>'Model (SN)'!P62-'Model (Matrix)'!P62</f>
        <v>0</v>
      </c>
      <c r="Q62" s="91">
        <f>'Model (SN)'!Q62-'Model (Matrix)'!Q62</f>
        <v>0</v>
      </c>
      <c r="R62" s="91">
        <f>'Model (SN)'!R62-'Model (Matrix)'!R62</f>
        <v>0</v>
      </c>
      <c r="S62" s="91">
        <f>'Model (SN)'!S62-'Model (Matrix)'!S62</f>
        <v>0</v>
      </c>
      <c r="T62" s="91">
        <f>'Model (SN)'!T62-'Model (Matrix)'!T62</f>
        <v>0</v>
      </c>
      <c r="U62" s="91">
        <f>'Model (SN)'!U62-'Model (Matrix)'!U62</f>
        <v>0</v>
      </c>
      <c r="V62" s="91">
        <f>'Model (SN)'!V62-'Model (Matrix)'!V62</f>
        <v>0</v>
      </c>
    </row>
    <row r="63" spans="1:22" x14ac:dyDescent="0.25">
      <c r="A63" s="82"/>
      <c r="B63" s="63" t="s">
        <v>736</v>
      </c>
      <c r="C63" s="94">
        <f>'Model (SN)'!C63-'Model (Matrix)'!C63</f>
        <v>0</v>
      </c>
      <c r="D63" s="91">
        <f>'Model (SN)'!D63-'Model (Matrix)'!D63</f>
        <v>0</v>
      </c>
      <c r="E63" s="91">
        <f>'Model (SN)'!E63-'Model (Matrix)'!E63</f>
        <v>0</v>
      </c>
      <c r="F63" s="91">
        <f>'Model (SN)'!F63-'Model (Matrix)'!F63</f>
        <v>0</v>
      </c>
      <c r="G63" s="91">
        <f>'Model (SN)'!G63-'Model (Matrix)'!G63</f>
        <v>0</v>
      </c>
      <c r="H63" s="91">
        <f>'Model (SN)'!H63-'Model (Matrix)'!H63</f>
        <v>0</v>
      </c>
      <c r="I63" s="91">
        <f>'Model (SN)'!I63-'Model (Matrix)'!I63</f>
        <v>0</v>
      </c>
      <c r="J63" s="91">
        <f>'Model (SN)'!J63-'Model (Matrix)'!J63</f>
        <v>0</v>
      </c>
      <c r="K63" s="91">
        <f>'Model (SN)'!K63-'Model (Matrix)'!K63</f>
        <v>0</v>
      </c>
      <c r="L63" s="91">
        <f>'Model (SN)'!L63-'Model (Matrix)'!L63</f>
        <v>0</v>
      </c>
      <c r="M63" s="91">
        <f>'Model (SN)'!M63-'Model (Matrix)'!M63</f>
        <v>0</v>
      </c>
      <c r="N63" s="91">
        <f>'Model (SN)'!N63-'Model (Matrix)'!N63</f>
        <v>0</v>
      </c>
      <c r="O63" s="91">
        <f>'Model (SN)'!O63-'Model (Matrix)'!O63</f>
        <v>0</v>
      </c>
      <c r="P63" s="91">
        <f>'Model (SN)'!P63-'Model (Matrix)'!P63</f>
        <v>0</v>
      </c>
      <c r="Q63" s="91">
        <f>'Model (SN)'!Q63-'Model (Matrix)'!Q63</f>
        <v>0</v>
      </c>
      <c r="R63" s="91">
        <f>'Model (SN)'!R63-'Model (Matrix)'!R63</f>
        <v>0</v>
      </c>
      <c r="S63" s="91">
        <f>'Model (SN)'!S63-'Model (Matrix)'!S63</f>
        <v>0</v>
      </c>
      <c r="T63" s="91">
        <f>'Model (SN)'!T63-'Model (Matrix)'!T63</f>
        <v>0</v>
      </c>
      <c r="U63" s="91">
        <f>'Model (SN)'!U63-'Model (Matrix)'!U63</f>
        <v>0</v>
      </c>
      <c r="V63" s="91">
        <f>'Model (SN)'!V63-'Model (Matrix)'!V63</f>
        <v>0</v>
      </c>
    </row>
    <row r="64" spans="1:22" x14ac:dyDescent="0.25">
      <c r="A64" s="82"/>
      <c r="B64" s="63" t="s">
        <v>154</v>
      </c>
      <c r="C64" s="94">
        <f>'Model (SN)'!C64-'Model (Matrix)'!C64</f>
        <v>0</v>
      </c>
      <c r="D64" s="91">
        <f>'Model (SN)'!D64-'Model (Matrix)'!D64</f>
        <v>0</v>
      </c>
      <c r="E64" s="91">
        <f>'Model (SN)'!E64-'Model (Matrix)'!E64</f>
        <v>0</v>
      </c>
      <c r="F64" s="91">
        <f>'Model (SN)'!F64-'Model (Matrix)'!F64</f>
        <v>0</v>
      </c>
      <c r="G64" s="91">
        <f>'Model (SN)'!G64-'Model (Matrix)'!G64</f>
        <v>0</v>
      </c>
      <c r="H64" s="91">
        <f>'Model (SN)'!H64-'Model (Matrix)'!H64</f>
        <v>0</v>
      </c>
      <c r="I64" s="91">
        <f>'Model (SN)'!I64-'Model (Matrix)'!I64</f>
        <v>0</v>
      </c>
      <c r="J64" s="91">
        <f>'Model (SN)'!J64-'Model (Matrix)'!J64</f>
        <v>0</v>
      </c>
      <c r="K64" s="91">
        <f>'Model (SN)'!K64-'Model (Matrix)'!K64</f>
        <v>0</v>
      </c>
      <c r="L64" s="91">
        <f>'Model (SN)'!L64-'Model (Matrix)'!L64</f>
        <v>0</v>
      </c>
      <c r="M64" s="91">
        <f>'Model (SN)'!M64-'Model (Matrix)'!M64</f>
        <v>0</v>
      </c>
      <c r="N64" s="91">
        <f>'Model (SN)'!N64-'Model (Matrix)'!N64</f>
        <v>-0.83609851999993623</v>
      </c>
      <c r="O64" s="91">
        <f>'Model (SN)'!O64-'Model (Matrix)'!O64</f>
        <v>-0.88139471368318567</v>
      </c>
      <c r="P64" s="91">
        <f>'Model (SN)'!P64-'Model (Matrix)'!P64</f>
        <v>-0.85908401415686342</v>
      </c>
      <c r="Q64" s="91">
        <f>'Model (SN)'!Q64-'Model (Matrix)'!Q64</f>
        <v>-0.84058806492506477</v>
      </c>
      <c r="R64" s="91">
        <f>'Model (SN)'!R64-'Model (Matrix)'!R64</f>
        <v>-0.83180586972088832</v>
      </c>
      <c r="S64" s="91">
        <f>'Model (SN)'!S64-'Model (Matrix)'!S64</f>
        <v>-0.83016640100227335</v>
      </c>
      <c r="T64" s="91">
        <f>'Model (SN)'!T64-'Model (Matrix)'!T64</f>
        <v>-0.8332750842160408</v>
      </c>
      <c r="U64" s="91">
        <f>'Model (SN)'!U64-'Model (Matrix)'!U64</f>
        <v>-0.83950252951903792</v>
      </c>
      <c r="V64" s="91">
        <f>'Model (SN)'!V64-'Model (Matrix)'!V64</f>
        <v>-0.84775181498042684</v>
      </c>
    </row>
    <row r="65" spans="1:22" x14ac:dyDescent="0.25">
      <c r="A65" s="82"/>
      <c r="B65" s="63" t="s">
        <v>155</v>
      </c>
      <c r="C65" s="94">
        <f>'Model (SN)'!C65-'Model (Matrix)'!C65</f>
        <v>0</v>
      </c>
      <c r="D65" s="91">
        <f>'Model (SN)'!D65-'Model (Matrix)'!D65</f>
        <v>0</v>
      </c>
      <c r="E65" s="91">
        <f>'Model (SN)'!E65-'Model (Matrix)'!E65</f>
        <v>0</v>
      </c>
      <c r="F65" s="91">
        <f>'Model (SN)'!F65-'Model (Matrix)'!F65</f>
        <v>0</v>
      </c>
      <c r="G65" s="91">
        <f>'Model (SN)'!G65-'Model (Matrix)'!G65</f>
        <v>0</v>
      </c>
      <c r="H65" s="91">
        <f>'Model (SN)'!H65-'Model (Matrix)'!H65</f>
        <v>0</v>
      </c>
      <c r="I65" s="91">
        <f>'Model (SN)'!I65-'Model (Matrix)'!I65</f>
        <v>0</v>
      </c>
      <c r="J65" s="201">
        <f>'Model (SN)'!J65-'Model (Matrix)'!J65</f>
        <v>0</v>
      </c>
      <c r="K65" s="91">
        <f>'Model (SN)'!K65-'Model (Matrix)'!K65</f>
        <v>0</v>
      </c>
      <c r="L65" s="91">
        <f>'Model (SN)'!L65-'Model (Matrix)'!L65</f>
        <v>0</v>
      </c>
      <c r="M65" s="91">
        <f>'Model (SN)'!M65-'Model (Matrix)'!M65</f>
        <v>0</v>
      </c>
      <c r="N65" s="91">
        <f>'Model (SN)'!N65-'Model (Matrix)'!N65</f>
        <v>0</v>
      </c>
      <c r="O65" s="91">
        <f>'Model (SN)'!O65-'Model (Matrix)'!O65</f>
        <v>-0.23362976510756539</v>
      </c>
      <c r="P65" s="91">
        <f>'Model (SN)'!P65-'Model (Matrix)'!P65</f>
        <v>-0.464229093558302</v>
      </c>
      <c r="Q65" s="91">
        <f>'Model (SN)'!Q65-'Model (Matrix)'!Q65</f>
        <v>-0.67311017583986654</v>
      </c>
      <c r="R65" s="91">
        <f>'Model (SN)'!R65-'Model (Matrix)'!R65</f>
        <v>-0.86279727208034274</v>
      </c>
      <c r="S65" s="91">
        <f>'Model (SN)'!S65-'Model (Matrix)'!S65</f>
        <v>-1.0372934963218086</v>
      </c>
      <c r="T65" s="91">
        <f>'Model (SN)'!T65-'Model (Matrix)'!T65</f>
        <v>-1.1996147480192576</v>
      </c>
      <c r="U65" s="91">
        <f>'Model (SN)'!U65-'Model (Matrix)'!U65</f>
        <v>-1.3519053063100728</v>
      </c>
      <c r="V65" s="91">
        <f>'Model (SN)'!V65-'Model (Matrix)'!V65</f>
        <v>-1.495710170929641</v>
      </c>
    </row>
    <row r="66" spans="1:22" x14ac:dyDescent="0.25">
      <c r="A66" s="82"/>
      <c r="B66" s="63" t="s">
        <v>737</v>
      </c>
      <c r="C66" s="94">
        <f>'Model (SN)'!C66-'Model (Matrix)'!C66</f>
        <v>0</v>
      </c>
      <c r="D66" s="91">
        <f>'Model (SN)'!D66-'Model (Matrix)'!D66</f>
        <v>0</v>
      </c>
      <c r="E66" s="91">
        <f>'Model (SN)'!E66-'Model (Matrix)'!E66</f>
        <v>0</v>
      </c>
      <c r="F66" s="91">
        <f>'Model (SN)'!F66-'Model (Matrix)'!F66</f>
        <v>0</v>
      </c>
      <c r="G66" s="91">
        <f>'Model (SN)'!G66-'Model (Matrix)'!G66</f>
        <v>0</v>
      </c>
      <c r="H66" s="91">
        <f>'Model (SN)'!H66-'Model (Matrix)'!H66</f>
        <v>0</v>
      </c>
      <c r="I66" s="91">
        <f>'Model (SN)'!I66-'Model (Matrix)'!I66</f>
        <v>0</v>
      </c>
      <c r="J66" s="91">
        <f>'Model (SN)'!J66-'Model (Matrix)'!J66</f>
        <v>0</v>
      </c>
      <c r="K66" s="91">
        <f>'Model (SN)'!K66-'Model (Matrix)'!K66</f>
        <v>0</v>
      </c>
      <c r="L66" s="91">
        <f>'Model (SN)'!L66-'Model (Matrix)'!L66</f>
        <v>0</v>
      </c>
      <c r="M66" s="91">
        <f>'Model (SN)'!M66-'Model (Matrix)'!M66</f>
        <v>0</v>
      </c>
      <c r="N66" s="91">
        <f>'Model (SN)'!N66-'Model (Matrix)'!N66</f>
        <v>0</v>
      </c>
      <c r="O66" s="91">
        <f>'Model (SN)'!O66-'Model (Matrix)'!O66</f>
        <v>0</v>
      </c>
      <c r="P66" s="91">
        <f>'Model (SN)'!P66-'Model (Matrix)'!P66</f>
        <v>0</v>
      </c>
      <c r="Q66" s="91">
        <f>'Model (SN)'!Q66-'Model (Matrix)'!Q66</f>
        <v>0</v>
      </c>
      <c r="R66" s="91">
        <f>'Model (SN)'!R66-'Model (Matrix)'!R66</f>
        <v>0</v>
      </c>
      <c r="S66" s="91">
        <f>'Model (SN)'!S66-'Model (Matrix)'!S66</f>
        <v>0</v>
      </c>
      <c r="T66" s="91">
        <f>'Model (SN)'!T66-'Model (Matrix)'!T66</f>
        <v>0</v>
      </c>
      <c r="U66" s="91">
        <f>'Model (SN)'!U66-'Model (Matrix)'!U66</f>
        <v>0</v>
      </c>
      <c r="V66" s="91">
        <f>'Model (SN)'!V66-'Model (Matrix)'!V66</f>
        <v>0</v>
      </c>
    </row>
    <row r="67" spans="1:22" x14ac:dyDescent="0.25">
      <c r="A67" s="82"/>
      <c r="B67" s="63" t="s">
        <v>145</v>
      </c>
      <c r="C67" s="94">
        <f>'Model (SN)'!C67-'Model (Matrix)'!C67</f>
        <v>0</v>
      </c>
      <c r="D67" s="91">
        <f>'Model (SN)'!D67-'Model (Matrix)'!D67</f>
        <v>0</v>
      </c>
      <c r="E67" s="91">
        <f>'Model (SN)'!E67-'Model (Matrix)'!E67</f>
        <v>0</v>
      </c>
      <c r="F67" s="91">
        <f>'Model (SN)'!F67-'Model (Matrix)'!F67</f>
        <v>0</v>
      </c>
      <c r="G67" s="91">
        <f>'Model (SN)'!G67-'Model (Matrix)'!G67</f>
        <v>0</v>
      </c>
      <c r="H67" s="91">
        <f>'Model (SN)'!H67-'Model (Matrix)'!H67</f>
        <v>0</v>
      </c>
      <c r="I67" s="91">
        <f>'Model (SN)'!I67-'Model (Matrix)'!I67</f>
        <v>0</v>
      </c>
      <c r="J67" s="91">
        <f>'Model (SN)'!J67-'Model (Matrix)'!J67</f>
        <v>0</v>
      </c>
      <c r="K67" s="91">
        <f>'Model (SN)'!K67-'Model (Matrix)'!K67</f>
        <v>0</v>
      </c>
      <c r="L67" s="91">
        <f>'Model (SN)'!L67-'Model (Matrix)'!L67</f>
        <v>0</v>
      </c>
      <c r="M67" s="91">
        <f>'Model (SN)'!M67-'Model (Matrix)'!M67</f>
        <v>0</v>
      </c>
      <c r="N67" s="91">
        <f>'Model (SN)'!N67-'Model (Matrix)'!N67</f>
        <v>0</v>
      </c>
      <c r="O67" s="91">
        <f>'Model (SN)'!O67-'Model (Matrix)'!O67</f>
        <v>0</v>
      </c>
      <c r="P67" s="91">
        <f>'Model (SN)'!P67-'Model (Matrix)'!P67</f>
        <v>-2.3499022069159992E-2</v>
      </c>
      <c r="Q67" s="91">
        <f>'Model (SN)'!Q67-'Model (Matrix)'!Q67</f>
        <v>-6.4623586215319051E-2</v>
      </c>
      <c r="R67" s="91">
        <f>'Model (SN)'!R67-'Model (Matrix)'!R67</f>
        <v>-0.11883674549737577</v>
      </c>
      <c r="S67" s="91">
        <f>'Model (SN)'!S67-'Model (Matrix)'!S67</f>
        <v>-0.18294966512661404</v>
      </c>
      <c r="T67" s="91">
        <f>'Model (SN)'!T67-'Model (Matrix)'!T67</f>
        <v>-0.25458457005771606</v>
      </c>
      <c r="U67" s="91">
        <f>'Model (SN)'!U67-'Model (Matrix)'!U67</f>
        <v>-0.33189251478339088</v>
      </c>
      <c r="V67" s="91">
        <f>'Model (SN)'!V67-'Model (Matrix)'!V67</f>
        <v>-0.41340577370057474</v>
      </c>
    </row>
    <row r="68" spans="1:22" x14ac:dyDescent="0.25">
      <c r="A68" s="82"/>
      <c r="B68" s="63" t="s">
        <v>738</v>
      </c>
      <c r="C68" s="94">
        <f>'Model (SN)'!C68-'Model (Matrix)'!C68</f>
        <v>0</v>
      </c>
      <c r="D68" s="91">
        <f>'Model (SN)'!D68-'Model (Matrix)'!D68</f>
        <v>0</v>
      </c>
      <c r="E68" s="91">
        <f>'Model (SN)'!E68-'Model (Matrix)'!E68</f>
        <v>0</v>
      </c>
      <c r="F68" s="91">
        <f>'Model (SN)'!F68-'Model (Matrix)'!F68</f>
        <v>0</v>
      </c>
      <c r="G68" s="91">
        <f>'Model (SN)'!G68-'Model (Matrix)'!G68</f>
        <v>0</v>
      </c>
      <c r="H68" s="91">
        <f>'Model (SN)'!H68-'Model (Matrix)'!H68</f>
        <v>0</v>
      </c>
      <c r="I68" s="91">
        <f>'Model (SN)'!I68-'Model (Matrix)'!I68</f>
        <v>0</v>
      </c>
      <c r="J68" s="91">
        <f>'Model (SN)'!J68-'Model (Matrix)'!J68</f>
        <v>0</v>
      </c>
      <c r="K68" s="91">
        <f>'Model (SN)'!K68-'Model (Matrix)'!K68</f>
        <v>0</v>
      </c>
      <c r="L68" s="91">
        <f>'Model (SN)'!L68-'Model (Matrix)'!L68</f>
        <v>0</v>
      </c>
      <c r="M68" s="91">
        <f>'Model (SN)'!M68-'Model (Matrix)'!M68</f>
        <v>0</v>
      </c>
      <c r="N68" s="91">
        <f>'Model (SN)'!N68-'Model (Matrix)'!N68</f>
        <v>0</v>
      </c>
      <c r="O68" s="91">
        <f>'Model (SN)'!O68-'Model (Matrix)'!O68</f>
        <v>0</v>
      </c>
      <c r="P68" s="91">
        <f>'Model (SN)'!P68-'Model (Matrix)'!P68</f>
        <v>0</v>
      </c>
      <c r="Q68" s="91">
        <f>'Model (SN)'!Q68-'Model (Matrix)'!Q68</f>
        <v>0</v>
      </c>
      <c r="R68" s="91">
        <f>'Model (SN)'!R68-'Model (Matrix)'!R68</f>
        <v>0</v>
      </c>
      <c r="S68" s="91">
        <f>'Model (SN)'!S68-'Model (Matrix)'!S68</f>
        <v>0</v>
      </c>
      <c r="T68" s="91">
        <f>'Model (SN)'!T68-'Model (Matrix)'!T68</f>
        <v>0</v>
      </c>
      <c r="U68" s="91">
        <f>'Model (SN)'!U68-'Model (Matrix)'!U68</f>
        <v>0</v>
      </c>
      <c r="V68" s="91">
        <f>'Model (SN)'!V68-'Model (Matrix)'!V68</f>
        <v>0</v>
      </c>
    </row>
    <row r="69" spans="1:22" x14ac:dyDescent="0.25">
      <c r="A69" s="82"/>
      <c r="B69" s="64" t="s">
        <v>146</v>
      </c>
      <c r="C69" s="94">
        <f>'Model (SN)'!C69-'Model (Matrix)'!C69</f>
        <v>0</v>
      </c>
      <c r="D69" s="91">
        <f>'Model (SN)'!D69-'Model (Matrix)'!D69</f>
        <v>0</v>
      </c>
      <c r="E69" s="91">
        <f>'Model (SN)'!E69-'Model (Matrix)'!E69</f>
        <v>0</v>
      </c>
      <c r="F69" s="91">
        <f>'Model (SN)'!F69-'Model (Matrix)'!F69</f>
        <v>0</v>
      </c>
      <c r="G69" s="91">
        <f>'Model (SN)'!G69-'Model (Matrix)'!G69</f>
        <v>0</v>
      </c>
      <c r="H69" s="91">
        <f>'Model (SN)'!H69-'Model (Matrix)'!H69</f>
        <v>0</v>
      </c>
      <c r="I69" s="91">
        <f>'Model (SN)'!I69-'Model (Matrix)'!I69</f>
        <v>0</v>
      </c>
      <c r="J69" s="91">
        <f>'Model (SN)'!J69-'Model (Matrix)'!J69</f>
        <v>0</v>
      </c>
      <c r="K69" s="91">
        <f>'Model (SN)'!K69-'Model (Matrix)'!K69</f>
        <v>0</v>
      </c>
      <c r="L69" s="91">
        <f>'Model (SN)'!L69-'Model (Matrix)'!L69</f>
        <v>0</v>
      </c>
      <c r="M69" s="91">
        <f>'Model (SN)'!M69-'Model (Matrix)'!M69</f>
        <v>0</v>
      </c>
      <c r="N69" s="91">
        <f>'Model (SN)'!N69-'Model (Matrix)'!N69</f>
        <v>-0.83609851999983675</v>
      </c>
      <c r="O69" s="91">
        <f>'Model (SN)'!O69-'Model (Matrix)'!O69</f>
        <v>-1.115024478790815</v>
      </c>
      <c r="P69" s="91">
        <f>'Model (SN)'!P69-'Model (Matrix)'!P69</f>
        <v>-1.3468121297843254</v>
      </c>
      <c r="Q69" s="91">
        <f>'Model (SN)'!Q69-'Model (Matrix)'!Q69</f>
        <v>-1.5783218269801864</v>
      </c>
      <c r="R69" s="91">
        <f>'Model (SN)'!R69-'Model (Matrix)'!R69</f>
        <v>-1.8134398872987276</v>
      </c>
      <c r="S69" s="91">
        <f>'Model (SN)'!S69-'Model (Matrix)'!S69</f>
        <v>-2.0504095624507954</v>
      </c>
      <c r="T69" s="91">
        <f>'Model (SN)'!T69-'Model (Matrix)'!T69</f>
        <v>-2.2874744022930145</v>
      </c>
      <c r="U69" s="91">
        <f>'Model (SN)'!U69-'Model (Matrix)'!U69</f>
        <v>-2.5233003506123168</v>
      </c>
      <c r="V69" s="91">
        <f>'Model (SN)'!V69-'Model (Matrix)'!V69</f>
        <v>-2.7568677596105999</v>
      </c>
    </row>
    <row r="70" spans="1:22" x14ac:dyDescent="0.25">
      <c r="A70" s="82"/>
      <c r="B70" s="98" t="s">
        <v>131</v>
      </c>
      <c r="C70" s="94">
        <f>'Model (SN)'!C70-'Model (Matrix)'!C70</f>
        <v>0</v>
      </c>
      <c r="D70" s="91">
        <f>'Model (SN)'!D70-'Model (Matrix)'!D70</f>
        <v>0</v>
      </c>
      <c r="E70" s="91">
        <f>'Model (SN)'!E70-'Model (Matrix)'!E70</f>
        <v>0</v>
      </c>
      <c r="F70" s="91">
        <f>'Model (SN)'!F70-'Model (Matrix)'!F70</f>
        <v>0</v>
      </c>
      <c r="G70" s="91">
        <f>'Model (SN)'!G70-'Model (Matrix)'!G70</f>
        <v>0</v>
      </c>
      <c r="H70" s="100">
        <f>'Model (SN)'!H70-'Model (Matrix)'!H70</f>
        <v>0</v>
      </c>
      <c r="I70" s="100">
        <f>'Model (SN)'!I70-'Model (Matrix)'!I70</f>
        <v>0</v>
      </c>
      <c r="J70" s="91">
        <f>'Model (SN)'!J70-'Model (Matrix)'!J70</f>
        <v>0</v>
      </c>
      <c r="K70" s="91">
        <f>'Model (SN)'!K70-'Model (Matrix)'!K70</f>
        <v>0</v>
      </c>
      <c r="L70" s="100">
        <f>'Model (SN)'!L70-'Model (Matrix)'!L70</f>
        <v>0</v>
      </c>
      <c r="M70" s="100">
        <f>'Model (SN)'!M70-'Model (Matrix)'!M70</f>
        <v>-9.4947972287372977</v>
      </c>
      <c r="N70" s="100">
        <f>'Model (SN)'!N70-'Model (Matrix)'!N70</f>
        <v>-10.825212034056676</v>
      </c>
      <c r="O70" s="100">
        <f>'Model (SN)'!O70-'Model (Matrix)'!O70</f>
        <v>-12.115564890907081</v>
      </c>
      <c r="P70" s="100">
        <f>'Model (SN)'!P70-'Model (Matrix)'!P70</f>
        <v>-13.50872430311756</v>
      </c>
      <c r="Q70" s="100">
        <f>'Model (SN)'!Q70-'Model (Matrix)'!Q70</f>
        <v>-15.000475431471386</v>
      </c>
      <c r="R70" s="100">
        <f>'Model (SN)'!R70-'Model (Matrix)'!R70</f>
        <v>-16.555760166907021</v>
      </c>
      <c r="S70" s="100">
        <f>'Model (SN)'!S70-'Model (Matrix)'!S70</f>
        <v>-18.147999969599368</v>
      </c>
      <c r="T70" s="100">
        <f>'Model (SN)'!T70-'Model (Matrix)'!T70</f>
        <v>-19.758221123069234</v>
      </c>
      <c r="U70" s="100">
        <f>'Model (SN)'!U70-'Model (Matrix)'!U70</f>
        <v>-21.37245716760026</v>
      </c>
      <c r="V70" s="100">
        <f>'Model (SN)'!V70-'Model (Matrix)'!V70</f>
        <v>-22.980144351911804</v>
      </c>
    </row>
    <row r="71" spans="1:22" s="88" customFormat="1" x14ac:dyDescent="0.25">
      <c r="A71" s="89"/>
      <c r="C71" s="319"/>
      <c r="D71" s="103"/>
      <c r="E71" s="104"/>
      <c r="F71" s="104"/>
      <c r="G71" s="104"/>
      <c r="H71" s="176"/>
      <c r="I71" s="176"/>
      <c r="J71" s="104"/>
      <c r="K71" s="104"/>
      <c r="L71" s="176"/>
      <c r="M71" s="176"/>
      <c r="N71" s="176"/>
      <c r="O71" s="176"/>
      <c r="P71" s="176"/>
      <c r="Q71" s="176"/>
      <c r="R71" s="176"/>
      <c r="S71" s="176"/>
      <c r="T71" s="64"/>
      <c r="U71" s="64"/>
      <c r="V71" s="64"/>
    </row>
    <row r="72" spans="1:22" x14ac:dyDescent="0.25">
      <c r="C72" s="24"/>
    </row>
    <row r="73" spans="1:22" x14ac:dyDescent="0.25">
      <c r="C73" s="24"/>
    </row>
    <row r="74" spans="1:22" x14ac:dyDescent="0.25">
      <c r="C74" s="24"/>
    </row>
    <row r="75" spans="1:22" x14ac:dyDescent="0.25">
      <c r="C75" s="24"/>
    </row>
    <row r="76" spans="1:22" x14ac:dyDescent="0.25">
      <c r="C76" s="24"/>
    </row>
    <row r="77" spans="1:22" x14ac:dyDescent="0.25">
      <c r="C77" s="24"/>
    </row>
    <row r="78" spans="1:22" x14ac:dyDescent="0.25">
      <c r="C78" s="24"/>
    </row>
    <row r="79" spans="1:22" x14ac:dyDescent="0.25">
      <c r="C79" s="24"/>
    </row>
  </sheetData>
  <printOptions horizontalCentered="1"/>
  <pageMargins left="0.5" right="0.5" top="0.75" bottom="0.75" header="0.3" footer="0.3"/>
  <pageSetup scale="7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V79"/>
  <sheetViews>
    <sheetView zoomScaleNormal="100" workbookViewId="0">
      <pane xSplit="2" ySplit="1" topLeftCell="C2" activePane="bottomRight" state="frozen"/>
      <selection pane="topRight" activeCell="C1" sqref="C1"/>
      <selection pane="bottomLeft" activeCell="A3" sqref="A3"/>
      <selection pane="bottomRight" activeCell="C3" sqref="C3"/>
    </sheetView>
  </sheetViews>
  <sheetFormatPr defaultColWidth="9.140625" defaultRowHeight="15" x14ac:dyDescent="0.25"/>
  <cols>
    <col min="1" max="1" width="2.7109375" style="127" customWidth="1"/>
    <col min="2" max="2" width="37.5703125" style="127" customWidth="1"/>
    <col min="3" max="3" width="10.42578125" style="311" customWidth="1"/>
    <col min="4" max="7" width="10.42578125" style="127" customWidth="1"/>
    <col min="8" max="8" width="10.42578125" style="64" customWidth="1"/>
    <col min="9" max="12" width="10.42578125" style="127" customWidth="1"/>
    <col min="13" max="14" width="10.42578125" style="64" customWidth="1"/>
    <col min="15" max="17" width="10.42578125" style="127" customWidth="1"/>
    <col min="18" max="18" width="10.42578125" style="64" customWidth="1"/>
    <col min="19" max="22" width="10.42578125" style="127" customWidth="1"/>
    <col min="23" max="16384" width="9.140625" style="127"/>
  </cols>
  <sheetData>
    <row r="1" spans="1:22" s="137" customFormat="1" x14ac:dyDescent="0.25">
      <c r="A1" s="134"/>
      <c r="B1" s="135">
        <f>COUNTIF(C3:V70,"&lt;&gt;0")</f>
        <v>0</v>
      </c>
      <c r="C1" s="79">
        <v>2004</v>
      </c>
      <c r="D1" s="80">
        <v>2005</v>
      </c>
      <c r="E1" s="80">
        <v>2006</v>
      </c>
      <c r="F1" s="80">
        <v>2007</v>
      </c>
      <c r="G1" s="80">
        <v>2008</v>
      </c>
      <c r="H1" s="80">
        <v>2009</v>
      </c>
      <c r="I1" s="80">
        <v>2010</v>
      </c>
      <c r="J1" s="80">
        <v>2011</v>
      </c>
      <c r="K1" s="80">
        <v>2012</v>
      </c>
      <c r="L1" s="80">
        <v>2013</v>
      </c>
      <c r="M1" s="80">
        <v>2014</v>
      </c>
      <c r="N1" s="80">
        <v>2015</v>
      </c>
      <c r="O1" s="80">
        <v>2016</v>
      </c>
      <c r="P1" s="80">
        <v>2017</v>
      </c>
      <c r="Q1" s="80">
        <v>2018</v>
      </c>
      <c r="R1" s="80">
        <v>2019</v>
      </c>
      <c r="S1" s="80">
        <v>2020</v>
      </c>
      <c r="T1" s="80">
        <v>2021</v>
      </c>
      <c r="U1" s="80">
        <v>2022</v>
      </c>
      <c r="V1" s="80">
        <v>2023</v>
      </c>
    </row>
    <row r="2" spans="1:22" x14ac:dyDescent="0.25">
      <c r="A2" s="86" t="s">
        <v>313</v>
      </c>
      <c r="B2" s="64"/>
      <c r="C2" s="87"/>
      <c r="D2" s="88"/>
      <c r="E2" s="88"/>
      <c r="F2" s="88"/>
      <c r="G2" s="88"/>
      <c r="H2" s="88"/>
      <c r="I2" s="64"/>
      <c r="J2" s="88"/>
      <c r="K2" s="88"/>
      <c r="L2" s="88"/>
      <c r="M2" s="88"/>
      <c r="O2" s="64"/>
      <c r="P2" s="88"/>
      <c r="Q2" s="88"/>
      <c r="R2" s="88"/>
      <c r="S2" s="88"/>
      <c r="T2" s="64"/>
      <c r="V2" s="64"/>
    </row>
    <row r="3" spans="1:22" x14ac:dyDescent="0.25">
      <c r="A3" s="82"/>
      <c r="B3" s="64" t="s">
        <v>124</v>
      </c>
      <c r="C3" s="94">
        <f>'Model (SC)'!C3-'Model (Matrix)'!C3</f>
        <v>0</v>
      </c>
      <c r="D3" s="91">
        <f>'Model (SC)'!D3-'Model (Matrix)'!D3</f>
        <v>0</v>
      </c>
      <c r="E3" s="91">
        <f>'Model (SC)'!E3-'Model (Matrix)'!E3</f>
        <v>0</v>
      </c>
      <c r="F3" s="91">
        <f>'Model (SC)'!F3-'Model (Matrix)'!F3</f>
        <v>0</v>
      </c>
      <c r="G3" s="91">
        <f>'Model (SC)'!G3-'Model (Matrix)'!G3</f>
        <v>0</v>
      </c>
      <c r="H3" s="91">
        <f>'Model (SC)'!H3-'Model (Matrix)'!H3</f>
        <v>0</v>
      </c>
      <c r="I3" s="91">
        <f>'Model (SC)'!I3-'Model (Matrix)'!I3</f>
        <v>0</v>
      </c>
      <c r="J3" s="91">
        <f>'Model (SC)'!J3-'Model (Matrix)'!J3</f>
        <v>0</v>
      </c>
      <c r="K3" s="91">
        <f>'Model (SC)'!K3-'Model (Matrix)'!K3</f>
        <v>0</v>
      </c>
      <c r="L3" s="91">
        <f>'Model (SC)'!L3-'Model (Matrix)'!L3</f>
        <v>0</v>
      </c>
      <c r="M3" s="91">
        <f>'Model (SC)'!M3-'Model (Matrix)'!M3</f>
        <v>0</v>
      </c>
      <c r="N3" s="91">
        <f>'Model (SC)'!N3-'Model (Matrix)'!N3</f>
        <v>0</v>
      </c>
      <c r="O3" s="91">
        <f>'Model (SC)'!O3-'Model (Matrix)'!O3</f>
        <v>0</v>
      </c>
      <c r="P3" s="91">
        <f>'Model (SC)'!P3-'Model (Matrix)'!P3</f>
        <v>0</v>
      </c>
      <c r="Q3" s="91">
        <f>'Model (SC)'!Q3-'Model (Matrix)'!Q3</f>
        <v>0</v>
      </c>
      <c r="R3" s="91">
        <f>'Model (SC)'!R3-'Model (Matrix)'!R3</f>
        <v>0</v>
      </c>
      <c r="S3" s="91">
        <f>'Model (SC)'!S3-'Model (Matrix)'!S3</f>
        <v>0</v>
      </c>
      <c r="T3" s="91">
        <f>'Model (SC)'!T3-'Model (Matrix)'!T3</f>
        <v>0</v>
      </c>
      <c r="U3" s="91">
        <f>'Model (SC)'!U3-'Model (Matrix)'!U3</f>
        <v>0</v>
      </c>
      <c r="V3" s="91">
        <f>'Model (SC)'!V3-'Model (Matrix)'!V3</f>
        <v>0</v>
      </c>
    </row>
    <row r="4" spans="1:22" x14ac:dyDescent="0.25">
      <c r="A4" s="82"/>
      <c r="B4" s="64" t="s">
        <v>630</v>
      </c>
      <c r="C4" s="94">
        <f>'Model (SC)'!C4-'Model (Matrix)'!C4</f>
        <v>0</v>
      </c>
      <c r="D4" s="91">
        <f>'Model (SC)'!D4-'Model (Matrix)'!D4</f>
        <v>0</v>
      </c>
      <c r="E4" s="91">
        <f>'Model (SC)'!E4-'Model (Matrix)'!E4</f>
        <v>0</v>
      </c>
      <c r="F4" s="91">
        <f>'Model (SC)'!F4-'Model (Matrix)'!F4</f>
        <v>0</v>
      </c>
      <c r="G4" s="91">
        <f>'Model (SC)'!G4-'Model (Matrix)'!G4</f>
        <v>0</v>
      </c>
      <c r="H4" s="91">
        <f>'Model (SC)'!H4-'Model (Matrix)'!H4</f>
        <v>0</v>
      </c>
      <c r="I4" s="91">
        <f>'Model (SC)'!I4-'Model (Matrix)'!I4</f>
        <v>0</v>
      </c>
      <c r="J4" s="91">
        <f>'Model (SC)'!J4-'Model (Matrix)'!J4</f>
        <v>0</v>
      </c>
      <c r="K4" s="91">
        <f>'Model (SC)'!K4-'Model (Matrix)'!K4</f>
        <v>0</v>
      </c>
      <c r="L4" s="91">
        <f>'Model (SC)'!L4-'Model (Matrix)'!L4</f>
        <v>0</v>
      </c>
      <c r="M4" s="91">
        <f>'Model (SC)'!M4-'Model (Matrix)'!M4</f>
        <v>0</v>
      </c>
      <c r="N4" s="91">
        <f>'Model (SC)'!N4-'Model (Matrix)'!N4</f>
        <v>0</v>
      </c>
      <c r="O4" s="91">
        <f>'Model (SC)'!O4-'Model (Matrix)'!O4</f>
        <v>0</v>
      </c>
      <c r="P4" s="91">
        <f>'Model (SC)'!P4-'Model (Matrix)'!P4</f>
        <v>0</v>
      </c>
      <c r="Q4" s="91">
        <f>'Model (SC)'!Q4-'Model (Matrix)'!Q4</f>
        <v>0</v>
      </c>
      <c r="R4" s="91">
        <f>'Model (SC)'!R4-'Model (Matrix)'!R4</f>
        <v>0</v>
      </c>
      <c r="S4" s="91">
        <f>'Model (SC)'!S4-'Model (Matrix)'!S4</f>
        <v>0</v>
      </c>
      <c r="T4" s="91">
        <f>'Model (SC)'!T4-'Model (Matrix)'!T4</f>
        <v>0</v>
      </c>
      <c r="U4" s="91">
        <f>'Model (SC)'!U4-'Model (Matrix)'!U4</f>
        <v>0</v>
      </c>
      <c r="V4" s="91">
        <f>'Model (SC)'!V4-'Model (Matrix)'!V4</f>
        <v>0</v>
      </c>
    </row>
    <row r="5" spans="1:22" x14ac:dyDescent="0.25">
      <c r="A5" s="82"/>
      <c r="B5" s="64" t="s">
        <v>570</v>
      </c>
      <c r="C5" s="318">
        <f>'Model (SC)'!C5-'Model (Matrix)'!C5</f>
        <v>0</v>
      </c>
      <c r="D5" s="91">
        <f>'Model (SC)'!D5-'Model (Matrix)'!D5</f>
        <v>0</v>
      </c>
      <c r="E5" s="91">
        <f>'Model (SC)'!E5-'Model (Matrix)'!E5</f>
        <v>0</v>
      </c>
      <c r="F5" s="91">
        <f>'Model (SC)'!F5-'Model (Matrix)'!F5</f>
        <v>0</v>
      </c>
      <c r="G5" s="91">
        <f>'Model (SC)'!G5-'Model (Matrix)'!G5</f>
        <v>0</v>
      </c>
      <c r="H5" s="91">
        <f>'Model (SC)'!H5-'Model (Matrix)'!H5</f>
        <v>0</v>
      </c>
      <c r="I5" s="91">
        <f>'Model (SC)'!I5-'Model (Matrix)'!I5</f>
        <v>0</v>
      </c>
      <c r="J5" s="91">
        <f>'Model (SC)'!J5-'Model (Matrix)'!J5</f>
        <v>0</v>
      </c>
      <c r="K5" s="91">
        <f>'Model (SC)'!K5-'Model (Matrix)'!K5</f>
        <v>0</v>
      </c>
      <c r="L5" s="91">
        <f>'Model (SC)'!L5-'Model (Matrix)'!L5</f>
        <v>0</v>
      </c>
      <c r="M5" s="91">
        <f>'Model (SC)'!M5-'Model (Matrix)'!M5</f>
        <v>0</v>
      </c>
      <c r="N5" s="91">
        <f>'Model (SC)'!N5-'Model (Matrix)'!N5</f>
        <v>0</v>
      </c>
      <c r="O5" s="91">
        <f>'Model (SC)'!O5-'Model (Matrix)'!O5</f>
        <v>0</v>
      </c>
      <c r="P5" s="91">
        <f>'Model (SC)'!P5-'Model (Matrix)'!P5</f>
        <v>0</v>
      </c>
      <c r="Q5" s="91">
        <f>'Model (SC)'!Q5-'Model (Matrix)'!Q5</f>
        <v>0</v>
      </c>
      <c r="R5" s="91">
        <f>'Model (SC)'!R5-'Model (Matrix)'!R5</f>
        <v>0</v>
      </c>
      <c r="S5" s="91">
        <f>'Model (SC)'!S5-'Model (Matrix)'!S5</f>
        <v>0</v>
      </c>
      <c r="T5" s="91">
        <f>'Model (SC)'!T5-'Model (Matrix)'!T5</f>
        <v>0</v>
      </c>
      <c r="U5" s="91">
        <f>'Model (SC)'!U5-'Model (Matrix)'!U5</f>
        <v>0</v>
      </c>
      <c r="V5" s="91">
        <f>'Model (SC)'!V5-'Model (Matrix)'!V5</f>
        <v>0</v>
      </c>
    </row>
    <row r="6" spans="1:22" x14ac:dyDescent="0.25">
      <c r="A6" s="82"/>
      <c r="B6" s="64" t="s">
        <v>127</v>
      </c>
      <c r="C6" s="310">
        <f>'Model (SC)'!C6-'Model (Matrix)'!C6</f>
        <v>0</v>
      </c>
      <c r="D6" s="91">
        <f>'Model (SC)'!D6-'Model (Matrix)'!D6</f>
        <v>0</v>
      </c>
      <c r="E6" s="91">
        <f>'Model (SC)'!E6-'Model (Matrix)'!E6</f>
        <v>0</v>
      </c>
      <c r="F6" s="91">
        <f>'Model (SC)'!F6-'Model (Matrix)'!F6</f>
        <v>0</v>
      </c>
      <c r="G6" s="91">
        <f>'Model (SC)'!G6-'Model (Matrix)'!G6</f>
        <v>0</v>
      </c>
      <c r="H6" s="91">
        <f>'Model (SC)'!H6-'Model (Matrix)'!H6</f>
        <v>0</v>
      </c>
      <c r="I6" s="91">
        <f>'Model (SC)'!I6-'Model (Matrix)'!I6</f>
        <v>0</v>
      </c>
      <c r="J6" s="91">
        <f>'Model (SC)'!J6-'Model (Matrix)'!J6</f>
        <v>0</v>
      </c>
      <c r="K6" s="91">
        <f>'Model (SC)'!K6-'Model (Matrix)'!K6</f>
        <v>0</v>
      </c>
      <c r="L6" s="91">
        <f>'Model (SC)'!L6-'Model (Matrix)'!L6</f>
        <v>0</v>
      </c>
      <c r="M6" s="91">
        <f>'Model (SC)'!M6-'Model (Matrix)'!M6</f>
        <v>0</v>
      </c>
      <c r="N6" s="91">
        <f>'Model (SC)'!N6-'Model (Matrix)'!N6</f>
        <v>0</v>
      </c>
      <c r="O6" s="91">
        <f>'Model (SC)'!O6-'Model (Matrix)'!O6</f>
        <v>0</v>
      </c>
      <c r="P6" s="91">
        <f>'Model (SC)'!P6-'Model (Matrix)'!P6</f>
        <v>0</v>
      </c>
      <c r="Q6" s="91">
        <f>'Model (SC)'!Q6-'Model (Matrix)'!Q6</f>
        <v>0</v>
      </c>
      <c r="R6" s="91">
        <f>'Model (SC)'!R6-'Model (Matrix)'!R6</f>
        <v>0</v>
      </c>
      <c r="S6" s="91">
        <f>'Model (SC)'!S6-'Model (Matrix)'!S6</f>
        <v>0</v>
      </c>
      <c r="T6" s="91">
        <f>'Model (SC)'!T6-'Model (Matrix)'!T6</f>
        <v>0</v>
      </c>
      <c r="U6" s="91">
        <f>'Model (SC)'!U6-'Model (Matrix)'!U6</f>
        <v>0</v>
      </c>
      <c r="V6" s="91">
        <f>'Model (SC)'!V6-'Model (Matrix)'!V6</f>
        <v>0</v>
      </c>
    </row>
    <row r="7" spans="1:22" x14ac:dyDescent="0.25">
      <c r="A7" s="82"/>
      <c r="B7" s="63" t="s">
        <v>128</v>
      </c>
      <c r="C7" s="310">
        <f>'Model (SC)'!C7-'Model (Matrix)'!C7</f>
        <v>0</v>
      </c>
      <c r="D7" s="91">
        <f>'Model (SC)'!D7-'Model (Matrix)'!D7</f>
        <v>0</v>
      </c>
      <c r="E7" s="91">
        <f>'Model (SC)'!E7-'Model (Matrix)'!E7</f>
        <v>0</v>
      </c>
      <c r="F7" s="91">
        <f>'Model (SC)'!F7-'Model (Matrix)'!F7</f>
        <v>0</v>
      </c>
      <c r="G7" s="91">
        <f>'Model (SC)'!G7-'Model (Matrix)'!G7</f>
        <v>0</v>
      </c>
      <c r="H7" s="91">
        <f>'Model (SC)'!H7-'Model (Matrix)'!H7</f>
        <v>0</v>
      </c>
      <c r="I7" s="91">
        <f>'Model (SC)'!I7-'Model (Matrix)'!I7</f>
        <v>0</v>
      </c>
      <c r="J7" s="91">
        <f>'Model (SC)'!J7-'Model (Matrix)'!J7</f>
        <v>0</v>
      </c>
      <c r="K7" s="91">
        <f>'Model (SC)'!K7-'Model (Matrix)'!K7</f>
        <v>0</v>
      </c>
      <c r="L7" s="91">
        <f>'Model (SC)'!L7-'Model (Matrix)'!L7</f>
        <v>0</v>
      </c>
      <c r="M7" s="91">
        <f>'Model (SC)'!M7-'Model (Matrix)'!M7</f>
        <v>0</v>
      </c>
      <c r="N7" s="91">
        <f>'Model (SC)'!N7-'Model (Matrix)'!N7</f>
        <v>0</v>
      </c>
      <c r="O7" s="91">
        <f>'Model (SC)'!O7-'Model (Matrix)'!O7</f>
        <v>0</v>
      </c>
      <c r="P7" s="91">
        <f>'Model (SC)'!P7-'Model (Matrix)'!P7</f>
        <v>0</v>
      </c>
      <c r="Q7" s="91">
        <f>'Model (SC)'!Q7-'Model (Matrix)'!Q7</f>
        <v>0</v>
      </c>
      <c r="R7" s="91">
        <f>'Model (SC)'!R7-'Model (Matrix)'!R7</f>
        <v>0</v>
      </c>
      <c r="S7" s="91">
        <f>'Model (SC)'!S7-'Model (Matrix)'!S7</f>
        <v>0</v>
      </c>
      <c r="T7" s="91">
        <f>'Model (SC)'!T7-'Model (Matrix)'!T7</f>
        <v>0</v>
      </c>
      <c r="U7" s="91">
        <f>'Model (SC)'!U7-'Model (Matrix)'!U7</f>
        <v>0</v>
      </c>
      <c r="V7" s="91">
        <f>'Model (SC)'!V7-'Model (Matrix)'!V7</f>
        <v>0</v>
      </c>
    </row>
    <row r="8" spans="1:22" x14ac:dyDescent="0.25">
      <c r="A8" s="82"/>
      <c r="B8" s="63" t="s">
        <v>129</v>
      </c>
      <c r="C8" s="310">
        <f>'Model (SC)'!C8-'Model (Matrix)'!C8</f>
        <v>0</v>
      </c>
      <c r="D8" s="91">
        <f>'Model (SC)'!D8-'Model (Matrix)'!D8</f>
        <v>0</v>
      </c>
      <c r="E8" s="91">
        <f>'Model (SC)'!E8-'Model (Matrix)'!E8</f>
        <v>0</v>
      </c>
      <c r="F8" s="91">
        <f>'Model (SC)'!F8-'Model (Matrix)'!F8</f>
        <v>0</v>
      </c>
      <c r="G8" s="91">
        <f>'Model (SC)'!G8-'Model (Matrix)'!G8</f>
        <v>0</v>
      </c>
      <c r="H8" s="91">
        <f>'Model (SC)'!H8-'Model (Matrix)'!H8</f>
        <v>0</v>
      </c>
      <c r="I8" s="91">
        <f>'Model (SC)'!I8-'Model (Matrix)'!I8</f>
        <v>0</v>
      </c>
      <c r="J8" s="91">
        <f>'Model (SC)'!J8-'Model (Matrix)'!J8</f>
        <v>0</v>
      </c>
      <c r="K8" s="91">
        <f>'Model (SC)'!K8-'Model (Matrix)'!K8</f>
        <v>0</v>
      </c>
      <c r="L8" s="91">
        <f>'Model (SC)'!L8-'Model (Matrix)'!L8</f>
        <v>0</v>
      </c>
      <c r="M8" s="91">
        <f>'Model (SC)'!M8-'Model (Matrix)'!M8</f>
        <v>0</v>
      </c>
      <c r="N8" s="91">
        <f>'Model (SC)'!N8-'Model (Matrix)'!N8</f>
        <v>0</v>
      </c>
      <c r="O8" s="91">
        <f>'Model (SC)'!O8-'Model (Matrix)'!O8</f>
        <v>0</v>
      </c>
      <c r="P8" s="91">
        <f>'Model (SC)'!P8-'Model (Matrix)'!P8</f>
        <v>0</v>
      </c>
      <c r="Q8" s="91">
        <f>'Model (SC)'!Q8-'Model (Matrix)'!Q8</f>
        <v>0</v>
      </c>
      <c r="R8" s="91">
        <f>'Model (SC)'!R8-'Model (Matrix)'!R8</f>
        <v>0</v>
      </c>
      <c r="S8" s="91">
        <f>'Model (SC)'!S8-'Model (Matrix)'!S8</f>
        <v>0</v>
      </c>
      <c r="T8" s="91">
        <f>'Model (SC)'!T8-'Model (Matrix)'!T8</f>
        <v>0</v>
      </c>
      <c r="U8" s="91">
        <f>'Model (SC)'!U8-'Model (Matrix)'!U8</f>
        <v>0</v>
      </c>
      <c r="V8" s="91">
        <f>'Model (SC)'!V8-'Model (Matrix)'!V8</f>
        <v>0</v>
      </c>
    </row>
    <row r="9" spans="1:22" x14ac:dyDescent="0.25">
      <c r="A9" s="82"/>
      <c r="B9" s="63" t="s">
        <v>130</v>
      </c>
      <c r="C9" s="310">
        <f>'Model (SC)'!C9-'Model (Matrix)'!C9</f>
        <v>0</v>
      </c>
      <c r="D9" s="91">
        <f>'Model (SC)'!D9-'Model (Matrix)'!D9</f>
        <v>0</v>
      </c>
      <c r="E9" s="91">
        <f>'Model (SC)'!E9-'Model (Matrix)'!E9</f>
        <v>0</v>
      </c>
      <c r="F9" s="91">
        <f>'Model (SC)'!F9-'Model (Matrix)'!F9</f>
        <v>0</v>
      </c>
      <c r="G9" s="91">
        <f>'Model (SC)'!G9-'Model (Matrix)'!G9</f>
        <v>0</v>
      </c>
      <c r="H9" s="91">
        <f>'Model (SC)'!H9-'Model (Matrix)'!H9</f>
        <v>0</v>
      </c>
      <c r="I9" s="91">
        <f>'Model (SC)'!I9-'Model (Matrix)'!I9</f>
        <v>0</v>
      </c>
      <c r="J9" s="91">
        <f>'Model (SC)'!J9-'Model (Matrix)'!J9</f>
        <v>0</v>
      </c>
      <c r="K9" s="91">
        <f>'Model (SC)'!K9-'Model (Matrix)'!K9</f>
        <v>0</v>
      </c>
      <c r="L9" s="91">
        <f>'Model (SC)'!L9-'Model (Matrix)'!L9</f>
        <v>0</v>
      </c>
      <c r="M9" s="91">
        <f>'Model (SC)'!M9-'Model (Matrix)'!M9</f>
        <v>0</v>
      </c>
      <c r="N9" s="91">
        <f>'Model (SC)'!N9-'Model (Matrix)'!N9</f>
        <v>0</v>
      </c>
      <c r="O9" s="91">
        <f>'Model (SC)'!O9-'Model (Matrix)'!O9</f>
        <v>0</v>
      </c>
      <c r="P9" s="91">
        <f>'Model (SC)'!P9-'Model (Matrix)'!P9</f>
        <v>0</v>
      </c>
      <c r="Q9" s="91">
        <f>'Model (SC)'!Q9-'Model (Matrix)'!Q9</f>
        <v>0</v>
      </c>
      <c r="R9" s="91">
        <f>'Model (SC)'!R9-'Model (Matrix)'!R9</f>
        <v>0</v>
      </c>
      <c r="S9" s="91">
        <f>'Model (SC)'!S9-'Model (Matrix)'!S9</f>
        <v>0</v>
      </c>
      <c r="T9" s="91">
        <f>'Model (SC)'!T9-'Model (Matrix)'!T9</f>
        <v>0</v>
      </c>
      <c r="U9" s="91">
        <f>'Model (SC)'!U9-'Model (Matrix)'!U9</f>
        <v>0</v>
      </c>
      <c r="V9" s="91">
        <f>'Model (SC)'!V9-'Model (Matrix)'!V9</f>
        <v>0</v>
      </c>
    </row>
    <row r="10" spans="1:22" x14ac:dyDescent="0.25">
      <c r="A10" s="82"/>
      <c r="B10" s="63" t="s">
        <v>131</v>
      </c>
      <c r="C10" s="310">
        <f>'Model (SC)'!C10-'Model (Matrix)'!C10</f>
        <v>0</v>
      </c>
      <c r="D10" s="91">
        <f>'Model (SC)'!D10-'Model (Matrix)'!D10</f>
        <v>0</v>
      </c>
      <c r="E10" s="91">
        <f>'Model (SC)'!E10-'Model (Matrix)'!E10</f>
        <v>0</v>
      </c>
      <c r="F10" s="91">
        <f>'Model (SC)'!F10-'Model (Matrix)'!F10</f>
        <v>0</v>
      </c>
      <c r="G10" s="91">
        <f>'Model (SC)'!G10-'Model (Matrix)'!G10</f>
        <v>0</v>
      </c>
      <c r="H10" s="91">
        <f>'Model (SC)'!H10-'Model (Matrix)'!H10</f>
        <v>0</v>
      </c>
      <c r="I10" s="91">
        <f>'Model (SC)'!I10-'Model (Matrix)'!I10</f>
        <v>0</v>
      </c>
      <c r="J10" s="91">
        <f>'Model (SC)'!J10-'Model (Matrix)'!J10</f>
        <v>0</v>
      </c>
      <c r="K10" s="91">
        <f>'Model (SC)'!K10-'Model (Matrix)'!K10</f>
        <v>0</v>
      </c>
      <c r="L10" s="91">
        <f>'Model (SC)'!L10-'Model (Matrix)'!L10</f>
        <v>0</v>
      </c>
      <c r="M10" s="91">
        <f>'Model (SC)'!M10-'Model (Matrix)'!M10</f>
        <v>0</v>
      </c>
      <c r="N10" s="91">
        <f>'Model (SC)'!N10-'Model (Matrix)'!N10</f>
        <v>0</v>
      </c>
      <c r="O10" s="91">
        <f>'Model (SC)'!O10-'Model (Matrix)'!O10</f>
        <v>0</v>
      </c>
      <c r="P10" s="91">
        <f>'Model (SC)'!P10-'Model (Matrix)'!P10</f>
        <v>0</v>
      </c>
      <c r="Q10" s="91">
        <f>'Model (SC)'!Q10-'Model (Matrix)'!Q10</f>
        <v>0</v>
      </c>
      <c r="R10" s="91">
        <f>'Model (SC)'!R10-'Model (Matrix)'!R10</f>
        <v>0</v>
      </c>
      <c r="S10" s="91">
        <f>'Model (SC)'!S10-'Model (Matrix)'!S10</f>
        <v>0</v>
      </c>
      <c r="T10" s="91">
        <f>'Model (SC)'!T10-'Model (Matrix)'!T10</f>
        <v>0</v>
      </c>
      <c r="U10" s="91">
        <f>'Model (SC)'!U10-'Model (Matrix)'!U10</f>
        <v>0</v>
      </c>
      <c r="V10" s="91">
        <f>'Model (SC)'!V10-'Model (Matrix)'!V10</f>
        <v>0</v>
      </c>
    </row>
    <row r="11" spans="1:22" x14ac:dyDescent="0.25">
      <c r="A11" s="86" t="s">
        <v>314</v>
      </c>
      <c r="B11" s="64"/>
      <c r="C11" s="310">
        <f>'Model (SC)'!C11-'Model (Matrix)'!C11</f>
        <v>0</v>
      </c>
      <c r="D11" s="91">
        <f>'Model (SC)'!D11-'Model (Matrix)'!D11</f>
        <v>0</v>
      </c>
      <c r="E11" s="91">
        <f>'Model (SC)'!E11-'Model (Matrix)'!E11</f>
        <v>0</v>
      </c>
      <c r="F11" s="91">
        <f>'Model (SC)'!F11-'Model (Matrix)'!F11</f>
        <v>0</v>
      </c>
      <c r="G11" s="91">
        <f>'Model (SC)'!G11-'Model (Matrix)'!G11</f>
        <v>0</v>
      </c>
      <c r="H11" s="91">
        <f>'Model (SC)'!H11-'Model (Matrix)'!H11</f>
        <v>0</v>
      </c>
      <c r="I11" s="91">
        <f>'Model (SC)'!I11-'Model (Matrix)'!I11</f>
        <v>0</v>
      </c>
      <c r="J11" s="91">
        <f>'Model (SC)'!J11-'Model (Matrix)'!J11</f>
        <v>0</v>
      </c>
      <c r="K11" s="91">
        <f>'Model (SC)'!K11-'Model (Matrix)'!K11</f>
        <v>0</v>
      </c>
      <c r="L11" s="91">
        <f>'Model (SC)'!L11-'Model (Matrix)'!L11</f>
        <v>0</v>
      </c>
      <c r="M11" s="91">
        <f>'Model (SC)'!M11-'Model (Matrix)'!M11</f>
        <v>0</v>
      </c>
      <c r="N11" s="91">
        <f>'Model (SC)'!N11-'Model (Matrix)'!N11</f>
        <v>0</v>
      </c>
      <c r="O11" s="91">
        <f>'Model (SC)'!O11-'Model (Matrix)'!O11</f>
        <v>0</v>
      </c>
      <c r="P11" s="91">
        <f>'Model (SC)'!P11-'Model (Matrix)'!P11</f>
        <v>0</v>
      </c>
      <c r="Q11" s="91">
        <f>'Model (SC)'!Q11-'Model (Matrix)'!Q11</f>
        <v>0</v>
      </c>
      <c r="R11" s="91">
        <f>'Model (SC)'!R11-'Model (Matrix)'!R11</f>
        <v>0</v>
      </c>
      <c r="S11" s="91">
        <f>'Model (SC)'!S11-'Model (Matrix)'!S11</f>
        <v>0</v>
      </c>
      <c r="T11" s="91">
        <f>'Model (SC)'!T11-'Model (Matrix)'!T11</f>
        <v>0</v>
      </c>
      <c r="U11" s="91">
        <f>'Model (SC)'!U11-'Model (Matrix)'!U11</f>
        <v>0</v>
      </c>
      <c r="V11" s="91">
        <f>'Model (SC)'!V11-'Model (Matrix)'!V11</f>
        <v>0</v>
      </c>
    </row>
    <row r="12" spans="1:22" x14ac:dyDescent="0.25">
      <c r="A12" s="82"/>
      <c r="B12" s="64" t="s">
        <v>124</v>
      </c>
      <c r="C12" s="94">
        <f>'Model (SC)'!C12-'Model (Matrix)'!C12</f>
        <v>0</v>
      </c>
      <c r="D12" s="91">
        <f>'Model (SC)'!D12-'Model (Matrix)'!D12</f>
        <v>0</v>
      </c>
      <c r="E12" s="91">
        <f>'Model (SC)'!E12-'Model (Matrix)'!E12</f>
        <v>0</v>
      </c>
      <c r="F12" s="91">
        <f>'Model (SC)'!F12-'Model (Matrix)'!F12</f>
        <v>0</v>
      </c>
      <c r="G12" s="91">
        <f>'Model (SC)'!G12-'Model (Matrix)'!G12</f>
        <v>0</v>
      </c>
      <c r="H12" s="91">
        <f>'Model (SC)'!H12-'Model (Matrix)'!H12</f>
        <v>0</v>
      </c>
      <c r="I12" s="91">
        <f>'Model (SC)'!I12-'Model (Matrix)'!I12</f>
        <v>0</v>
      </c>
      <c r="J12" s="91">
        <f>'Model (SC)'!J12-'Model (Matrix)'!J12</f>
        <v>0</v>
      </c>
      <c r="K12" s="91">
        <f>'Model (SC)'!K12-'Model (Matrix)'!K12</f>
        <v>0</v>
      </c>
      <c r="L12" s="91">
        <f>'Model (SC)'!L12-'Model (Matrix)'!L12</f>
        <v>0</v>
      </c>
      <c r="M12" s="91">
        <f>'Model (SC)'!M12-'Model (Matrix)'!M12</f>
        <v>0</v>
      </c>
      <c r="N12" s="91">
        <f>'Model (SC)'!N12-'Model (Matrix)'!N12</f>
        <v>0</v>
      </c>
      <c r="O12" s="91">
        <f>'Model (SC)'!O12-'Model (Matrix)'!O12</f>
        <v>0</v>
      </c>
      <c r="P12" s="91">
        <f>'Model (SC)'!P12-'Model (Matrix)'!P12</f>
        <v>0</v>
      </c>
      <c r="Q12" s="91">
        <f>'Model (SC)'!Q12-'Model (Matrix)'!Q12</f>
        <v>0</v>
      </c>
      <c r="R12" s="91">
        <f>'Model (SC)'!R12-'Model (Matrix)'!R12</f>
        <v>0</v>
      </c>
      <c r="S12" s="91">
        <f>'Model (SC)'!S12-'Model (Matrix)'!S12</f>
        <v>0</v>
      </c>
      <c r="T12" s="91">
        <f>'Model (SC)'!T12-'Model (Matrix)'!T12</f>
        <v>0</v>
      </c>
      <c r="U12" s="91">
        <f>'Model (SC)'!U12-'Model (Matrix)'!U12</f>
        <v>0</v>
      </c>
      <c r="V12" s="91">
        <f>'Model (SC)'!V12-'Model (Matrix)'!V12</f>
        <v>0</v>
      </c>
    </row>
    <row r="13" spans="1:22" x14ac:dyDescent="0.25">
      <c r="A13" s="82"/>
      <c r="B13" s="64" t="s">
        <v>630</v>
      </c>
      <c r="C13" s="94">
        <f>'Model (SC)'!C13-'Model (Matrix)'!C13</f>
        <v>0</v>
      </c>
      <c r="D13" s="91">
        <f>'Model (SC)'!D13-'Model (Matrix)'!D13</f>
        <v>0</v>
      </c>
      <c r="E13" s="91">
        <f>'Model (SC)'!E13-'Model (Matrix)'!E13</f>
        <v>0</v>
      </c>
      <c r="F13" s="91">
        <f>'Model (SC)'!F13-'Model (Matrix)'!F13</f>
        <v>0</v>
      </c>
      <c r="G13" s="91">
        <f>'Model (SC)'!G13-'Model (Matrix)'!G13</f>
        <v>0</v>
      </c>
      <c r="H13" s="91">
        <f>'Model (SC)'!H13-'Model (Matrix)'!H13</f>
        <v>0</v>
      </c>
      <c r="I13" s="91">
        <f>'Model (SC)'!I13-'Model (Matrix)'!I13</f>
        <v>0</v>
      </c>
      <c r="J13" s="91">
        <f>'Model (SC)'!J13-'Model (Matrix)'!J13</f>
        <v>0</v>
      </c>
      <c r="K13" s="91">
        <f>'Model (SC)'!K13-'Model (Matrix)'!K13</f>
        <v>0</v>
      </c>
      <c r="L13" s="91">
        <f>'Model (SC)'!L13-'Model (Matrix)'!L13</f>
        <v>0</v>
      </c>
      <c r="M13" s="91">
        <f>'Model (SC)'!M13-'Model (Matrix)'!M13</f>
        <v>0</v>
      </c>
      <c r="N13" s="91">
        <f>'Model (SC)'!N13-'Model (Matrix)'!N13</f>
        <v>0</v>
      </c>
      <c r="O13" s="91">
        <f>'Model (SC)'!O13-'Model (Matrix)'!O13</f>
        <v>0</v>
      </c>
      <c r="P13" s="91">
        <f>'Model (SC)'!P13-'Model (Matrix)'!P13</f>
        <v>0</v>
      </c>
      <c r="Q13" s="91">
        <f>'Model (SC)'!Q13-'Model (Matrix)'!Q13</f>
        <v>0</v>
      </c>
      <c r="R13" s="91">
        <f>'Model (SC)'!R13-'Model (Matrix)'!R13</f>
        <v>0</v>
      </c>
      <c r="S13" s="91">
        <f>'Model (SC)'!S13-'Model (Matrix)'!S13</f>
        <v>0</v>
      </c>
      <c r="T13" s="91">
        <f>'Model (SC)'!T13-'Model (Matrix)'!T13</f>
        <v>0</v>
      </c>
      <c r="U13" s="91">
        <f>'Model (SC)'!U13-'Model (Matrix)'!U13</f>
        <v>0</v>
      </c>
      <c r="V13" s="91">
        <f>'Model (SC)'!V13-'Model (Matrix)'!V13</f>
        <v>0</v>
      </c>
    </row>
    <row r="14" spans="1:22" x14ac:dyDescent="0.25">
      <c r="A14" s="82"/>
      <c r="B14" s="64" t="s">
        <v>132</v>
      </c>
      <c r="C14" s="94">
        <f>'Model (SC)'!C14-'Model (Matrix)'!C14</f>
        <v>0</v>
      </c>
      <c r="D14" s="91">
        <f>'Model (SC)'!D14-'Model (Matrix)'!D14</f>
        <v>0</v>
      </c>
      <c r="E14" s="91">
        <f>'Model (SC)'!E14-'Model (Matrix)'!E14</f>
        <v>0</v>
      </c>
      <c r="F14" s="91">
        <f>'Model (SC)'!F14-'Model (Matrix)'!F14</f>
        <v>0</v>
      </c>
      <c r="G14" s="91">
        <f>'Model (SC)'!G14-'Model (Matrix)'!G14</f>
        <v>0</v>
      </c>
      <c r="H14" s="91">
        <f>'Model (SC)'!H14-'Model (Matrix)'!H14</f>
        <v>0</v>
      </c>
      <c r="I14" s="91">
        <f>'Model (SC)'!I14-'Model (Matrix)'!I14</f>
        <v>0</v>
      </c>
      <c r="J14" s="91">
        <f>'Model (SC)'!J14-'Model (Matrix)'!J14</f>
        <v>0</v>
      </c>
      <c r="K14" s="91">
        <f>'Model (SC)'!K14-'Model (Matrix)'!K14</f>
        <v>0</v>
      </c>
      <c r="L14" s="91">
        <f>'Model (SC)'!L14-'Model (Matrix)'!L14</f>
        <v>0</v>
      </c>
      <c r="M14" s="91">
        <f>'Model (SC)'!M14-'Model (Matrix)'!M14</f>
        <v>0</v>
      </c>
      <c r="N14" s="91">
        <f>'Model (SC)'!N14-'Model (Matrix)'!N14</f>
        <v>0</v>
      </c>
      <c r="O14" s="91">
        <f>'Model (SC)'!O14-'Model (Matrix)'!O14</f>
        <v>0</v>
      </c>
      <c r="P14" s="91">
        <f>'Model (SC)'!P14-'Model (Matrix)'!P14</f>
        <v>0</v>
      </c>
      <c r="Q14" s="91">
        <f>'Model (SC)'!Q14-'Model (Matrix)'!Q14</f>
        <v>0</v>
      </c>
      <c r="R14" s="91">
        <f>'Model (SC)'!R14-'Model (Matrix)'!R14</f>
        <v>0</v>
      </c>
      <c r="S14" s="91">
        <f>'Model (SC)'!S14-'Model (Matrix)'!S14</f>
        <v>0</v>
      </c>
      <c r="T14" s="91">
        <f>'Model (SC)'!T14-'Model (Matrix)'!T14</f>
        <v>0</v>
      </c>
      <c r="U14" s="91">
        <f>'Model (SC)'!U14-'Model (Matrix)'!U14</f>
        <v>0</v>
      </c>
      <c r="V14" s="91">
        <f>'Model (SC)'!V14-'Model (Matrix)'!V14</f>
        <v>0</v>
      </c>
    </row>
    <row r="15" spans="1:22" x14ac:dyDescent="0.25">
      <c r="A15" s="82"/>
      <c r="B15" s="64" t="s">
        <v>133</v>
      </c>
      <c r="C15" s="94">
        <f>'Model (SC)'!C15-'Model (Matrix)'!C15</f>
        <v>0</v>
      </c>
      <c r="D15" s="91">
        <f>'Model (SC)'!D15-'Model (Matrix)'!D15</f>
        <v>0</v>
      </c>
      <c r="E15" s="91">
        <f>'Model (SC)'!E15-'Model (Matrix)'!E15</f>
        <v>0</v>
      </c>
      <c r="F15" s="91">
        <f>'Model (SC)'!F15-'Model (Matrix)'!F15</f>
        <v>0</v>
      </c>
      <c r="G15" s="91">
        <f>'Model (SC)'!G15-'Model (Matrix)'!G15</f>
        <v>0</v>
      </c>
      <c r="H15" s="91">
        <f>'Model (SC)'!H15-'Model (Matrix)'!H15</f>
        <v>0</v>
      </c>
      <c r="I15" s="91">
        <f>'Model (SC)'!I15-'Model (Matrix)'!I15</f>
        <v>0</v>
      </c>
      <c r="J15" s="91">
        <f>'Model (SC)'!J15-'Model (Matrix)'!J15</f>
        <v>0</v>
      </c>
      <c r="K15" s="91">
        <f>'Model (SC)'!K15-'Model (Matrix)'!K15</f>
        <v>0</v>
      </c>
      <c r="L15" s="91">
        <f>'Model (SC)'!L15-'Model (Matrix)'!L15</f>
        <v>0</v>
      </c>
      <c r="M15" s="91">
        <f>'Model (SC)'!M15-'Model (Matrix)'!M15</f>
        <v>0</v>
      </c>
      <c r="N15" s="91">
        <f>'Model (SC)'!N15-'Model (Matrix)'!N15</f>
        <v>0</v>
      </c>
      <c r="O15" s="91">
        <f>'Model (SC)'!O15-'Model (Matrix)'!O15</f>
        <v>0</v>
      </c>
      <c r="P15" s="91">
        <f>'Model (SC)'!P15-'Model (Matrix)'!P15</f>
        <v>0</v>
      </c>
      <c r="Q15" s="91">
        <f>'Model (SC)'!Q15-'Model (Matrix)'!Q15</f>
        <v>0</v>
      </c>
      <c r="R15" s="91">
        <f>'Model (SC)'!R15-'Model (Matrix)'!R15</f>
        <v>0</v>
      </c>
      <c r="S15" s="91">
        <f>'Model (SC)'!S15-'Model (Matrix)'!S15</f>
        <v>0</v>
      </c>
      <c r="T15" s="91">
        <f>'Model (SC)'!T15-'Model (Matrix)'!T15</f>
        <v>0</v>
      </c>
      <c r="U15" s="91">
        <f>'Model (SC)'!U15-'Model (Matrix)'!U15</f>
        <v>0</v>
      </c>
      <c r="V15" s="91">
        <f>'Model (SC)'!V15-'Model (Matrix)'!V15</f>
        <v>0</v>
      </c>
    </row>
    <row r="16" spans="1:22" x14ac:dyDescent="0.25">
      <c r="A16" s="82"/>
      <c r="B16" s="64" t="s">
        <v>570</v>
      </c>
      <c r="C16" s="94">
        <f>'Model (SC)'!C16-'Model (Matrix)'!C16</f>
        <v>0</v>
      </c>
      <c r="D16" s="91">
        <f>'Model (SC)'!D16-'Model (Matrix)'!D16</f>
        <v>0</v>
      </c>
      <c r="E16" s="91">
        <f>'Model (SC)'!E16-'Model (Matrix)'!E16</f>
        <v>0</v>
      </c>
      <c r="F16" s="91">
        <f>'Model (SC)'!F16-'Model (Matrix)'!F16</f>
        <v>0</v>
      </c>
      <c r="G16" s="91">
        <f>'Model (SC)'!G16-'Model (Matrix)'!G16</f>
        <v>0</v>
      </c>
      <c r="H16" s="91">
        <f>'Model (SC)'!H16-'Model (Matrix)'!H16</f>
        <v>0</v>
      </c>
      <c r="I16" s="91">
        <f>'Model (SC)'!I16-'Model (Matrix)'!I16</f>
        <v>0</v>
      </c>
      <c r="J16" s="91">
        <f>'Model (SC)'!J16-'Model (Matrix)'!J16</f>
        <v>0</v>
      </c>
      <c r="K16" s="91">
        <f>'Model (SC)'!K16-'Model (Matrix)'!K16</f>
        <v>0</v>
      </c>
      <c r="L16" s="91">
        <f>'Model (SC)'!L16-'Model (Matrix)'!L16</f>
        <v>0</v>
      </c>
      <c r="M16" s="91">
        <f>'Model (SC)'!M16-'Model (Matrix)'!M16</f>
        <v>0</v>
      </c>
      <c r="N16" s="91">
        <f>'Model (SC)'!N16-'Model (Matrix)'!N16</f>
        <v>0</v>
      </c>
      <c r="O16" s="91">
        <f>'Model (SC)'!O16-'Model (Matrix)'!O16</f>
        <v>0</v>
      </c>
      <c r="P16" s="91">
        <f>'Model (SC)'!P16-'Model (Matrix)'!P16</f>
        <v>0</v>
      </c>
      <c r="Q16" s="91">
        <f>'Model (SC)'!Q16-'Model (Matrix)'!Q16</f>
        <v>0</v>
      </c>
      <c r="R16" s="91">
        <f>'Model (SC)'!R16-'Model (Matrix)'!R16</f>
        <v>0</v>
      </c>
      <c r="S16" s="91">
        <f>'Model (SC)'!S16-'Model (Matrix)'!S16</f>
        <v>0</v>
      </c>
      <c r="T16" s="91">
        <f>'Model (SC)'!T16-'Model (Matrix)'!T16</f>
        <v>0</v>
      </c>
      <c r="U16" s="91">
        <f>'Model (SC)'!U16-'Model (Matrix)'!U16</f>
        <v>0</v>
      </c>
      <c r="V16" s="91">
        <f>'Model (SC)'!V16-'Model (Matrix)'!V16</f>
        <v>0</v>
      </c>
    </row>
    <row r="17" spans="1:22" x14ac:dyDescent="0.25">
      <c r="A17" s="82"/>
      <c r="B17" s="63" t="s">
        <v>134</v>
      </c>
      <c r="C17" s="94">
        <f>'Model (SC)'!C17-'Model (Matrix)'!C17</f>
        <v>0</v>
      </c>
      <c r="D17" s="91">
        <f>'Model (SC)'!D17-'Model (Matrix)'!D17</f>
        <v>0</v>
      </c>
      <c r="E17" s="91">
        <f>'Model (SC)'!E17-'Model (Matrix)'!E17</f>
        <v>0</v>
      </c>
      <c r="F17" s="91">
        <f>'Model (SC)'!F17-'Model (Matrix)'!F17</f>
        <v>0</v>
      </c>
      <c r="G17" s="91">
        <f>'Model (SC)'!G17-'Model (Matrix)'!G17</f>
        <v>0</v>
      </c>
      <c r="H17" s="91">
        <f>'Model (SC)'!H17-'Model (Matrix)'!H17</f>
        <v>0</v>
      </c>
      <c r="I17" s="91">
        <f>'Model (SC)'!I17-'Model (Matrix)'!I17</f>
        <v>0</v>
      </c>
      <c r="J17" s="91">
        <f>'Model (SC)'!J17-'Model (Matrix)'!J17</f>
        <v>0</v>
      </c>
      <c r="K17" s="91">
        <f>'Model (SC)'!K17-'Model (Matrix)'!K17</f>
        <v>0</v>
      </c>
      <c r="L17" s="91">
        <f>'Model (SC)'!L17-'Model (Matrix)'!L17</f>
        <v>0</v>
      </c>
      <c r="M17" s="91">
        <f>'Model (SC)'!M17-'Model (Matrix)'!M17</f>
        <v>0</v>
      </c>
      <c r="N17" s="91">
        <f>'Model (SC)'!N17-'Model (Matrix)'!N17</f>
        <v>0</v>
      </c>
      <c r="O17" s="91">
        <f>'Model (SC)'!O17-'Model (Matrix)'!O17</f>
        <v>0</v>
      </c>
      <c r="P17" s="91">
        <f>'Model (SC)'!P17-'Model (Matrix)'!P17</f>
        <v>0</v>
      </c>
      <c r="Q17" s="91">
        <f>'Model (SC)'!Q17-'Model (Matrix)'!Q17</f>
        <v>0</v>
      </c>
      <c r="R17" s="91">
        <f>'Model (SC)'!R17-'Model (Matrix)'!R17</f>
        <v>0</v>
      </c>
      <c r="S17" s="91">
        <f>'Model (SC)'!S17-'Model (Matrix)'!S17</f>
        <v>0</v>
      </c>
      <c r="T17" s="91">
        <f>'Model (SC)'!T17-'Model (Matrix)'!T17</f>
        <v>0</v>
      </c>
      <c r="U17" s="91">
        <f>'Model (SC)'!U17-'Model (Matrix)'!U17</f>
        <v>0</v>
      </c>
      <c r="V17" s="91">
        <f>'Model (SC)'!V17-'Model (Matrix)'!V17</f>
        <v>0</v>
      </c>
    </row>
    <row r="18" spans="1:22" x14ac:dyDescent="0.25">
      <c r="A18" s="82"/>
      <c r="B18" s="63" t="s">
        <v>730</v>
      </c>
      <c r="C18" s="94">
        <f>'Model (SC)'!C18-'Model (Matrix)'!C18</f>
        <v>0</v>
      </c>
      <c r="D18" s="91">
        <f>'Model (SC)'!D18-'Model (Matrix)'!D18</f>
        <v>0</v>
      </c>
      <c r="E18" s="91">
        <f>'Model (SC)'!E18-'Model (Matrix)'!E18</f>
        <v>0</v>
      </c>
      <c r="F18" s="91">
        <f>'Model (SC)'!F18-'Model (Matrix)'!F18</f>
        <v>0</v>
      </c>
      <c r="G18" s="91">
        <f>'Model (SC)'!G18-'Model (Matrix)'!G18</f>
        <v>0</v>
      </c>
      <c r="H18" s="91">
        <f>'Model (SC)'!H18-'Model (Matrix)'!H18</f>
        <v>0</v>
      </c>
      <c r="I18" s="91">
        <f>'Model (SC)'!I18-'Model (Matrix)'!I18</f>
        <v>0</v>
      </c>
      <c r="J18" s="91">
        <f>'Model (SC)'!J18-'Model (Matrix)'!J18</f>
        <v>0</v>
      </c>
      <c r="K18" s="91">
        <f>'Model (SC)'!K18-'Model (Matrix)'!K18</f>
        <v>0</v>
      </c>
      <c r="L18" s="91">
        <f>'Model (SC)'!L18-'Model (Matrix)'!L18</f>
        <v>0</v>
      </c>
      <c r="M18" s="91">
        <f>'Model (SC)'!M18-'Model (Matrix)'!M18</f>
        <v>0</v>
      </c>
      <c r="N18" s="91">
        <f>'Model (SC)'!N18-'Model (Matrix)'!N18</f>
        <v>0</v>
      </c>
      <c r="O18" s="91">
        <f>'Model (SC)'!O18-'Model (Matrix)'!O18</f>
        <v>0</v>
      </c>
      <c r="P18" s="91">
        <f>'Model (SC)'!P18-'Model (Matrix)'!P18</f>
        <v>0</v>
      </c>
      <c r="Q18" s="91">
        <f>'Model (SC)'!Q18-'Model (Matrix)'!Q18</f>
        <v>0</v>
      </c>
      <c r="R18" s="91">
        <f>'Model (SC)'!R18-'Model (Matrix)'!R18</f>
        <v>0</v>
      </c>
      <c r="S18" s="91">
        <f>'Model (SC)'!S18-'Model (Matrix)'!S18</f>
        <v>0</v>
      </c>
      <c r="T18" s="91">
        <f>'Model (SC)'!T18-'Model (Matrix)'!T18</f>
        <v>0</v>
      </c>
      <c r="U18" s="91">
        <f>'Model (SC)'!U18-'Model (Matrix)'!U18</f>
        <v>0</v>
      </c>
      <c r="V18" s="91">
        <f>'Model (SC)'!V18-'Model (Matrix)'!V18</f>
        <v>0</v>
      </c>
    </row>
    <row r="19" spans="1:22" x14ac:dyDescent="0.25">
      <c r="A19" s="82"/>
      <c r="B19" s="63" t="s">
        <v>135</v>
      </c>
      <c r="C19" s="94">
        <f>'Model (SC)'!C19-'Model (Matrix)'!C19</f>
        <v>0</v>
      </c>
      <c r="D19" s="91">
        <f>'Model (SC)'!D19-'Model (Matrix)'!D19</f>
        <v>0</v>
      </c>
      <c r="E19" s="91">
        <f>'Model (SC)'!E19-'Model (Matrix)'!E19</f>
        <v>0</v>
      </c>
      <c r="F19" s="91">
        <f>'Model (SC)'!F19-'Model (Matrix)'!F19</f>
        <v>0</v>
      </c>
      <c r="G19" s="91">
        <f>'Model (SC)'!G19-'Model (Matrix)'!G19</f>
        <v>0</v>
      </c>
      <c r="H19" s="91">
        <f>'Model (SC)'!H19-'Model (Matrix)'!H19</f>
        <v>0</v>
      </c>
      <c r="I19" s="91">
        <f>'Model (SC)'!I19-'Model (Matrix)'!I19</f>
        <v>0</v>
      </c>
      <c r="J19" s="91">
        <f>'Model (SC)'!J19-'Model (Matrix)'!J19</f>
        <v>0</v>
      </c>
      <c r="K19" s="91">
        <f>'Model (SC)'!K19-'Model (Matrix)'!K19</f>
        <v>0</v>
      </c>
      <c r="L19" s="91">
        <f>'Model (SC)'!L19-'Model (Matrix)'!L19</f>
        <v>0</v>
      </c>
      <c r="M19" s="91">
        <f>'Model (SC)'!M19-'Model (Matrix)'!M19</f>
        <v>0</v>
      </c>
      <c r="N19" s="91">
        <f>'Model (SC)'!N19-'Model (Matrix)'!N19</f>
        <v>0</v>
      </c>
      <c r="O19" s="91">
        <f>'Model (SC)'!O19-'Model (Matrix)'!O19</f>
        <v>0</v>
      </c>
      <c r="P19" s="91">
        <f>'Model (SC)'!P19-'Model (Matrix)'!P19</f>
        <v>0</v>
      </c>
      <c r="Q19" s="91">
        <f>'Model (SC)'!Q19-'Model (Matrix)'!Q19</f>
        <v>0</v>
      </c>
      <c r="R19" s="91">
        <f>'Model (SC)'!R19-'Model (Matrix)'!R19</f>
        <v>0</v>
      </c>
      <c r="S19" s="91">
        <f>'Model (SC)'!S19-'Model (Matrix)'!S19</f>
        <v>0</v>
      </c>
      <c r="T19" s="91">
        <f>'Model (SC)'!T19-'Model (Matrix)'!T19</f>
        <v>0</v>
      </c>
      <c r="U19" s="91">
        <f>'Model (SC)'!U19-'Model (Matrix)'!U19</f>
        <v>0</v>
      </c>
      <c r="V19" s="91">
        <f>'Model (SC)'!V19-'Model (Matrix)'!V19</f>
        <v>0</v>
      </c>
    </row>
    <row r="20" spans="1:22" x14ac:dyDescent="0.25">
      <c r="A20" s="82"/>
      <c r="B20" s="63" t="s">
        <v>136</v>
      </c>
      <c r="C20" s="94">
        <f>'Model (SC)'!C20-'Model (Matrix)'!C20</f>
        <v>0</v>
      </c>
      <c r="D20" s="91">
        <f>'Model (SC)'!D20-'Model (Matrix)'!D20</f>
        <v>0</v>
      </c>
      <c r="E20" s="91">
        <f>'Model (SC)'!E20-'Model (Matrix)'!E20</f>
        <v>0</v>
      </c>
      <c r="F20" s="91">
        <f>'Model (SC)'!F20-'Model (Matrix)'!F20</f>
        <v>0</v>
      </c>
      <c r="G20" s="91">
        <f>'Model (SC)'!G20-'Model (Matrix)'!G20</f>
        <v>0</v>
      </c>
      <c r="H20" s="91">
        <f>'Model (SC)'!H20-'Model (Matrix)'!H20</f>
        <v>0</v>
      </c>
      <c r="I20" s="91">
        <f>'Model (SC)'!I20-'Model (Matrix)'!I20</f>
        <v>0</v>
      </c>
      <c r="J20" s="91">
        <f>'Model (SC)'!J20-'Model (Matrix)'!J20</f>
        <v>0</v>
      </c>
      <c r="K20" s="91">
        <f>'Model (SC)'!K20-'Model (Matrix)'!K20</f>
        <v>0</v>
      </c>
      <c r="L20" s="91">
        <f>'Model (SC)'!L20-'Model (Matrix)'!L20</f>
        <v>0</v>
      </c>
      <c r="M20" s="91">
        <f>'Model (SC)'!M20-'Model (Matrix)'!M20</f>
        <v>0</v>
      </c>
      <c r="N20" s="91">
        <f>'Model (SC)'!N20-'Model (Matrix)'!N20</f>
        <v>0</v>
      </c>
      <c r="O20" s="91">
        <f>'Model (SC)'!O20-'Model (Matrix)'!O20</f>
        <v>0</v>
      </c>
      <c r="P20" s="91">
        <f>'Model (SC)'!P20-'Model (Matrix)'!P20</f>
        <v>0</v>
      </c>
      <c r="Q20" s="91">
        <f>'Model (SC)'!Q20-'Model (Matrix)'!Q20</f>
        <v>0</v>
      </c>
      <c r="R20" s="91">
        <f>'Model (SC)'!R20-'Model (Matrix)'!R20</f>
        <v>0</v>
      </c>
      <c r="S20" s="91">
        <f>'Model (SC)'!S20-'Model (Matrix)'!S20</f>
        <v>0</v>
      </c>
      <c r="T20" s="91">
        <f>'Model (SC)'!T20-'Model (Matrix)'!T20</f>
        <v>0</v>
      </c>
      <c r="U20" s="91">
        <f>'Model (SC)'!U20-'Model (Matrix)'!U20</f>
        <v>0</v>
      </c>
      <c r="V20" s="91">
        <f>'Model (SC)'!V20-'Model (Matrix)'!V20</f>
        <v>0</v>
      </c>
    </row>
    <row r="21" spans="1:22" x14ac:dyDescent="0.25">
      <c r="A21" s="82"/>
      <c r="B21" s="63" t="s">
        <v>137</v>
      </c>
      <c r="C21" s="94">
        <f>'Model (SC)'!C21-'Model (Matrix)'!C21</f>
        <v>0</v>
      </c>
      <c r="D21" s="202">
        <f>'Model (SC)'!D21-'Model (Matrix)'!D21</f>
        <v>0</v>
      </c>
      <c r="E21" s="202">
        <f>'Model (SC)'!E21-'Model (Matrix)'!E21</f>
        <v>0</v>
      </c>
      <c r="F21" s="202">
        <f>'Model (SC)'!F21-'Model (Matrix)'!F21</f>
        <v>0</v>
      </c>
      <c r="G21" s="202">
        <f>'Model (SC)'!G21-'Model (Matrix)'!G21</f>
        <v>0</v>
      </c>
      <c r="H21" s="202">
        <f>'Model (SC)'!H21-'Model (Matrix)'!H21</f>
        <v>0</v>
      </c>
      <c r="I21" s="202">
        <f>'Model (SC)'!I21-'Model (Matrix)'!I21</f>
        <v>0</v>
      </c>
      <c r="J21" s="91">
        <f>'Model (SC)'!J21-'Model (Matrix)'!J21</f>
        <v>0</v>
      </c>
      <c r="K21" s="91">
        <f>'Model (SC)'!K21-'Model (Matrix)'!K21</f>
        <v>0</v>
      </c>
      <c r="L21" s="91">
        <f>'Model (SC)'!L21-'Model (Matrix)'!L21</f>
        <v>0</v>
      </c>
      <c r="M21" s="91">
        <f>'Model (SC)'!M21-'Model (Matrix)'!M21</f>
        <v>0</v>
      </c>
      <c r="N21" s="91">
        <f>'Model (SC)'!N21-'Model (Matrix)'!N21</f>
        <v>0</v>
      </c>
      <c r="O21" s="91">
        <f>'Model (SC)'!O21-'Model (Matrix)'!O21</f>
        <v>0</v>
      </c>
      <c r="P21" s="91">
        <f>'Model (SC)'!P21-'Model (Matrix)'!P21</f>
        <v>0</v>
      </c>
      <c r="Q21" s="91">
        <f>'Model (SC)'!Q21-'Model (Matrix)'!Q21</f>
        <v>0</v>
      </c>
      <c r="R21" s="91">
        <f>'Model (SC)'!R21-'Model (Matrix)'!R21</f>
        <v>0</v>
      </c>
      <c r="S21" s="91">
        <f>'Model (SC)'!S21-'Model (Matrix)'!S21</f>
        <v>0</v>
      </c>
      <c r="T21" s="91">
        <f>'Model (SC)'!T21-'Model (Matrix)'!T21</f>
        <v>0</v>
      </c>
      <c r="U21" s="91">
        <f>'Model (SC)'!U21-'Model (Matrix)'!U21</f>
        <v>0</v>
      </c>
      <c r="V21" s="91">
        <f>'Model (SC)'!V21-'Model (Matrix)'!V21</f>
        <v>0</v>
      </c>
    </row>
    <row r="22" spans="1:22" x14ac:dyDescent="0.25">
      <c r="A22" s="82"/>
      <c r="B22" s="63" t="s">
        <v>138</v>
      </c>
      <c r="C22" s="94">
        <f>'Model (SC)'!C22-'Model (Matrix)'!C22</f>
        <v>0</v>
      </c>
      <c r="D22" s="91">
        <f>'Model (SC)'!D22-'Model (Matrix)'!D22</f>
        <v>0</v>
      </c>
      <c r="E22" s="91">
        <f>'Model (SC)'!E22-'Model (Matrix)'!E22</f>
        <v>0</v>
      </c>
      <c r="F22" s="91">
        <f>'Model (SC)'!F22-'Model (Matrix)'!F22</f>
        <v>0</v>
      </c>
      <c r="G22" s="91">
        <f>'Model (SC)'!G22-'Model (Matrix)'!G22</f>
        <v>0</v>
      </c>
      <c r="H22" s="91">
        <f>'Model (SC)'!H22-'Model (Matrix)'!H22</f>
        <v>0</v>
      </c>
      <c r="I22" s="91">
        <f>'Model (SC)'!I22-'Model (Matrix)'!I22</f>
        <v>0</v>
      </c>
      <c r="J22" s="91">
        <f>'Model (SC)'!J22-'Model (Matrix)'!J22</f>
        <v>0</v>
      </c>
      <c r="K22" s="91">
        <f>'Model (SC)'!K22-'Model (Matrix)'!K22</f>
        <v>0</v>
      </c>
      <c r="L22" s="91">
        <f>'Model (SC)'!L22-'Model (Matrix)'!L22</f>
        <v>0</v>
      </c>
      <c r="M22" s="91">
        <f>'Model (SC)'!M22-'Model (Matrix)'!M22</f>
        <v>0</v>
      </c>
      <c r="N22" s="91">
        <f>'Model (SC)'!N22-'Model (Matrix)'!N22</f>
        <v>0</v>
      </c>
      <c r="O22" s="91">
        <f>'Model (SC)'!O22-'Model (Matrix)'!O22</f>
        <v>0</v>
      </c>
      <c r="P22" s="91">
        <f>'Model (SC)'!P22-'Model (Matrix)'!P22</f>
        <v>0</v>
      </c>
      <c r="Q22" s="91">
        <f>'Model (SC)'!Q22-'Model (Matrix)'!Q22</f>
        <v>0</v>
      </c>
      <c r="R22" s="91">
        <f>'Model (SC)'!R22-'Model (Matrix)'!R22</f>
        <v>0</v>
      </c>
      <c r="S22" s="91">
        <f>'Model (SC)'!S22-'Model (Matrix)'!S22</f>
        <v>0</v>
      </c>
      <c r="T22" s="91">
        <f>'Model (SC)'!T22-'Model (Matrix)'!T22</f>
        <v>0</v>
      </c>
      <c r="U22" s="91">
        <f>'Model (SC)'!U22-'Model (Matrix)'!U22</f>
        <v>0</v>
      </c>
      <c r="V22" s="91">
        <f>'Model (SC)'!V22-'Model (Matrix)'!V22</f>
        <v>0</v>
      </c>
    </row>
    <row r="23" spans="1:22" x14ac:dyDescent="0.25">
      <c r="A23" s="82"/>
      <c r="B23" s="63" t="s">
        <v>139</v>
      </c>
      <c r="C23" s="94">
        <f>'Model (SC)'!C23-'Model (Matrix)'!C23</f>
        <v>0</v>
      </c>
      <c r="D23" s="91">
        <f>'Model (SC)'!D23-'Model (Matrix)'!D23</f>
        <v>0</v>
      </c>
      <c r="E23" s="91">
        <f>'Model (SC)'!E23-'Model (Matrix)'!E23</f>
        <v>0</v>
      </c>
      <c r="F23" s="91">
        <f>'Model (SC)'!F23-'Model (Matrix)'!F23</f>
        <v>0</v>
      </c>
      <c r="G23" s="91">
        <f>'Model (SC)'!G23-'Model (Matrix)'!G23</f>
        <v>0</v>
      </c>
      <c r="H23" s="91">
        <f>'Model (SC)'!H23-'Model (Matrix)'!H23</f>
        <v>0</v>
      </c>
      <c r="I23" s="91">
        <f>'Model (SC)'!I23-'Model (Matrix)'!I23</f>
        <v>0</v>
      </c>
      <c r="J23" s="91">
        <f>'Model (SC)'!J23-'Model (Matrix)'!J23</f>
        <v>0</v>
      </c>
      <c r="K23" s="91">
        <f>'Model (SC)'!K23-'Model (Matrix)'!K23</f>
        <v>0</v>
      </c>
      <c r="L23" s="91">
        <f>'Model (SC)'!L23-'Model (Matrix)'!L23</f>
        <v>0</v>
      </c>
      <c r="M23" s="91">
        <f>'Model (SC)'!M23-'Model (Matrix)'!M23</f>
        <v>0</v>
      </c>
      <c r="N23" s="91">
        <f>'Model (SC)'!N23-'Model (Matrix)'!N23</f>
        <v>0</v>
      </c>
      <c r="O23" s="91">
        <f>'Model (SC)'!O23-'Model (Matrix)'!O23</f>
        <v>0</v>
      </c>
      <c r="P23" s="91">
        <f>'Model (SC)'!P23-'Model (Matrix)'!P23</f>
        <v>0</v>
      </c>
      <c r="Q23" s="91">
        <f>'Model (SC)'!Q23-'Model (Matrix)'!Q23</f>
        <v>0</v>
      </c>
      <c r="R23" s="91">
        <f>'Model (SC)'!R23-'Model (Matrix)'!R23</f>
        <v>0</v>
      </c>
      <c r="S23" s="91">
        <f>'Model (SC)'!S23-'Model (Matrix)'!S23</f>
        <v>0</v>
      </c>
      <c r="T23" s="91">
        <f>'Model (SC)'!T23-'Model (Matrix)'!T23</f>
        <v>0</v>
      </c>
      <c r="U23" s="91">
        <f>'Model (SC)'!U23-'Model (Matrix)'!U23</f>
        <v>0</v>
      </c>
      <c r="V23" s="91">
        <f>'Model (SC)'!V23-'Model (Matrix)'!V23</f>
        <v>0</v>
      </c>
    </row>
    <row r="24" spans="1:22" x14ac:dyDescent="0.25">
      <c r="A24" s="82"/>
      <c r="B24" s="63" t="s">
        <v>127</v>
      </c>
      <c r="C24" s="94">
        <f>'Model (SC)'!C24-'Model (Matrix)'!C24</f>
        <v>0</v>
      </c>
      <c r="D24" s="91">
        <f>'Model (SC)'!D24-'Model (Matrix)'!D24</f>
        <v>0</v>
      </c>
      <c r="E24" s="91">
        <f>'Model (SC)'!E24-'Model (Matrix)'!E24</f>
        <v>0</v>
      </c>
      <c r="F24" s="91">
        <f>'Model (SC)'!F24-'Model (Matrix)'!F24</f>
        <v>0</v>
      </c>
      <c r="G24" s="91">
        <f>'Model (SC)'!G24-'Model (Matrix)'!G24</f>
        <v>0</v>
      </c>
      <c r="H24" s="91">
        <f>'Model (SC)'!H24-'Model (Matrix)'!H24</f>
        <v>0</v>
      </c>
      <c r="I24" s="91">
        <f>'Model (SC)'!I24-'Model (Matrix)'!I24</f>
        <v>0</v>
      </c>
      <c r="J24" s="91">
        <f>'Model (SC)'!J24-'Model (Matrix)'!J24</f>
        <v>0</v>
      </c>
      <c r="K24" s="91">
        <f>'Model (SC)'!K24-'Model (Matrix)'!K24</f>
        <v>0</v>
      </c>
      <c r="L24" s="91">
        <f>'Model (SC)'!L24-'Model (Matrix)'!L24</f>
        <v>0</v>
      </c>
      <c r="M24" s="91">
        <f>'Model (SC)'!M24-'Model (Matrix)'!M24</f>
        <v>0</v>
      </c>
      <c r="N24" s="91">
        <f>'Model (SC)'!N24-'Model (Matrix)'!N24</f>
        <v>0</v>
      </c>
      <c r="O24" s="91">
        <f>'Model (SC)'!O24-'Model (Matrix)'!O24</f>
        <v>0</v>
      </c>
      <c r="P24" s="91">
        <f>'Model (SC)'!P24-'Model (Matrix)'!P24</f>
        <v>0</v>
      </c>
      <c r="Q24" s="91">
        <f>'Model (SC)'!Q24-'Model (Matrix)'!Q24</f>
        <v>0</v>
      </c>
      <c r="R24" s="91">
        <f>'Model (SC)'!R24-'Model (Matrix)'!R24</f>
        <v>0</v>
      </c>
      <c r="S24" s="91">
        <f>'Model (SC)'!S24-'Model (Matrix)'!S24</f>
        <v>0</v>
      </c>
      <c r="T24" s="91">
        <f>'Model (SC)'!T24-'Model (Matrix)'!T24</f>
        <v>0</v>
      </c>
      <c r="U24" s="91">
        <f>'Model (SC)'!U24-'Model (Matrix)'!U24</f>
        <v>0</v>
      </c>
      <c r="V24" s="91">
        <f>'Model (SC)'!V24-'Model (Matrix)'!V24</f>
        <v>0</v>
      </c>
    </row>
    <row r="25" spans="1:22" x14ac:dyDescent="0.25">
      <c r="A25" s="82"/>
      <c r="B25" s="63" t="s">
        <v>128</v>
      </c>
      <c r="C25" s="94">
        <f>'Model (SC)'!C25-'Model (Matrix)'!C25</f>
        <v>0</v>
      </c>
      <c r="D25" s="91">
        <f>'Model (SC)'!D25-'Model (Matrix)'!D25</f>
        <v>0</v>
      </c>
      <c r="E25" s="91">
        <f>'Model (SC)'!E25-'Model (Matrix)'!E25</f>
        <v>0</v>
      </c>
      <c r="F25" s="91">
        <f>'Model (SC)'!F25-'Model (Matrix)'!F25</f>
        <v>0</v>
      </c>
      <c r="G25" s="91">
        <f>'Model (SC)'!G25-'Model (Matrix)'!G25</f>
        <v>0</v>
      </c>
      <c r="H25" s="91">
        <f>'Model (SC)'!H25-'Model (Matrix)'!H25</f>
        <v>0</v>
      </c>
      <c r="I25" s="91">
        <f>'Model (SC)'!I25-'Model (Matrix)'!I25</f>
        <v>0</v>
      </c>
      <c r="J25" s="91">
        <f>'Model (SC)'!J25-'Model (Matrix)'!J25</f>
        <v>0</v>
      </c>
      <c r="K25" s="91">
        <f>'Model (SC)'!K25-'Model (Matrix)'!K25</f>
        <v>0</v>
      </c>
      <c r="L25" s="91">
        <f>'Model (SC)'!L25-'Model (Matrix)'!L25</f>
        <v>0</v>
      </c>
      <c r="M25" s="91">
        <f>'Model (SC)'!M25-'Model (Matrix)'!M25</f>
        <v>0</v>
      </c>
      <c r="N25" s="91">
        <f>'Model (SC)'!N25-'Model (Matrix)'!N25</f>
        <v>0</v>
      </c>
      <c r="O25" s="91">
        <f>'Model (SC)'!O25-'Model (Matrix)'!O25</f>
        <v>0</v>
      </c>
      <c r="P25" s="91">
        <f>'Model (SC)'!P25-'Model (Matrix)'!P25</f>
        <v>0</v>
      </c>
      <c r="Q25" s="91">
        <f>'Model (SC)'!Q25-'Model (Matrix)'!Q25</f>
        <v>0</v>
      </c>
      <c r="R25" s="91">
        <f>'Model (SC)'!R25-'Model (Matrix)'!R25</f>
        <v>0</v>
      </c>
      <c r="S25" s="91">
        <f>'Model (SC)'!S25-'Model (Matrix)'!S25</f>
        <v>0</v>
      </c>
      <c r="T25" s="91">
        <f>'Model (SC)'!T25-'Model (Matrix)'!T25</f>
        <v>0</v>
      </c>
      <c r="U25" s="91">
        <f>'Model (SC)'!U25-'Model (Matrix)'!U25</f>
        <v>0</v>
      </c>
      <c r="V25" s="91">
        <f>'Model (SC)'!V25-'Model (Matrix)'!V25</f>
        <v>0</v>
      </c>
    </row>
    <row r="26" spans="1:22" x14ac:dyDescent="0.25">
      <c r="A26" s="82"/>
      <c r="B26" s="63" t="s">
        <v>140</v>
      </c>
      <c r="C26" s="94">
        <f>'Model (SC)'!C26-'Model (Matrix)'!C26</f>
        <v>0</v>
      </c>
      <c r="D26" s="91">
        <f>'Model (SC)'!D26-'Model (Matrix)'!D26</f>
        <v>0</v>
      </c>
      <c r="E26" s="91">
        <f>'Model (SC)'!E26-'Model (Matrix)'!E26</f>
        <v>0</v>
      </c>
      <c r="F26" s="91">
        <f>'Model (SC)'!F26-'Model (Matrix)'!F26</f>
        <v>0</v>
      </c>
      <c r="G26" s="91">
        <f>'Model (SC)'!G26-'Model (Matrix)'!G26</f>
        <v>0</v>
      </c>
      <c r="H26" s="91">
        <f>'Model (SC)'!H26-'Model (Matrix)'!H26</f>
        <v>0</v>
      </c>
      <c r="I26" s="91">
        <f>'Model (SC)'!I26-'Model (Matrix)'!I26</f>
        <v>0</v>
      </c>
      <c r="J26" s="91">
        <f>'Model (SC)'!J26-'Model (Matrix)'!J26</f>
        <v>0</v>
      </c>
      <c r="K26" s="91">
        <f>'Model (SC)'!K26-'Model (Matrix)'!K26</f>
        <v>0</v>
      </c>
      <c r="L26" s="91">
        <f>'Model (SC)'!L26-'Model (Matrix)'!L26</f>
        <v>0</v>
      </c>
      <c r="M26" s="91">
        <f>'Model (SC)'!M26-'Model (Matrix)'!M26</f>
        <v>0</v>
      </c>
      <c r="N26" s="91">
        <f>'Model (SC)'!N26-'Model (Matrix)'!N26</f>
        <v>0</v>
      </c>
      <c r="O26" s="91">
        <f>'Model (SC)'!O26-'Model (Matrix)'!O26</f>
        <v>0</v>
      </c>
      <c r="P26" s="91">
        <f>'Model (SC)'!P26-'Model (Matrix)'!P26</f>
        <v>0</v>
      </c>
      <c r="Q26" s="91">
        <f>'Model (SC)'!Q26-'Model (Matrix)'!Q26</f>
        <v>0</v>
      </c>
      <c r="R26" s="91">
        <f>'Model (SC)'!R26-'Model (Matrix)'!R26</f>
        <v>0</v>
      </c>
      <c r="S26" s="91">
        <f>'Model (SC)'!S26-'Model (Matrix)'!S26</f>
        <v>0</v>
      </c>
      <c r="T26" s="91">
        <f>'Model (SC)'!T26-'Model (Matrix)'!T26</f>
        <v>0</v>
      </c>
      <c r="U26" s="91">
        <f>'Model (SC)'!U26-'Model (Matrix)'!U26</f>
        <v>0</v>
      </c>
      <c r="V26" s="91">
        <f>'Model (SC)'!V26-'Model (Matrix)'!V26</f>
        <v>0</v>
      </c>
    </row>
    <row r="27" spans="1:22" x14ac:dyDescent="0.25">
      <c r="A27" s="82"/>
      <c r="B27" s="63" t="s">
        <v>141</v>
      </c>
      <c r="C27" s="94">
        <f>'Model (SC)'!C27-'Model (Matrix)'!C27</f>
        <v>0</v>
      </c>
      <c r="D27" s="91">
        <f>'Model (SC)'!D27-'Model (Matrix)'!D27</f>
        <v>0</v>
      </c>
      <c r="E27" s="91">
        <f>'Model (SC)'!E27-'Model (Matrix)'!E27</f>
        <v>0</v>
      </c>
      <c r="F27" s="91">
        <f>'Model (SC)'!F27-'Model (Matrix)'!F27</f>
        <v>0</v>
      </c>
      <c r="G27" s="91">
        <f>'Model (SC)'!G27-'Model (Matrix)'!G27</f>
        <v>0</v>
      </c>
      <c r="H27" s="91">
        <f>'Model (SC)'!H27-'Model (Matrix)'!H27</f>
        <v>0</v>
      </c>
      <c r="I27" s="91">
        <f>'Model (SC)'!I27-'Model (Matrix)'!I27</f>
        <v>0</v>
      </c>
      <c r="J27" s="91">
        <f>'Model (SC)'!J27-'Model (Matrix)'!J27</f>
        <v>0</v>
      </c>
      <c r="K27" s="91">
        <f>'Model (SC)'!K27-'Model (Matrix)'!K27</f>
        <v>0</v>
      </c>
      <c r="L27" s="91">
        <f>'Model (SC)'!L27-'Model (Matrix)'!L27</f>
        <v>0</v>
      </c>
      <c r="M27" s="91">
        <f>'Model (SC)'!M27-'Model (Matrix)'!M27</f>
        <v>0</v>
      </c>
      <c r="N27" s="91">
        <f>'Model (SC)'!N27-'Model (Matrix)'!N27</f>
        <v>0</v>
      </c>
      <c r="O27" s="91">
        <f>'Model (SC)'!O27-'Model (Matrix)'!O27</f>
        <v>0</v>
      </c>
      <c r="P27" s="91">
        <f>'Model (SC)'!P27-'Model (Matrix)'!P27</f>
        <v>0</v>
      </c>
      <c r="Q27" s="91">
        <f>'Model (SC)'!Q27-'Model (Matrix)'!Q27</f>
        <v>0</v>
      </c>
      <c r="R27" s="91">
        <f>'Model (SC)'!R27-'Model (Matrix)'!R27</f>
        <v>0</v>
      </c>
      <c r="S27" s="91">
        <f>'Model (SC)'!S27-'Model (Matrix)'!S27</f>
        <v>0</v>
      </c>
      <c r="T27" s="91">
        <f>'Model (SC)'!T27-'Model (Matrix)'!T27</f>
        <v>0</v>
      </c>
      <c r="U27" s="91">
        <f>'Model (SC)'!U27-'Model (Matrix)'!U27</f>
        <v>0</v>
      </c>
      <c r="V27" s="91">
        <f>'Model (SC)'!V27-'Model (Matrix)'!V27</f>
        <v>0</v>
      </c>
    </row>
    <row r="28" spans="1:22" x14ac:dyDescent="0.25">
      <c r="A28" s="82"/>
      <c r="B28" s="63" t="s">
        <v>142</v>
      </c>
      <c r="C28" s="94">
        <f>'Model (SC)'!C28-'Model (Matrix)'!C28</f>
        <v>0</v>
      </c>
      <c r="D28" s="91">
        <f>'Model (SC)'!D28-'Model (Matrix)'!D28</f>
        <v>0</v>
      </c>
      <c r="E28" s="91">
        <f>'Model (SC)'!E28-'Model (Matrix)'!E28</f>
        <v>0</v>
      </c>
      <c r="F28" s="91">
        <f>'Model (SC)'!F28-'Model (Matrix)'!F28</f>
        <v>0</v>
      </c>
      <c r="G28" s="91">
        <f>'Model (SC)'!G28-'Model (Matrix)'!G28</f>
        <v>0</v>
      </c>
      <c r="H28" s="91">
        <f>'Model (SC)'!H28-'Model (Matrix)'!H28</f>
        <v>0</v>
      </c>
      <c r="I28" s="91">
        <f>'Model (SC)'!I28-'Model (Matrix)'!I28</f>
        <v>0</v>
      </c>
      <c r="J28" s="91">
        <f>'Model (SC)'!J28-'Model (Matrix)'!J28</f>
        <v>0</v>
      </c>
      <c r="K28" s="91">
        <f>'Model (SC)'!K28-'Model (Matrix)'!K28</f>
        <v>0</v>
      </c>
      <c r="L28" s="91">
        <f>'Model (SC)'!L28-'Model (Matrix)'!L28</f>
        <v>0</v>
      </c>
      <c r="M28" s="91">
        <f>'Model (SC)'!M28-'Model (Matrix)'!M28</f>
        <v>0</v>
      </c>
      <c r="N28" s="91">
        <f>'Model (SC)'!N28-'Model (Matrix)'!N28</f>
        <v>0</v>
      </c>
      <c r="O28" s="91">
        <f>'Model (SC)'!O28-'Model (Matrix)'!O28</f>
        <v>0</v>
      </c>
      <c r="P28" s="91">
        <f>'Model (SC)'!P28-'Model (Matrix)'!P28</f>
        <v>0</v>
      </c>
      <c r="Q28" s="91">
        <f>'Model (SC)'!Q28-'Model (Matrix)'!Q28</f>
        <v>0</v>
      </c>
      <c r="R28" s="91">
        <f>'Model (SC)'!R28-'Model (Matrix)'!R28</f>
        <v>0</v>
      </c>
      <c r="S28" s="91">
        <f>'Model (SC)'!S28-'Model (Matrix)'!S28</f>
        <v>0</v>
      </c>
      <c r="T28" s="91">
        <f>'Model (SC)'!T28-'Model (Matrix)'!T28</f>
        <v>0</v>
      </c>
      <c r="U28" s="91">
        <f>'Model (SC)'!U28-'Model (Matrix)'!U28</f>
        <v>0</v>
      </c>
      <c r="V28" s="91">
        <f>'Model (SC)'!V28-'Model (Matrix)'!V28</f>
        <v>0</v>
      </c>
    </row>
    <row r="29" spans="1:22" x14ac:dyDescent="0.25">
      <c r="A29" s="82"/>
      <c r="B29" s="64" t="s">
        <v>130</v>
      </c>
      <c r="C29" s="94">
        <f>'Model (SC)'!C29-'Model (Matrix)'!C29</f>
        <v>0</v>
      </c>
      <c r="D29" s="91">
        <f>'Model (SC)'!D29-'Model (Matrix)'!D29</f>
        <v>0</v>
      </c>
      <c r="E29" s="91">
        <f>'Model (SC)'!E29-'Model (Matrix)'!E29</f>
        <v>0</v>
      </c>
      <c r="F29" s="91">
        <f>'Model (SC)'!F29-'Model (Matrix)'!F29</f>
        <v>0</v>
      </c>
      <c r="G29" s="91">
        <f>'Model (SC)'!G29-'Model (Matrix)'!G29</f>
        <v>0</v>
      </c>
      <c r="H29" s="91">
        <f>'Model (SC)'!H29-'Model (Matrix)'!H29</f>
        <v>0</v>
      </c>
      <c r="I29" s="91">
        <f>'Model (SC)'!I29-'Model (Matrix)'!I29</f>
        <v>0</v>
      </c>
      <c r="J29" s="91">
        <f>'Model (SC)'!J29-'Model (Matrix)'!J29</f>
        <v>0</v>
      </c>
      <c r="K29" s="91">
        <f>'Model (SC)'!K29-'Model (Matrix)'!K29</f>
        <v>0</v>
      </c>
      <c r="L29" s="91">
        <f>'Model (SC)'!L29-'Model (Matrix)'!L29</f>
        <v>0</v>
      </c>
      <c r="M29" s="91">
        <f>'Model (SC)'!M29-'Model (Matrix)'!M29</f>
        <v>0</v>
      </c>
      <c r="N29" s="91">
        <f>'Model (SC)'!N29-'Model (Matrix)'!N29</f>
        <v>0</v>
      </c>
      <c r="O29" s="91">
        <f>'Model (SC)'!O29-'Model (Matrix)'!O29</f>
        <v>0</v>
      </c>
      <c r="P29" s="91">
        <f>'Model (SC)'!P29-'Model (Matrix)'!P29</f>
        <v>0</v>
      </c>
      <c r="Q29" s="91">
        <f>'Model (SC)'!Q29-'Model (Matrix)'!Q29</f>
        <v>0</v>
      </c>
      <c r="R29" s="91">
        <f>'Model (SC)'!R29-'Model (Matrix)'!R29</f>
        <v>0</v>
      </c>
      <c r="S29" s="91">
        <f>'Model (SC)'!S29-'Model (Matrix)'!S29</f>
        <v>0</v>
      </c>
      <c r="T29" s="91">
        <f>'Model (SC)'!T29-'Model (Matrix)'!T29</f>
        <v>0</v>
      </c>
      <c r="U29" s="91">
        <f>'Model (SC)'!U29-'Model (Matrix)'!U29</f>
        <v>0</v>
      </c>
      <c r="V29" s="91">
        <f>'Model (SC)'!V29-'Model (Matrix)'!V29</f>
        <v>0</v>
      </c>
    </row>
    <row r="30" spans="1:22" x14ac:dyDescent="0.25">
      <c r="A30" s="82"/>
      <c r="B30" s="63" t="s">
        <v>143</v>
      </c>
      <c r="C30" s="94">
        <f>'Model (SC)'!C30-'Model (Matrix)'!C30</f>
        <v>0</v>
      </c>
      <c r="D30" s="91">
        <f>'Model (SC)'!D30-'Model (Matrix)'!D30</f>
        <v>0</v>
      </c>
      <c r="E30" s="91">
        <f>'Model (SC)'!E30-'Model (Matrix)'!E30</f>
        <v>0</v>
      </c>
      <c r="F30" s="91">
        <f>'Model (SC)'!F30-'Model (Matrix)'!F30</f>
        <v>0</v>
      </c>
      <c r="G30" s="91">
        <f>'Model (SC)'!G30-'Model (Matrix)'!G30</f>
        <v>0</v>
      </c>
      <c r="H30" s="91">
        <f>'Model (SC)'!H30-'Model (Matrix)'!H30</f>
        <v>0</v>
      </c>
      <c r="I30" s="91">
        <f>'Model (SC)'!I30-'Model (Matrix)'!I30</f>
        <v>0</v>
      </c>
      <c r="J30" s="91">
        <f>'Model (SC)'!J30-'Model (Matrix)'!J30</f>
        <v>0</v>
      </c>
      <c r="K30" s="91">
        <f>'Model (SC)'!K30-'Model (Matrix)'!K30</f>
        <v>0</v>
      </c>
      <c r="L30" s="91">
        <f>'Model (SC)'!L30-'Model (Matrix)'!L30</f>
        <v>0</v>
      </c>
      <c r="M30" s="91">
        <f>'Model (SC)'!M30-'Model (Matrix)'!M30</f>
        <v>0</v>
      </c>
      <c r="N30" s="91">
        <f>'Model (SC)'!N30-'Model (Matrix)'!N30</f>
        <v>0</v>
      </c>
      <c r="O30" s="91">
        <f>'Model (SC)'!O30-'Model (Matrix)'!O30</f>
        <v>0</v>
      </c>
      <c r="P30" s="91">
        <f>'Model (SC)'!P30-'Model (Matrix)'!P30</f>
        <v>0</v>
      </c>
      <c r="Q30" s="91">
        <f>'Model (SC)'!Q30-'Model (Matrix)'!Q30</f>
        <v>0</v>
      </c>
      <c r="R30" s="91">
        <f>'Model (SC)'!R30-'Model (Matrix)'!R30</f>
        <v>0</v>
      </c>
      <c r="S30" s="91">
        <f>'Model (SC)'!S30-'Model (Matrix)'!S30</f>
        <v>0</v>
      </c>
      <c r="T30" s="91">
        <f>'Model (SC)'!T30-'Model (Matrix)'!T30</f>
        <v>0</v>
      </c>
      <c r="U30" s="91">
        <f>'Model (SC)'!U30-'Model (Matrix)'!U30</f>
        <v>0</v>
      </c>
      <c r="V30" s="91">
        <f>'Model (SC)'!V30-'Model (Matrix)'!V30</f>
        <v>0</v>
      </c>
    </row>
    <row r="31" spans="1:22" x14ac:dyDescent="0.25">
      <c r="A31" s="82"/>
      <c r="B31" s="63" t="s">
        <v>731</v>
      </c>
      <c r="C31" s="94">
        <f>'Model (SC)'!C31-'Model (Matrix)'!C31</f>
        <v>0</v>
      </c>
      <c r="D31" s="91">
        <f>'Model (SC)'!D31-'Model (Matrix)'!D31</f>
        <v>0</v>
      </c>
      <c r="E31" s="91">
        <f>'Model (SC)'!E31-'Model (Matrix)'!E31</f>
        <v>0</v>
      </c>
      <c r="F31" s="91">
        <f>'Model (SC)'!F31-'Model (Matrix)'!F31</f>
        <v>0</v>
      </c>
      <c r="G31" s="91">
        <f>'Model (SC)'!G31-'Model (Matrix)'!G31</f>
        <v>0</v>
      </c>
      <c r="H31" s="91">
        <f>'Model (SC)'!H31-'Model (Matrix)'!H31</f>
        <v>0</v>
      </c>
      <c r="I31" s="91">
        <f>'Model (SC)'!I31-'Model (Matrix)'!I31</f>
        <v>0</v>
      </c>
      <c r="J31" s="91">
        <f>'Model (SC)'!J31-'Model (Matrix)'!J31</f>
        <v>0</v>
      </c>
      <c r="K31" s="91">
        <f>'Model (SC)'!K31-'Model (Matrix)'!K31</f>
        <v>0</v>
      </c>
      <c r="L31" s="91">
        <f>'Model (SC)'!L31-'Model (Matrix)'!L31</f>
        <v>0</v>
      </c>
      <c r="M31" s="91">
        <f>'Model (SC)'!M31-'Model (Matrix)'!M31</f>
        <v>0</v>
      </c>
      <c r="N31" s="91">
        <f>'Model (SC)'!N31-'Model (Matrix)'!N31</f>
        <v>0</v>
      </c>
      <c r="O31" s="91">
        <f>'Model (SC)'!O31-'Model (Matrix)'!O31</f>
        <v>0</v>
      </c>
      <c r="P31" s="91">
        <f>'Model (SC)'!P31-'Model (Matrix)'!P31</f>
        <v>0</v>
      </c>
      <c r="Q31" s="91">
        <f>'Model (SC)'!Q31-'Model (Matrix)'!Q31</f>
        <v>0</v>
      </c>
      <c r="R31" s="91">
        <f>'Model (SC)'!R31-'Model (Matrix)'!R31</f>
        <v>0</v>
      </c>
      <c r="S31" s="91">
        <f>'Model (SC)'!S31-'Model (Matrix)'!S31</f>
        <v>0</v>
      </c>
      <c r="T31" s="91">
        <f>'Model (SC)'!T31-'Model (Matrix)'!T31</f>
        <v>0</v>
      </c>
      <c r="U31" s="91">
        <f>'Model (SC)'!U31-'Model (Matrix)'!U31</f>
        <v>0</v>
      </c>
      <c r="V31" s="91">
        <f>'Model (SC)'!V31-'Model (Matrix)'!V31</f>
        <v>0</v>
      </c>
    </row>
    <row r="32" spans="1:22" x14ac:dyDescent="0.25">
      <c r="A32" s="82"/>
      <c r="B32" s="63" t="s">
        <v>144</v>
      </c>
      <c r="C32" s="94">
        <f>'Model (SC)'!C32-'Model (Matrix)'!C32</f>
        <v>0</v>
      </c>
      <c r="D32" s="91">
        <f>'Model (SC)'!D32-'Model (Matrix)'!D32</f>
        <v>0</v>
      </c>
      <c r="E32" s="91">
        <f>'Model (SC)'!E32-'Model (Matrix)'!E32</f>
        <v>0</v>
      </c>
      <c r="F32" s="91">
        <f>'Model (SC)'!F32-'Model (Matrix)'!F32</f>
        <v>0</v>
      </c>
      <c r="G32" s="91">
        <f>'Model (SC)'!G32-'Model (Matrix)'!G32</f>
        <v>0</v>
      </c>
      <c r="H32" s="91">
        <f>'Model (SC)'!H32-'Model (Matrix)'!H32</f>
        <v>0</v>
      </c>
      <c r="I32" s="91">
        <f>'Model (SC)'!I32-'Model (Matrix)'!I32</f>
        <v>0</v>
      </c>
      <c r="J32" s="91">
        <f>'Model (SC)'!J32-'Model (Matrix)'!J32</f>
        <v>0</v>
      </c>
      <c r="K32" s="91">
        <f>'Model (SC)'!K32-'Model (Matrix)'!K32</f>
        <v>0</v>
      </c>
      <c r="L32" s="91">
        <f>'Model (SC)'!L32-'Model (Matrix)'!L32</f>
        <v>0</v>
      </c>
      <c r="M32" s="91">
        <f>'Model (SC)'!M32-'Model (Matrix)'!M32</f>
        <v>0</v>
      </c>
      <c r="N32" s="91">
        <f>'Model (SC)'!N32-'Model (Matrix)'!N32</f>
        <v>0</v>
      </c>
      <c r="O32" s="91">
        <f>'Model (SC)'!O32-'Model (Matrix)'!O32</f>
        <v>0</v>
      </c>
      <c r="P32" s="91">
        <f>'Model (SC)'!P32-'Model (Matrix)'!P32</f>
        <v>0</v>
      </c>
      <c r="Q32" s="91">
        <f>'Model (SC)'!Q32-'Model (Matrix)'!Q32</f>
        <v>0</v>
      </c>
      <c r="R32" s="91">
        <f>'Model (SC)'!R32-'Model (Matrix)'!R32</f>
        <v>0</v>
      </c>
      <c r="S32" s="91">
        <f>'Model (SC)'!S32-'Model (Matrix)'!S32</f>
        <v>0</v>
      </c>
      <c r="T32" s="91">
        <f>'Model (SC)'!T32-'Model (Matrix)'!T32</f>
        <v>0</v>
      </c>
      <c r="U32" s="91">
        <f>'Model (SC)'!U32-'Model (Matrix)'!U32</f>
        <v>0</v>
      </c>
      <c r="V32" s="91">
        <f>'Model (SC)'!V32-'Model (Matrix)'!V32</f>
        <v>0</v>
      </c>
    </row>
    <row r="33" spans="1:22" x14ac:dyDescent="0.25">
      <c r="A33" s="82"/>
      <c r="B33" s="63" t="s">
        <v>145</v>
      </c>
      <c r="C33" s="94">
        <f>'Model (SC)'!C33-'Model (Matrix)'!C33</f>
        <v>0</v>
      </c>
      <c r="D33" s="91">
        <f>'Model (SC)'!D33-'Model (Matrix)'!D33</f>
        <v>0</v>
      </c>
      <c r="E33" s="91">
        <f>'Model (SC)'!E33-'Model (Matrix)'!E33</f>
        <v>0</v>
      </c>
      <c r="F33" s="91">
        <f>'Model (SC)'!F33-'Model (Matrix)'!F33</f>
        <v>0</v>
      </c>
      <c r="G33" s="91">
        <f>'Model (SC)'!G33-'Model (Matrix)'!G33</f>
        <v>0</v>
      </c>
      <c r="H33" s="91">
        <f>'Model (SC)'!H33-'Model (Matrix)'!H33</f>
        <v>0</v>
      </c>
      <c r="I33" s="91">
        <f>'Model (SC)'!I33-'Model (Matrix)'!I33</f>
        <v>0</v>
      </c>
      <c r="J33" s="91">
        <f>'Model (SC)'!J33-'Model (Matrix)'!J33</f>
        <v>0</v>
      </c>
      <c r="K33" s="91">
        <f>'Model (SC)'!K33-'Model (Matrix)'!K33</f>
        <v>0</v>
      </c>
      <c r="L33" s="91">
        <f>'Model (SC)'!L33-'Model (Matrix)'!L33</f>
        <v>0</v>
      </c>
      <c r="M33" s="91">
        <f>'Model (SC)'!M33-'Model (Matrix)'!M33</f>
        <v>0</v>
      </c>
      <c r="N33" s="91">
        <f>'Model (SC)'!N33-'Model (Matrix)'!N33</f>
        <v>0</v>
      </c>
      <c r="O33" s="91">
        <f>'Model (SC)'!O33-'Model (Matrix)'!O33</f>
        <v>0</v>
      </c>
      <c r="P33" s="91">
        <f>'Model (SC)'!P33-'Model (Matrix)'!P33</f>
        <v>0</v>
      </c>
      <c r="Q33" s="91">
        <f>'Model (SC)'!Q33-'Model (Matrix)'!Q33</f>
        <v>0</v>
      </c>
      <c r="R33" s="91">
        <f>'Model (SC)'!R33-'Model (Matrix)'!R33</f>
        <v>0</v>
      </c>
      <c r="S33" s="91">
        <f>'Model (SC)'!S33-'Model (Matrix)'!S33</f>
        <v>0</v>
      </c>
      <c r="T33" s="91">
        <f>'Model (SC)'!T33-'Model (Matrix)'!T33</f>
        <v>0</v>
      </c>
      <c r="U33" s="91">
        <f>'Model (SC)'!U33-'Model (Matrix)'!U33</f>
        <v>0</v>
      </c>
      <c r="V33" s="91">
        <f>'Model (SC)'!V33-'Model (Matrix)'!V33</f>
        <v>0</v>
      </c>
    </row>
    <row r="34" spans="1:22" x14ac:dyDescent="0.25">
      <c r="A34" s="82"/>
      <c r="B34" s="63" t="s">
        <v>146</v>
      </c>
      <c r="C34" s="94">
        <f>'Model (SC)'!C34-'Model (Matrix)'!C34</f>
        <v>0</v>
      </c>
      <c r="D34" s="91">
        <f>'Model (SC)'!D34-'Model (Matrix)'!D34</f>
        <v>0</v>
      </c>
      <c r="E34" s="91">
        <f>'Model (SC)'!E34-'Model (Matrix)'!E34</f>
        <v>0</v>
      </c>
      <c r="F34" s="91">
        <f>'Model (SC)'!F34-'Model (Matrix)'!F34</f>
        <v>0</v>
      </c>
      <c r="G34" s="91">
        <f>'Model (SC)'!G34-'Model (Matrix)'!G34</f>
        <v>0</v>
      </c>
      <c r="H34" s="91">
        <f>'Model (SC)'!H34-'Model (Matrix)'!H34</f>
        <v>0</v>
      </c>
      <c r="I34" s="91">
        <f>'Model (SC)'!I34-'Model (Matrix)'!I34</f>
        <v>0</v>
      </c>
      <c r="J34" s="91">
        <f>'Model (SC)'!J34-'Model (Matrix)'!J34</f>
        <v>0</v>
      </c>
      <c r="K34" s="91">
        <f>'Model (SC)'!K34-'Model (Matrix)'!K34</f>
        <v>0</v>
      </c>
      <c r="L34" s="91">
        <f>'Model (SC)'!L34-'Model (Matrix)'!L34</f>
        <v>0</v>
      </c>
      <c r="M34" s="91">
        <f>'Model (SC)'!M34-'Model (Matrix)'!M34</f>
        <v>0</v>
      </c>
      <c r="N34" s="91">
        <f>'Model (SC)'!N34-'Model (Matrix)'!N34</f>
        <v>0</v>
      </c>
      <c r="O34" s="91">
        <f>'Model (SC)'!O34-'Model (Matrix)'!O34</f>
        <v>0</v>
      </c>
      <c r="P34" s="91">
        <f>'Model (SC)'!P34-'Model (Matrix)'!P34</f>
        <v>0</v>
      </c>
      <c r="Q34" s="91">
        <f>'Model (SC)'!Q34-'Model (Matrix)'!Q34</f>
        <v>0</v>
      </c>
      <c r="R34" s="91">
        <f>'Model (SC)'!R34-'Model (Matrix)'!R34</f>
        <v>0</v>
      </c>
      <c r="S34" s="91">
        <f>'Model (SC)'!S34-'Model (Matrix)'!S34</f>
        <v>0</v>
      </c>
      <c r="T34" s="91">
        <f>'Model (SC)'!T34-'Model (Matrix)'!T34</f>
        <v>0</v>
      </c>
      <c r="U34" s="91">
        <f>'Model (SC)'!U34-'Model (Matrix)'!U34</f>
        <v>0</v>
      </c>
      <c r="V34" s="91">
        <f>'Model (SC)'!V34-'Model (Matrix)'!V34</f>
        <v>0</v>
      </c>
    </row>
    <row r="35" spans="1:22" x14ac:dyDescent="0.25">
      <c r="A35" s="82"/>
      <c r="B35" s="98" t="s">
        <v>131</v>
      </c>
      <c r="C35" s="94">
        <f>'Model (SC)'!C35-'Model (Matrix)'!C35</f>
        <v>0</v>
      </c>
      <c r="D35" s="91">
        <f>'Model (SC)'!D35-'Model (Matrix)'!D35</f>
        <v>0</v>
      </c>
      <c r="E35" s="91">
        <f>'Model (SC)'!E35-'Model (Matrix)'!E35</f>
        <v>0</v>
      </c>
      <c r="F35" s="91">
        <f>'Model (SC)'!F35-'Model (Matrix)'!F35</f>
        <v>0</v>
      </c>
      <c r="G35" s="91">
        <f>'Model (SC)'!G35-'Model (Matrix)'!G35</f>
        <v>0</v>
      </c>
      <c r="H35" s="91">
        <f>'Model (SC)'!H35-'Model (Matrix)'!H35</f>
        <v>0</v>
      </c>
      <c r="I35" s="91">
        <f>'Model (SC)'!I35-'Model (Matrix)'!I35</f>
        <v>0</v>
      </c>
      <c r="J35" s="91">
        <f>'Model (SC)'!J35-'Model (Matrix)'!J35</f>
        <v>0</v>
      </c>
      <c r="K35" s="91">
        <f>'Model (SC)'!K35-'Model (Matrix)'!K35</f>
        <v>0</v>
      </c>
      <c r="L35" s="91">
        <f>'Model (SC)'!L35-'Model (Matrix)'!L35</f>
        <v>0</v>
      </c>
      <c r="M35" s="91">
        <f>'Model (SC)'!M35-'Model (Matrix)'!M35</f>
        <v>0</v>
      </c>
      <c r="N35" s="91">
        <f>'Model (SC)'!N35-'Model (Matrix)'!N35</f>
        <v>0</v>
      </c>
      <c r="O35" s="91">
        <f>'Model (SC)'!O35-'Model (Matrix)'!O35</f>
        <v>0</v>
      </c>
      <c r="P35" s="91">
        <f>'Model (SC)'!P35-'Model (Matrix)'!P35</f>
        <v>0</v>
      </c>
      <c r="Q35" s="91">
        <f>'Model (SC)'!Q35-'Model (Matrix)'!Q35</f>
        <v>0</v>
      </c>
      <c r="R35" s="91">
        <f>'Model (SC)'!R35-'Model (Matrix)'!R35</f>
        <v>0</v>
      </c>
      <c r="S35" s="91">
        <f>'Model (SC)'!S35-'Model (Matrix)'!S35</f>
        <v>0</v>
      </c>
      <c r="T35" s="91">
        <f>'Model (SC)'!T35-'Model (Matrix)'!T35</f>
        <v>0</v>
      </c>
      <c r="U35" s="91">
        <f>'Model (SC)'!U35-'Model (Matrix)'!U35</f>
        <v>0</v>
      </c>
      <c r="V35" s="91">
        <f>'Model (SC)'!V35-'Model (Matrix)'!V35</f>
        <v>0</v>
      </c>
    </row>
    <row r="36" spans="1:22" x14ac:dyDescent="0.25">
      <c r="A36" s="86" t="s">
        <v>315</v>
      </c>
      <c r="B36" s="64"/>
      <c r="C36" s="94">
        <f>'Model (SC)'!C36-'Model (Matrix)'!C36</f>
        <v>0</v>
      </c>
      <c r="D36" s="91">
        <f>'Model (SC)'!D36-'Model (Matrix)'!D36</f>
        <v>0</v>
      </c>
      <c r="E36" s="91">
        <f>'Model (SC)'!E36-'Model (Matrix)'!E36</f>
        <v>0</v>
      </c>
      <c r="F36" s="91">
        <f>'Model (SC)'!F36-'Model (Matrix)'!F36</f>
        <v>0</v>
      </c>
      <c r="G36" s="91">
        <f>'Model (SC)'!G36-'Model (Matrix)'!G36</f>
        <v>0</v>
      </c>
      <c r="H36" s="91">
        <f>'Model (SC)'!H36-'Model (Matrix)'!H36</f>
        <v>0</v>
      </c>
      <c r="I36" s="91">
        <f>'Model (SC)'!I36-'Model (Matrix)'!I36</f>
        <v>0</v>
      </c>
      <c r="J36" s="91">
        <f>'Model (SC)'!J36-'Model (Matrix)'!J36</f>
        <v>0</v>
      </c>
      <c r="K36" s="91">
        <f>'Model (SC)'!K36-'Model (Matrix)'!K36</f>
        <v>0</v>
      </c>
      <c r="L36" s="91">
        <f>'Model (SC)'!L36-'Model (Matrix)'!L36</f>
        <v>0</v>
      </c>
      <c r="M36" s="91">
        <f>'Model (SC)'!M36-'Model (Matrix)'!M36</f>
        <v>0</v>
      </c>
      <c r="N36" s="91">
        <f>'Model (SC)'!N36-'Model (Matrix)'!N36</f>
        <v>0</v>
      </c>
      <c r="O36" s="91">
        <f>'Model (SC)'!O36-'Model (Matrix)'!O36</f>
        <v>0</v>
      </c>
      <c r="P36" s="91">
        <f>'Model (SC)'!P36-'Model (Matrix)'!P36</f>
        <v>0</v>
      </c>
      <c r="Q36" s="91">
        <f>'Model (SC)'!Q36-'Model (Matrix)'!Q36</f>
        <v>0</v>
      </c>
      <c r="R36" s="91">
        <f>'Model (SC)'!R36-'Model (Matrix)'!R36</f>
        <v>0</v>
      </c>
      <c r="S36" s="91">
        <f>'Model (SC)'!S36-'Model (Matrix)'!S36</f>
        <v>0</v>
      </c>
      <c r="T36" s="91">
        <f>'Model (SC)'!T36-'Model (Matrix)'!T36</f>
        <v>0</v>
      </c>
      <c r="U36" s="91">
        <f>'Model (SC)'!U36-'Model (Matrix)'!U36</f>
        <v>0</v>
      </c>
      <c r="V36" s="91">
        <f>'Model (SC)'!V36-'Model (Matrix)'!V36</f>
        <v>0</v>
      </c>
    </row>
    <row r="37" spans="1:22" x14ac:dyDescent="0.25">
      <c r="A37" s="82"/>
      <c r="B37" s="64" t="s">
        <v>124</v>
      </c>
      <c r="C37" s="94">
        <f>'Model (SC)'!C37-'Model (Matrix)'!C37</f>
        <v>0</v>
      </c>
      <c r="D37" s="91">
        <f>'Model (SC)'!D37-'Model (Matrix)'!D37</f>
        <v>0</v>
      </c>
      <c r="E37" s="91">
        <f>'Model (SC)'!E37-'Model (Matrix)'!E37</f>
        <v>0</v>
      </c>
      <c r="F37" s="91">
        <f>'Model (SC)'!F37-'Model (Matrix)'!F37</f>
        <v>0</v>
      </c>
      <c r="G37" s="91">
        <f>'Model (SC)'!G37-'Model (Matrix)'!G37</f>
        <v>0</v>
      </c>
      <c r="H37" s="91">
        <f>'Model (SC)'!H37-'Model (Matrix)'!H37</f>
        <v>0</v>
      </c>
      <c r="I37" s="91">
        <f>'Model (SC)'!I37-'Model (Matrix)'!I37</f>
        <v>0</v>
      </c>
      <c r="J37" s="91">
        <f>'Model (SC)'!J37-'Model (Matrix)'!J37</f>
        <v>0</v>
      </c>
      <c r="K37" s="91">
        <f>'Model (SC)'!K37-'Model (Matrix)'!K37</f>
        <v>0</v>
      </c>
      <c r="L37" s="91">
        <f>'Model (SC)'!L37-'Model (Matrix)'!L37</f>
        <v>0</v>
      </c>
      <c r="M37" s="91">
        <f>'Model (SC)'!M37-'Model (Matrix)'!M37</f>
        <v>0</v>
      </c>
      <c r="N37" s="91">
        <f>'Model (SC)'!N37-'Model (Matrix)'!N37</f>
        <v>0</v>
      </c>
      <c r="O37" s="91">
        <f>'Model (SC)'!O37-'Model (Matrix)'!O37</f>
        <v>0</v>
      </c>
      <c r="P37" s="91">
        <f>'Model (SC)'!P37-'Model (Matrix)'!P37</f>
        <v>0</v>
      </c>
      <c r="Q37" s="91">
        <f>'Model (SC)'!Q37-'Model (Matrix)'!Q37</f>
        <v>0</v>
      </c>
      <c r="R37" s="91">
        <f>'Model (SC)'!R37-'Model (Matrix)'!R37</f>
        <v>0</v>
      </c>
      <c r="S37" s="91">
        <f>'Model (SC)'!S37-'Model (Matrix)'!S37</f>
        <v>0</v>
      </c>
      <c r="T37" s="91">
        <f>'Model (SC)'!T37-'Model (Matrix)'!T37</f>
        <v>0</v>
      </c>
      <c r="U37" s="91">
        <f>'Model (SC)'!U37-'Model (Matrix)'!U37</f>
        <v>0</v>
      </c>
      <c r="V37" s="91">
        <f>'Model (SC)'!V37-'Model (Matrix)'!V37</f>
        <v>0</v>
      </c>
    </row>
    <row r="38" spans="1:22" x14ac:dyDescent="0.25">
      <c r="A38" s="82"/>
      <c r="B38" s="64" t="s">
        <v>630</v>
      </c>
      <c r="C38" s="94">
        <f>'Model (SC)'!C38-'Model (Matrix)'!C38</f>
        <v>0</v>
      </c>
      <c r="D38" s="91">
        <f>'Model (SC)'!D38-'Model (Matrix)'!D38</f>
        <v>0</v>
      </c>
      <c r="E38" s="91">
        <f>'Model (SC)'!E38-'Model (Matrix)'!E38</f>
        <v>0</v>
      </c>
      <c r="F38" s="91">
        <f>'Model (SC)'!F38-'Model (Matrix)'!F38</f>
        <v>0</v>
      </c>
      <c r="G38" s="91">
        <f>'Model (SC)'!G38-'Model (Matrix)'!G38</f>
        <v>0</v>
      </c>
      <c r="H38" s="91">
        <f>'Model (SC)'!H38-'Model (Matrix)'!H38</f>
        <v>0</v>
      </c>
      <c r="I38" s="91">
        <f>'Model (SC)'!I38-'Model (Matrix)'!I38</f>
        <v>0</v>
      </c>
      <c r="J38" s="91">
        <f>'Model (SC)'!J38-'Model (Matrix)'!J38</f>
        <v>0</v>
      </c>
      <c r="K38" s="91">
        <f>'Model (SC)'!K38-'Model (Matrix)'!K38</f>
        <v>0</v>
      </c>
      <c r="L38" s="91">
        <f>'Model (SC)'!L38-'Model (Matrix)'!L38</f>
        <v>0</v>
      </c>
      <c r="M38" s="91">
        <f>'Model (SC)'!M38-'Model (Matrix)'!M38</f>
        <v>0</v>
      </c>
      <c r="N38" s="91">
        <f>'Model (SC)'!N38-'Model (Matrix)'!N38</f>
        <v>0</v>
      </c>
      <c r="O38" s="91">
        <f>'Model (SC)'!O38-'Model (Matrix)'!O38</f>
        <v>0</v>
      </c>
      <c r="P38" s="91">
        <f>'Model (SC)'!P38-'Model (Matrix)'!P38</f>
        <v>0</v>
      </c>
      <c r="Q38" s="91">
        <f>'Model (SC)'!Q38-'Model (Matrix)'!Q38</f>
        <v>0</v>
      </c>
      <c r="R38" s="91">
        <f>'Model (SC)'!R38-'Model (Matrix)'!R38</f>
        <v>0</v>
      </c>
      <c r="S38" s="91">
        <f>'Model (SC)'!S38-'Model (Matrix)'!S38</f>
        <v>0</v>
      </c>
      <c r="T38" s="91">
        <f>'Model (SC)'!T38-'Model (Matrix)'!T38</f>
        <v>0</v>
      </c>
      <c r="U38" s="91">
        <f>'Model (SC)'!U38-'Model (Matrix)'!U38</f>
        <v>0</v>
      </c>
      <c r="V38" s="91">
        <f>'Model (SC)'!V38-'Model (Matrix)'!V38</f>
        <v>0</v>
      </c>
    </row>
    <row r="39" spans="1:22" x14ac:dyDescent="0.25">
      <c r="A39" s="82"/>
      <c r="B39" s="64" t="s">
        <v>147</v>
      </c>
      <c r="C39" s="94">
        <f>'Model (SC)'!C39-'Model (Matrix)'!C39</f>
        <v>0</v>
      </c>
      <c r="D39" s="91">
        <f>'Model (SC)'!D39-'Model (Matrix)'!D39</f>
        <v>0</v>
      </c>
      <c r="E39" s="91">
        <f>'Model (SC)'!E39-'Model (Matrix)'!E39</f>
        <v>0</v>
      </c>
      <c r="F39" s="91">
        <f>'Model (SC)'!F39-'Model (Matrix)'!F39</f>
        <v>0</v>
      </c>
      <c r="G39" s="91">
        <f>'Model (SC)'!G39-'Model (Matrix)'!G39</f>
        <v>0</v>
      </c>
      <c r="H39" s="91">
        <f>'Model (SC)'!H39-'Model (Matrix)'!H39</f>
        <v>0</v>
      </c>
      <c r="I39" s="91">
        <f>'Model (SC)'!I39-'Model (Matrix)'!I39</f>
        <v>0</v>
      </c>
      <c r="J39" s="91">
        <f>'Model (SC)'!J39-'Model (Matrix)'!J39</f>
        <v>0</v>
      </c>
      <c r="K39" s="91">
        <f>'Model (SC)'!K39-'Model (Matrix)'!K39</f>
        <v>0</v>
      </c>
      <c r="L39" s="91">
        <f>'Model (SC)'!L39-'Model (Matrix)'!L39</f>
        <v>0</v>
      </c>
      <c r="M39" s="91">
        <f>'Model (SC)'!M39-'Model (Matrix)'!M39</f>
        <v>0</v>
      </c>
      <c r="N39" s="91">
        <f>'Model (SC)'!N39-'Model (Matrix)'!N39</f>
        <v>0</v>
      </c>
      <c r="O39" s="91">
        <f>'Model (SC)'!O39-'Model (Matrix)'!O39</f>
        <v>0</v>
      </c>
      <c r="P39" s="91">
        <f>'Model (SC)'!P39-'Model (Matrix)'!P39</f>
        <v>0</v>
      </c>
      <c r="Q39" s="91">
        <f>'Model (SC)'!Q39-'Model (Matrix)'!Q39</f>
        <v>0</v>
      </c>
      <c r="R39" s="91">
        <f>'Model (SC)'!R39-'Model (Matrix)'!R39</f>
        <v>0</v>
      </c>
      <c r="S39" s="91">
        <f>'Model (SC)'!S39-'Model (Matrix)'!S39</f>
        <v>0</v>
      </c>
      <c r="T39" s="91">
        <f>'Model (SC)'!T39-'Model (Matrix)'!T39</f>
        <v>0</v>
      </c>
      <c r="U39" s="91">
        <f>'Model (SC)'!U39-'Model (Matrix)'!U39</f>
        <v>0</v>
      </c>
      <c r="V39" s="91">
        <f>'Model (SC)'!V39-'Model (Matrix)'!V39</f>
        <v>0</v>
      </c>
    </row>
    <row r="40" spans="1:22" x14ac:dyDescent="0.25">
      <c r="A40" s="82"/>
      <c r="B40" s="63" t="s">
        <v>148</v>
      </c>
      <c r="C40" s="94">
        <f>'Model (SC)'!C40-'Model (Matrix)'!C40</f>
        <v>0</v>
      </c>
      <c r="D40" s="91">
        <f>'Model (SC)'!D40-'Model (Matrix)'!D40</f>
        <v>0</v>
      </c>
      <c r="E40" s="91">
        <f>'Model (SC)'!E40-'Model (Matrix)'!E40</f>
        <v>0</v>
      </c>
      <c r="F40" s="91">
        <f>'Model (SC)'!F40-'Model (Matrix)'!F40</f>
        <v>0</v>
      </c>
      <c r="G40" s="91">
        <f>'Model (SC)'!G40-'Model (Matrix)'!G40</f>
        <v>0</v>
      </c>
      <c r="H40" s="91">
        <f>'Model (SC)'!H40-'Model (Matrix)'!H40</f>
        <v>0</v>
      </c>
      <c r="I40" s="91">
        <f>'Model (SC)'!I40-'Model (Matrix)'!I40</f>
        <v>0</v>
      </c>
      <c r="J40" s="91">
        <f>'Model (SC)'!J40-'Model (Matrix)'!J40</f>
        <v>0</v>
      </c>
      <c r="K40" s="91">
        <f>'Model (SC)'!K40-'Model (Matrix)'!K40</f>
        <v>0</v>
      </c>
      <c r="L40" s="91">
        <f>'Model (SC)'!L40-'Model (Matrix)'!L40</f>
        <v>0</v>
      </c>
      <c r="M40" s="91">
        <f>'Model (SC)'!M40-'Model (Matrix)'!M40</f>
        <v>0</v>
      </c>
      <c r="N40" s="91">
        <f>'Model (SC)'!N40-'Model (Matrix)'!N40</f>
        <v>0</v>
      </c>
      <c r="O40" s="91">
        <f>'Model (SC)'!O40-'Model (Matrix)'!O40</f>
        <v>0</v>
      </c>
      <c r="P40" s="91">
        <f>'Model (SC)'!P40-'Model (Matrix)'!P40</f>
        <v>0</v>
      </c>
      <c r="Q40" s="91">
        <f>'Model (SC)'!Q40-'Model (Matrix)'!Q40</f>
        <v>0</v>
      </c>
      <c r="R40" s="91">
        <f>'Model (SC)'!R40-'Model (Matrix)'!R40</f>
        <v>0</v>
      </c>
      <c r="S40" s="91">
        <f>'Model (SC)'!S40-'Model (Matrix)'!S40</f>
        <v>0</v>
      </c>
      <c r="T40" s="91">
        <f>'Model (SC)'!T40-'Model (Matrix)'!T40</f>
        <v>0</v>
      </c>
      <c r="U40" s="91">
        <f>'Model (SC)'!U40-'Model (Matrix)'!U40</f>
        <v>0</v>
      </c>
      <c r="V40" s="91">
        <f>'Model (SC)'!V40-'Model (Matrix)'!V40</f>
        <v>0</v>
      </c>
    </row>
    <row r="41" spans="1:22" x14ac:dyDescent="0.25">
      <c r="A41" s="82"/>
      <c r="B41" s="64" t="s">
        <v>133</v>
      </c>
      <c r="C41" s="94">
        <f>'Model (SC)'!C41-'Model (Matrix)'!C41</f>
        <v>0</v>
      </c>
      <c r="D41" s="91">
        <f>'Model (SC)'!D41-'Model (Matrix)'!D41</f>
        <v>0</v>
      </c>
      <c r="E41" s="91">
        <f>'Model (SC)'!E41-'Model (Matrix)'!E41</f>
        <v>0</v>
      </c>
      <c r="F41" s="91">
        <f>'Model (SC)'!F41-'Model (Matrix)'!F41</f>
        <v>0</v>
      </c>
      <c r="G41" s="91">
        <f>'Model (SC)'!G41-'Model (Matrix)'!G41</f>
        <v>0</v>
      </c>
      <c r="H41" s="91">
        <f>'Model (SC)'!H41-'Model (Matrix)'!H41</f>
        <v>0</v>
      </c>
      <c r="I41" s="91">
        <f>'Model (SC)'!I41-'Model (Matrix)'!I41</f>
        <v>0</v>
      </c>
      <c r="J41" s="91">
        <f>'Model (SC)'!J41-'Model (Matrix)'!J41</f>
        <v>0</v>
      </c>
      <c r="K41" s="91">
        <f>'Model (SC)'!K41-'Model (Matrix)'!K41</f>
        <v>0</v>
      </c>
      <c r="L41" s="91">
        <f>'Model (SC)'!L41-'Model (Matrix)'!L41</f>
        <v>0</v>
      </c>
      <c r="M41" s="91">
        <f>'Model (SC)'!M41-'Model (Matrix)'!M41</f>
        <v>0</v>
      </c>
      <c r="N41" s="91">
        <f>'Model (SC)'!N41-'Model (Matrix)'!N41</f>
        <v>0</v>
      </c>
      <c r="O41" s="91">
        <f>'Model (SC)'!O41-'Model (Matrix)'!O41</f>
        <v>0</v>
      </c>
      <c r="P41" s="91">
        <f>'Model (SC)'!P41-'Model (Matrix)'!P41</f>
        <v>0</v>
      </c>
      <c r="Q41" s="91">
        <f>'Model (SC)'!Q41-'Model (Matrix)'!Q41</f>
        <v>0</v>
      </c>
      <c r="R41" s="91">
        <f>'Model (SC)'!R41-'Model (Matrix)'!R41</f>
        <v>0</v>
      </c>
      <c r="S41" s="91">
        <f>'Model (SC)'!S41-'Model (Matrix)'!S41</f>
        <v>0</v>
      </c>
      <c r="T41" s="91">
        <f>'Model (SC)'!T41-'Model (Matrix)'!T41</f>
        <v>0</v>
      </c>
      <c r="U41" s="91">
        <f>'Model (SC)'!U41-'Model (Matrix)'!U41</f>
        <v>0</v>
      </c>
      <c r="V41" s="91">
        <f>'Model (SC)'!V41-'Model (Matrix)'!V41</f>
        <v>0</v>
      </c>
    </row>
    <row r="42" spans="1:22" x14ac:dyDescent="0.25">
      <c r="A42" s="82"/>
      <c r="B42" s="64" t="s">
        <v>570</v>
      </c>
      <c r="C42" s="24">
        <f>'Model (SC)'!C42-'Model (Matrix)'!C42</f>
        <v>0</v>
      </c>
      <c r="D42" s="91">
        <f>'Model (SC)'!D42-'Model (Matrix)'!D42</f>
        <v>0</v>
      </c>
      <c r="E42" s="91">
        <f>'Model (SC)'!E42-'Model (Matrix)'!E42</f>
        <v>0</v>
      </c>
      <c r="F42" s="91">
        <f>'Model (SC)'!F42-'Model (Matrix)'!F42</f>
        <v>0</v>
      </c>
      <c r="G42" s="91">
        <f>'Model (SC)'!G42-'Model (Matrix)'!G42</f>
        <v>0</v>
      </c>
      <c r="H42" s="91">
        <f>'Model (SC)'!H42-'Model (Matrix)'!H42</f>
        <v>0</v>
      </c>
      <c r="I42" s="91">
        <f>'Model (SC)'!I42-'Model (Matrix)'!I42</f>
        <v>0</v>
      </c>
      <c r="J42" s="91">
        <f>'Model (SC)'!J42-'Model (Matrix)'!J42</f>
        <v>0</v>
      </c>
      <c r="K42" s="91">
        <f>'Model (SC)'!K42-'Model (Matrix)'!K42</f>
        <v>0</v>
      </c>
      <c r="L42" s="91">
        <f>'Model (SC)'!L42-'Model (Matrix)'!L42</f>
        <v>0</v>
      </c>
      <c r="M42" s="91">
        <f>'Model (SC)'!M42-'Model (Matrix)'!M42</f>
        <v>0</v>
      </c>
      <c r="N42" s="91">
        <f>'Model (SC)'!N42-'Model (Matrix)'!N42</f>
        <v>0</v>
      </c>
      <c r="O42" s="91">
        <f>'Model (SC)'!O42-'Model (Matrix)'!O42</f>
        <v>0</v>
      </c>
      <c r="P42" s="91">
        <f>'Model (SC)'!P42-'Model (Matrix)'!P42</f>
        <v>0</v>
      </c>
      <c r="Q42" s="91">
        <f>'Model (SC)'!Q42-'Model (Matrix)'!Q42</f>
        <v>0</v>
      </c>
      <c r="R42" s="91">
        <f>'Model (SC)'!R42-'Model (Matrix)'!R42</f>
        <v>0</v>
      </c>
      <c r="S42" s="91">
        <f>'Model (SC)'!S42-'Model (Matrix)'!S42</f>
        <v>0</v>
      </c>
      <c r="T42" s="91">
        <f>'Model (SC)'!T42-'Model (Matrix)'!T42</f>
        <v>0</v>
      </c>
      <c r="U42" s="91">
        <f>'Model (SC)'!U42-'Model (Matrix)'!U42</f>
        <v>0</v>
      </c>
      <c r="V42" s="91">
        <f>'Model (SC)'!V42-'Model (Matrix)'!V42</f>
        <v>0</v>
      </c>
    </row>
    <row r="43" spans="1:22" x14ac:dyDescent="0.25">
      <c r="A43" s="82"/>
      <c r="B43" s="63" t="s">
        <v>134</v>
      </c>
      <c r="C43" s="94">
        <f>'Model (SC)'!C43-'Model (Matrix)'!C43</f>
        <v>0</v>
      </c>
      <c r="D43" s="91">
        <f>'Model (SC)'!D43-'Model (Matrix)'!D43</f>
        <v>0</v>
      </c>
      <c r="E43" s="91">
        <f>'Model (SC)'!E43-'Model (Matrix)'!E43</f>
        <v>0</v>
      </c>
      <c r="F43" s="91">
        <f>'Model (SC)'!F43-'Model (Matrix)'!F43</f>
        <v>0</v>
      </c>
      <c r="G43" s="91">
        <f>'Model (SC)'!G43-'Model (Matrix)'!G43</f>
        <v>0</v>
      </c>
      <c r="H43" s="91">
        <f>'Model (SC)'!H43-'Model (Matrix)'!H43</f>
        <v>0</v>
      </c>
      <c r="I43" s="91">
        <f>'Model (SC)'!I43-'Model (Matrix)'!I43</f>
        <v>0</v>
      </c>
      <c r="J43" s="91">
        <f>'Model (SC)'!J43-'Model (Matrix)'!J43</f>
        <v>0</v>
      </c>
      <c r="K43" s="91">
        <f>'Model (SC)'!K43-'Model (Matrix)'!K43</f>
        <v>0</v>
      </c>
      <c r="L43" s="91">
        <f>'Model (SC)'!L43-'Model (Matrix)'!L43</f>
        <v>0</v>
      </c>
      <c r="M43" s="91">
        <f>'Model (SC)'!M43-'Model (Matrix)'!M43</f>
        <v>0</v>
      </c>
      <c r="N43" s="91">
        <f>'Model (SC)'!N43-'Model (Matrix)'!N43</f>
        <v>0</v>
      </c>
      <c r="O43" s="91">
        <f>'Model (SC)'!O43-'Model (Matrix)'!O43</f>
        <v>0</v>
      </c>
      <c r="P43" s="91">
        <f>'Model (SC)'!P43-'Model (Matrix)'!P43</f>
        <v>0</v>
      </c>
      <c r="Q43" s="91">
        <f>'Model (SC)'!Q43-'Model (Matrix)'!Q43</f>
        <v>0</v>
      </c>
      <c r="R43" s="91">
        <f>'Model (SC)'!R43-'Model (Matrix)'!R43</f>
        <v>0</v>
      </c>
      <c r="S43" s="91">
        <f>'Model (SC)'!S43-'Model (Matrix)'!S43</f>
        <v>0</v>
      </c>
      <c r="T43" s="91">
        <f>'Model (SC)'!T43-'Model (Matrix)'!T43</f>
        <v>0</v>
      </c>
      <c r="U43" s="91">
        <f>'Model (SC)'!U43-'Model (Matrix)'!U43</f>
        <v>0</v>
      </c>
      <c r="V43" s="91">
        <f>'Model (SC)'!V43-'Model (Matrix)'!V43</f>
        <v>0</v>
      </c>
    </row>
    <row r="44" spans="1:22" x14ac:dyDescent="0.25">
      <c r="A44" s="82"/>
      <c r="B44" s="63" t="s">
        <v>732</v>
      </c>
      <c r="C44" s="94">
        <f>'Model (SC)'!C44-'Model (Matrix)'!C44</f>
        <v>0</v>
      </c>
      <c r="D44" s="91">
        <f>'Model (SC)'!D44-'Model (Matrix)'!D44</f>
        <v>0</v>
      </c>
      <c r="E44" s="91">
        <f>'Model (SC)'!E44-'Model (Matrix)'!E44</f>
        <v>0</v>
      </c>
      <c r="F44" s="91">
        <f>'Model (SC)'!F44-'Model (Matrix)'!F44</f>
        <v>0</v>
      </c>
      <c r="G44" s="91">
        <f>'Model (SC)'!G44-'Model (Matrix)'!G44</f>
        <v>0</v>
      </c>
      <c r="H44" s="91">
        <f>'Model (SC)'!H44-'Model (Matrix)'!H44</f>
        <v>0</v>
      </c>
      <c r="I44" s="91">
        <f>'Model (SC)'!I44-'Model (Matrix)'!I44</f>
        <v>0</v>
      </c>
      <c r="J44" s="91">
        <f>'Model (SC)'!J44-'Model (Matrix)'!J44</f>
        <v>0</v>
      </c>
      <c r="K44" s="91">
        <f>'Model (SC)'!K44-'Model (Matrix)'!K44</f>
        <v>0</v>
      </c>
      <c r="L44" s="91">
        <f>'Model (SC)'!L44-'Model (Matrix)'!L44</f>
        <v>0</v>
      </c>
      <c r="M44" s="91">
        <f>'Model (SC)'!M44-'Model (Matrix)'!M44</f>
        <v>0</v>
      </c>
      <c r="N44" s="91">
        <f>'Model (SC)'!N44-'Model (Matrix)'!N44</f>
        <v>0</v>
      </c>
      <c r="O44" s="91">
        <f>'Model (SC)'!O44-'Model (Matrix)'!O44</f>
        <v>0</v>
      </c>
      <c r="P44" s="91">
        <f>'Model (SC)'!P44-'Model (Matrix)'!P44</f>
        <v>0</v>
      </c>
      <c r="Q44" s="91">
        <f>'Model (SC)'!Q44-'Model (Matrix)'!Q44</f>
        <v>0</v>
      </c>
      <c r="R44" s="91">
        <f>'Model (SC)'!R44-'Model (Matrix)'!R44</f>
        <v>0</v>
      </c>
      <c r="S44" s="91">
        <f>'Model (SC)'!S44-'Model (Matrix)'!S44</f>
        <v>0</v>
      </c>
      <c r="T44" s="91">
        <f>'Model (SC)'!T44-'Model (Matrix)'!T44</f>
        <v>0</v>
      </c>
      <c r="U44" s="91">
        <f>'Model (SC)'!U44-'Model (Matrix)'!U44</f>
        <v>0</v>
      </c>
      <c r="V44" s="91">
        <f>'Model (SC)'!V44-'Model (Matrix)'!V44</f>
        <v>0</v>
      </c>
    </row>
    <row r="45" spans="1:22" x14ac:dyDescent="0.25">
      <c r="A45" s="82"/>
      <c r="B45" s="63" t="s">
        <v>733</v>
      </c>
      <c r="C45" s="94">
        <f>'Model (SC)'!C45-'Model (Matrix)'!C45</f>
        <v>0</v>
      </c>
      <c r="D45" s="91">
        <f>'Model (SC)'!D45-'Model (Matrix)'!D45</f>
        <v>0</v>
      </c>
      <c r="E45" s="91">
        <f>'Model (SC)'!E45-'Model (Matrix)'!E45</f>
        <v>0</v>
      </c>
      <c r="F45" s="91">
        <f>'Model (SC)'!F45-'Model (Matrix)'!F45</f>
        <v>0</v>
      </c>
      <c r="G45" s="91">
        <f>'Model (SC)'!G45-'Model (Matrix)'!G45</f>
        <v>0</v>
      </c>
      <c r="H45" s="91">
        <f>'Model (SC)'!H45-'Model (Matrix)'!H45</f>
        <v>0</v>
      </c>
      <c r="I45" s="91">
        <f>'Model (SC)'!I45-'Model (Matrix)'!I45</f>
        <v>0</v>
      </c>
      <c r="J45" s="91">
        <f>'Model (SC)'!J45-'Model (Matrix)'!J45</f>
        <v>0</v>
      </c>
      <c r="K45" s="91">
        <f>'Model (SC)'!K45-'Model (Matrix)'!K45</f>
        <v>0</v>
      </c>
      <c r="L45" s="91">
        <f>'Model (SC)'!L45-'Model (Matrix)'!L45</f>
        <v>0</v>
      </c>
      <c r="M45" s="91">
        <f>'Model (SC)'!M45-'Model (Matrix)'!M45</f>
        <v>0</v>
      </c>
      <c r="N45" s="91">
        <f>'Model (SC)'!N45-'Model (Matrix)'!N45</f>
        <v>0</v>
      </c>
      <c r="O45" s="91">
        <f>'Model (SC)'!O45-'Model (Matrix)'!O45</f>
        <v>0</v>
      </c>
      <c r="P45" s="91">
        <f>'Model (SC)'!P45-'Model (Matrix)'!P45</f>
        <v>0</v>
      </c>
      <c r="Q45" s="91">
        <f>'Model (SC)'!Q45-'Model (Matrix)'!Q45</f>
        <v>0</v>
      </c>
      <c r="R45" s="91">
        <f>'Model (SC)'!R45-'Model (Matrix)'!R45</f>
        <v>0</v>
      </c>
      <c r="S45" s="91">
        <f>'Model (SC)'!S45-'Model (Matrix)'!S45</f>
        <v>0</v>
      </c>
      <c r="T45" s="91">
        <f>'Model (SC)'!T45-'Model (Matrix)'!T45</f>
        <v>0</v>
      </c>
      <c r="U45" s="91">
        <f>'Model (SC)'!U45-'Model (Matrix)'!U45</f>
        <v>0</v>
      </c>
      <c r="V45" s="91">
        <f>'Model (SC)'!V45-'Model (Matrix)'!V45</f>
        <v>0</v>
      </c>
    </row>
    <row r="46" spans="1:22" x14ac:dyDescent="0.25">
      <c r="A46" s="82"/>
      <c r="B46" s="63" t="s">
        <v>149</v>
      </c>
      <c r="C46" s="94">
        <f>'Model (SC)'!C46-'Model (Matrix)'!C46</f>
        <v>0</v>
      </c>
      <c r="D46" s="91">
        <f>'Model (SC)'!D46-'Model (Matrix)'!D46</f>
        <v>0</v>
      </c>
      <c r="E46" s="91">
        <f>'Model (SC)'!E46-'Model (Matrix)'!E46</f>
        <v>0</v>
      </c>
      <c r="F46" s="91">
        <f>'Model (SC)'!F46-'Model (Matrix)'!F46</f>
        <v>0</v>
      </c>
      <c r="G46" s="91">
        <f>'Model (SC)'!G46-'Model (Matrix)'!G46</f>
        <v>0</v>
      </c>
      <c r="H46" s="91">
        <f>'Model (SC)'!H46-'Model (Matrix)'!H46</f>
        <v>0</v>
      </c>
      <c r="I46" s="91">
        <f>'Model (SC)'!I46-'Model (Matrix)'!I46</f>
        <v>0</v>
      </c>
      <c r="J46" s="91">
        <f>'Model (SC)'!J46-'Model (Matrix)'!J46</f>
        <v>0</v>
      </c>
      <c r="K46" s="91">
        <f>'Model (SC)'!K46-'Model (Matrix)'!K46</f>
        <v>0</v>
      </c>
      <c r="L46" s="91">
        <f>'Model (SC)'!L46-'Model (Matrix)'!L46</f>
        <v>0</v>
      </c>
      <c r="M46" s="91">
        <f>'Model (SC)'!M46-'Model (Matrix)'!M46</f>
        <v>0</v>
      </c>
      <c r="N46" s="91">
        <f>'Model (SC)'!N46-'Model (Matrix)'!N46</f>
        <v>0</v>
      </c>
      <c r="O46" s="91">
        <f>'Model (SC)'!O46-'Model (Matrix)'!O46</f>
        <v>0</v>
      </c>
      <c r="P46" s="91">
        <f>'Model (SC)'!P46-'Model (Matrix)'!P46</f>
        <v>0</v>
      </c>
      <c r="Q46" s="91">
        <f>'Model (SC)'!Q46-'Model (Matrix)'!Q46</f>
        <v>0</v>
      </c>
      <c r="R46" s="91">
        <f>'Model (SC)'!R46-'Model (Matrix)'!R46</f>
        <v>0</v>
      </c>
      <c r="S46" s="91">
        <f>'Model (SC)'!S46-'Model (Matrix)'!S46</f>
        <v>0</v>
      </c>
      <c r="T46" s="91">
        <f>'Model (SC)'!T46-'Model (Matrix)'!T46</f>
        <v>0</v>
      </c>
      <c r="U46" s="91">
        <f>'Model (SC)'!U46-'Model (Matrix)'!U46</f>
        <v>0</v>
      </c>
      <c r="V46" s="91">
        <f>'Model (SC)'!V46-'Model (Matrix)'!V46</f>
        <v>0</v>
      </c>
    </row>
    <row r="47" spans="1:22" x14ac:dyDescent="0.25">
      <c r="A47" s="82"/>
      <c r="B47" s="63" t="s">
        <v>150</v>
      </c>
      <c r="C47" s="94">
        <f>'Model (SC)'!C47-'Model (Matrix)'!C47</f>
        <v>0</v>
      </c>
      <c r="D47" s="91">
        <f>'Model (SC)'!D47-'Model (Matrix)'!D47</f>
        <v>0</v>
      </c>
      <c r="E47" s="91">
        <f>'Model (SC)'!E47-'Model (Matrix)'!E47</f>
        <v>0</v>
      </c>
      <c r="F47" s="91">
        <f>'Model (SC)'!F47-'Model (Matrix)'!F47</f>
        <v>0</v>
      </c>
      <c r="G47" s="91">
        <f>'Model (SC)'!G47-'Model (Matrix)'!G47</f>
        <v>0</v>
      </c>
      <c r="H47" s="91">
        <f>'Model (SC)'!H47-'Model (Matrix)'!H47</f>
        <v>0</v>
      </c>
      <c r="I47" s="91">
        <f>'Model (SC)'!I47-'Model (Matrix)'!I47</f>
        <v>0</v>
      </c>
      <c r="J47" s="91">
        <f>'Model (SC)'!J47-'Model (Matrix)'!J47</f>
        <v>0</v>
      </c>
      <c r="K47" s="91">
        <f>'Model (SC)'!K47-'Model (Matrix)'!K47</f>
        <v>0</v>
      </c>
      <c r="L47" s="91">
        <f>'Model (SC)'!L47-'Model (Matrix)'!L47</f>
        <v>0</v>
      </c>
      <c r="M47" s="91">
        <f>'Model (SC)'!M47-'Model (Matrix)'!M47</f>
        <v>0</v>
      </c>
      <c r="N47" s="91">
        <f>'Model (SC)'!N47-'Model (Matrix)'!N47</f>
        <v>0</v>
      </c>
      <c r="O47" s="91">
        <f>'Model (SC)'!O47-'Model (Matrix)'!O47</f>
        <v>0</v>
      </c>
      <c r="P47" s="91">
        <f>'Model (SC)'!P47-'Model (Matrix)'!P47</f>
        <v>0</v>
      </c>
      <c r="Q47" s="91">
        <f>'Model (SC)'!Q47-'Model (Matrix)'!Q47</f>
        <v>0</v>
      </c>
      <c r="R47" s="91">
        <f>'Model (SC)'!R47-'Model (Matrix)'!R47</f>
        <v>0</v>
      </c>
      <c r="S47" s="91">
        <f>'Model (SC)'!S47-'Model (Matrix)'!S47</f>
        <v>0</v>
      </c>
      <c r="T47" s="91">
        <f>'Model (SC)'!T47-'Model (Matrix)'!T47</f>
        <v>0</v>
      </c>
      <c r="U47" s="91">
        <f>'Model (SC)'!U47-'Model (Matrix)'!U47</f>
        <v>0</v>
      </c>
      <c r="V47" s="91">
        <f>'Model (SC)'!V47-'Model (Matrix)'!V47</f>
        <v>0</v>
      </c>
    </row>
    <row r="48" spans="1:22" x14ac:dyDescent="0.25">
      <c r="A48" s="82"/>
      <c r="B48" s="63" t="s">
        <v>718</v>
      </c>
      <c r="C48" s="94">
        <f>'Model (SC)'!C48-'Model (Matrix)'!C48</f>
        <v>0</v>
      </c>
      <c r="D48" s="91">
        <f>'Model (SC)'!D48-'Model (Matrix)'!D48</f>
        <v>0</v>
      </c>
      <c r="E48" s="91">
        <f>'Model (SC)'!E48-'Model (Matrix)'!E48</f>
        <v>0</v>
      </c>
      <c r="F48" s="91">
        <f>'Model (SC)'!F48-'Model (Matrix)'!F48</f>
        <v>0</v>
      </c>
      <c r="G48" s="91">
        <f>'Model (SC)'!G48-'Model (Matrix)'!G48</f>
        <v>0</v>
      </c>
      <c r="H48" s="91">
        <f>'Model (SC)'!H48-'Model (Matrix)'!H48</f>
        <v>0</v>
      </c>
      <c r="I48" s="91">
        <f>'Model (SC)'!I48-'Model (Matrix)'!I48</f>
        <v>0</v>
      </c>
      <c r="J48" s="91">
        <f>'Model (SC)'!J48-'Model (Matrix)'!J48</f>
        <v>0</v>
      </c>
      <c r="K48" s="91">
        <f>'Model (SC)'!K48-'Model (Matrix)'!K48</f>
        <v>0</v>
      </c>
      <c r="L48" s="91">
        <f>'Model (SC)'!L48-'Model (Matrix)'!L48</f>
        <v>0</v>
      </c>
      <c r="M48" s="91">
        <f>'Model (SC)'!M48-'Model (Matrix)'!M48</f>
        <v>0</v>
      </c>
      <c r="N48" s="91">
        <f>'Model (SC)'!N48-'Model (Matrix)'!N48</f>
        <v>0</v>
      </c>
      <c r="O48" s="91">
        <f>'Model (SC)'!O48-'Model (Matrix)'!O48</f>
        <v>0</v>
      </c>
      <c r="P48" s="91">
        <f>'Model (SC)'!P48-'Model (Matrix)'!P48</f>
        <v>0</v>
      </c>
      <c r="Q48" s="91">
        <f>'Model (SC)'!Q48-'Model (Matrix)'!Q48</f>
        <v>0</v>
      </c>
      <c r="R48" s="91">
        <f>'Model (SC)'!R48-'Model (Matrix)'!R48</f>
        <v>0</v>
      </c>
      <c r="S48" s="91">
        <f>'Model (SC)'!S48-'Model (Matrix)'!S48</f>
        <v>0</v>
      </c>
      <c r="T48" s="91">
        <f>'Model (SC)'!T48-'Model (Matrix)'!T48</f>
        <v>0</v>
      </c>
      <c r="U48" s="91">
        <f>'Model (SC)'!U48-'Model (Matrix)'!U48</f>
        <v>0</v>
      </c>
      <c r="V48" s="91">
        <f>'Model (SC)'!V48-'Model (Matrix)'!V48</f>
        <v>0</v>
      </c>
    </row>
    <row r="49" spans="1:22" x14ac:dyDescent="0.25">
      <c r="A49" s="82"/>
      <c r="B49" s="63" t="s">
        <v>136</v>
      </c>
      <c r="C49" s="94">
        <f>'Model (SC)'!C49-'Model (Matrix)'!C49</f>
        <v>0</v>
      </c>
      <c r="D49" s="91">
        <f>'Model (SC)'!D49-'Model (Matrix)'!D49</f>
        <v>0</v>
      </c>
      <c r="E49" s="91">
        <f>'Model (SC)'!E49-'Model (Matrix)'!E49</f>
        <v>0</v>
      </c>
      <c r="F49" s="91">
        <f>'Model (SC)'!F49-'Model (Matrix)'!F49</f>
        <v>0</v>
      </c>
      <c r="G49" s="91">
        <f>'Model (SC)'!G49-'Model (Matrix)'!G49</f>
        <v>0</v>
      </c>
      <c r="H49" s="91">
        <f>'Model (SC)'!H49-'Model (Matrix)'!H49</f>
        <v>0</v>
      </c>
      <c r="I49" s="91">
        <f>'Model (SC)'!I49-'Model (Matrix)'!I49</f>
        <v>0</v>
      </c>
      <c r="J49" s="91">
        <f>'Model (SC)'!J49-'Model (Matrix)'!J49</f>
        <v>0</v>
      </c>
      <c r="K49" s="91">
        <f>'Model (SC)'!K49-'Model (Matrix)'!K49</f>
        <v>0</v>
      </c>
      <c r="L49" s="91">
        <f>'Model (SC)'!L49-'Model (Matrix)'!L49</f>
        <v>0</v>
      </c>
      <c r="M49" s="91">
        <f>'Model (SC)'!M49-'Model (Matrix)'!M49</f>
        <v>0</v>
      </c>
      <c r="N49" s="91">
        <f>'Model (SC)'!N49-'Model (Matrix)'!N49</f>
        <v>0</v>
      </c>
      <c r="O49" s="91">
        <f>'Model (SC)'!O49-'Model (Matrix)'!O49</f>
        <v>0</v>
      </c>
      <c r="P49" s="91">
        <f>'Model (SC)'!P49-'Model (Matrix)'!P49</f>
        <v>0</v>
      </c>
      <c r="Q49" s="91">
        <f>'Model (SC)'!Q49-'Model (Matrix)'!Q49</f>
        <v>0</v>
      </c>
      <c r="R49" s="91">
        <f>'Model (SC)'!R49-'Model (Matrix)'!R49</f>
        <v>0</v>
      </c>
      <c r="S49" s="91">
        <f>'Model (SC)'!S49-'Model (Matrix)'!S49</f>
        <v>0</v>
      </c>
      <c r="T49" s="91">
        <f>'Model (SC)'!T49-'Model (Matrix)'!T49</f>
        <v>0</v>
      </c>
      <c r="U49" s="91">
        <f>'Model (SC)'!U49-'Model (Matrix)'!U49</f>
        <v>0</v>
      </c>
      <c r="V49" s="91">
        <f>'Model (SC)'!V49-'Model (Matrix)'!V49</f>
        <v>0</v>
      </c>
    </row>
    <row r="50" spans="1:22" x14ac:dyDescent="0.25">
      <c r="A50" s="82"/>
      <c r="B50" s="63" t="s">
        <v>734</v>
      </c>
      <c r="C50" s="94">
        <f>'Model (SC)'!C50-'Model (Matrix)'!C50</f>
        <v>0</v>
      </c>
      <c r="D50" s="91">
        <f>'Model (SC)'!D50-'Model (Matrix)'!D50</f>
        <v>0</v>
      </c>
      <c r="E50" s="91">
        <f>'Model (SC)'!E50-'Model (Matrix)'!E50</f>
        <v>0</v>
      </c>
      <c r="F50" s="91">
        <f>'Model (SC)'!F50-'Model (Matrix)'!F50</f>
        <v>0</v>
      </c>
      <c r="G50" s="91">
        <f>'Model (SC)'!G50-'Model (Matrix)'!G50</f>
        <v>0</v>
      </c>
      <c r="H50" s="91">
        <f>'Model (SC)'!H50-'Model (Matrix)'!H50</f>
        <v>0</v>
      </c>
      <c r="I50" s="91">
        <f>'Model (SC)'!I50-'Model (Matrix)'!I50</f>
        <v>0</v>
      </c>
      <c r="J50" s="91">
        <f>'Model (SC)'!J50-'Model (Matrix)'!J50</f>
        <v>0</v>
      </c>
      <c r="K50" s="91">
        <f>'Model (SC)'!K50-'Model (Matrix)'!K50</f>
        <v>0</v>
      </c>
      <c r="L50" s="91">
        <f>'Model (SC)'!L50-'Model (Matrix)'!L50</f>
        <v>0</v>
      </c>
      <c r="M50" s="91">
        <f>'Model (SC)'!M50-'Model (Matrix)'!M50</f>
        <v>0</v>
      </c>
      <c r="N50" s="91">
        <f>'Model (SC)'!N50-'Model (Matrix)'!N50</f>
        <v>0</v>
      </c>
      <c r="O50" s="91">
        <f>'Model (SC)'!O50-'Model (Matrix)'!O50</f>
        <v>0</v>
      </c>
      <c r="P50" s="91">
        <f>'Model (SC)'!P50-'Model (Matrix)'!P50</f>
        <v>0</v>
      </c>
      <c r="Q50" s="91">
        <f>'Model (SC)'!Q50-'Model (Matrix)'!Q50</f>
        <v>0</v>
      </c>
      <c r="R50" s="91">
        <f>'Model (SC)'!R50-'Model (Matrix)'!R50</f>
        <v>0</v>
      </c>
      <c r="S50" s="91">
        <f>'Model (SC)'!S50-'Model (Matrix)'!S50</f>
        <v>0</v>
      </c>
      <c r="T50" s="91">
        <f>'Model (SC)'!T50-'Model (Matrix)'!T50</f>
        <v>0</v>
      </c>
      <c r="U50" s="91">
        <f>'Model (SC)'!U50-'Model (Matrix)'!U50</f>
        <v>0</v>
      </c>
      <c r="V50" s="91">
        <f>'Model (SC)'!V50-'Model (Matrix)'!V50</f>
        <v>0</v>
      </c>
    </row>
    <row r="51" spans="1:22" x14ac:dyDescent="0.25">
      <c r="A51" s="82"/>
      <c r="B51" s="63" t="s">
        <v>137</v>
      </c>
      <c r="C51" s="202">
        <f>'Model (SC)'!C51-'Model (Matrix)'!C51</f>
        <v>0</v>
      </c>
      <c r="D51" s="91">
        <f>'Model (SC)'!D51-'Model (Matrix)'!D51</f>
        <v>0</v>
      </c>
      <c r="E51" s="91">
        <f>'Model (SC)'!E51-'Model (Matrix)'!E51</f>
        <v>0</v>
      </c>
      <c r="F51" s="91">
        <f>'Model (SC)'!F51-'Model (Matrix)'!F51</f>
        <v>0</v>
      </c>
      <c r="G51" s="91">
        <f>'Model (SC)'!G51-'Model (Matrix)'!G51</f>
        <v>0</v>
      </c>
      <c r="H51" s="91">
        <f>'Model (SC)'!H51-'Model (Matrix)'!H51</f>
        <v>0</v>
      </c>
      <c r="I51" s="91">
        <f>'Model (SC)'!I51-'Model (Matrix)'!I51</f>
        <v>0</v>
      </c>
      <c r="J51" s="91">
        <f>'Model (SC)'!J51-'Model (Matrix)'!J51</f>
        <v>0</v>
      </c>
      <c r="K51" s="91">
        <f>'Model (SC)'!K51-'Model (Matrix)'!K51</f>
        <v>0</v>
      </c>
      <c r="L51" s="91">
        <f>'Model (SC)'!L51-'Model (Matrix)'!L51</f>
        <v>0</v>
      </c>
      <c r="M51" s="91">
        <f>'Model (SC)'!M51-'Model (Matrix)'!M51</f>
        <v>0</v>
      </c>
      <c r="N51" s="91">
        <f>'Model (SC)'!N51-'Model (Matrix)'!N51</f>
        <v>0</v>
      </c>
      <c r="O51" s="91">
        <f>'Model (SC)'!O51-'Model (Matrix)'!O51</f>
        <v>0</v>
      </c>
      <c r="P51" s="91">
        <f>'Model (SC)'!P51-'Model (Matrix)'!P51</f>
        <v>0</v>
      </c>
      <c r="Q51" s="91">
        <f>'Model (SC)'!Q51-'Model (Matrix)'!Q51</f>
        <v>0</v>
      </c>
      <c r="R51" s="91">
        <f>'Model (SC)'!R51-'Model (Matrix)'!R51</f>
        <v>0</v>
      </c>
      <c r="S51" s="91">
        <f>'Model (SC)'!S51-'Model (Matrix)'!S51</f>
        <v>0</v>
      </c>
      <c r="T51" s="91">
        <f>'Model (SC)'!T51-'Model (Matrix)'!T51</f>
        <v>0</v>
      </c>
      <c r="U51" s="91">
        <f>'Model (SC)'!U51-'Model (Matrix)'!U51</f>
        <v>0</v>
      </c>
      <c r="V51" s="91">
        <f>'Model (SC)'!V51-'Model (Matrix)'!V51</f>
        <v>0</v>
      </c>
    </row>
    <row r="52" spans="1:22" x14ac:dyDescent="0.25">
      <c r="A52" s="82"/>
      <c r="B52" s="63" t="s">
        <v>138</v>
      </c>
      <c r="C52" s="202">
        <f>'Model (SC)'!C52-'Model (Matrix)'!C52</f>
        <v>0</v>
      </c>
      <c r="D52" s="91">
        <f>'Model (SC)'!D52-'Model (Matrix)'!D52</f>
        <v>0</v>
      </c>
      <c r="E52" s="91">
        <f>'Model (SC)'!E52-'Model (Matrix)'!E52</f>
        <v>0</v>
      </c>
      <c r="F52" s="91">
        <f>'Model (SC)'!F52-'Model (Matrix)'!F52</f>
        <v>0</v>
      </c>
      <c r="G52" s="91">
        <f>'Model (SC)'!G52-'Model (Matrix)'!G52</f>
        <v>0</v>
      </c>
      <c r="H52" s="91">
        <f>'Model (SC)'!H52-'Model (Matrix)'!H52</f>
        <v>0</v>
      </c>
      <c r="I52" s="91">
        <f>'Model (SC)'!I52-'Model (Matrix)'!I52</f>
        <v>0</v>
      </c>
      <c r="J52" s="91">
        <f>'Model (SC)'!J52-'Model (Matrix)'!J52</f>
        <v>0</v>
      </c>
      <c r="K52" s="91">
        <f>'Model (SC)'!K52-'Model (Matrix)'!K52</f>
        <v>0</v>
      </c>
      <c r="L52" s="91">
        <f>'Model (SC)'!L52-'Model (Matrix)'!L52</f>
        <v>0</v>
      </c>
      <c r="M52" s="91">
        <f>'Model (SC)'!M52-'Model (Matrix)'!M52</f>
        <v>0</v>
      </c>
      <c r="N52" s="91">
        <f>'Model (SC)'!N52-'Model (Matrix)'!N52</f>
        <v>0</v>
      </c>
      <c r="O52" s="91">
        <f>'Model (SC)'!O52-'Model (Matrix)'!O52</f>
        <v>0</v>
      </c>
      <c r="P52" s="91">
        <f>'Model (SC)'!P52-'Model (Matrix)'!P52</f>
        <v>0</v>
      </c>
      <c r="Q52" s="91">
        <f>'Model (SC)'!Q52-'Model (Matrix)'!Q52</f>
        <v>0</v>
      </c>
      <c r="R52" s="91">
        <f>'Model (SC)'!R52-'Model (Matrix)'!R52</f>
        <v>0</v>
      </c>
      <c r="S52" s="91">
        <f>'Model (SC)'!S52-'Model (Matrix)'!S52</f>
        <v>0</v>
      </c>
      <c r="T52" s="91">
        <f>'Model (SC)'!T52-'Model (Matrix)'!T52</f>
        <v>0</v>
      </c>
      <c r="U52" s="91">
        <f>'Model (SC)'!U52-'Model (Matrix)'!U52</f>
        <v>0</v>
      </c>
      <c r="V52" s="91">
        <f>'Model (SC)'!V52-'Model (Matrix)'!V52</f>
        <v>0</v>
      </c>
    </row>
    <row r="53" spans="1:22" x14ac:dyDescent="0.25">
      <c r="A53" s="82"/>
      <c r="B53" s="63" t="s">
        <v>139</v>
      </c>
      <c r="C53" s="202">
        <f>'Model (SC)'!C53-'Model (Matrix)'!C53</f>
        <v>0</v>
      </c>
      <c r="D53" s="91">
        <f>'Model (SC)'!D53-'Model (Matrix)'!D53</f>
        <v>0</v>
      </c>
      <c r="E53" s="91">
        <f>'Model (SC)'!E53-'Model (Matrix)'!E53</f>
        <v>0</v>
      </c>
      <c r="F53" s="91">
        <f>'Model (SC)'!F53-'Model (Matrix)'!F53</f>
        <v>0</v>
      </c>
      <c r="G53" s="91">
        <f>'Model (SC)'!G53-'Model (Matrix)'!G53</f>
        <v>0</v>
      </c>
      <c r="H53" s="91">
        <f>'Model (SC)'!H53-'Model (Matrix)'!H53</f>
        <v>0</v>
      </c>
      <c r="I53" s="91">
        <f>'Model (SC)'!I53-'Model (Matrix)'!I53</f>
        <v>0</v>
      </c>
      <c r="J53" s="91">
        <f>'Model (SC)'!J53-'Model (Matrix)'!J53</f>
        <v>0</v>
      </c>
      <c r="K53" s="91">
        <f>'Model (SC)'!K53-'Model (Matrix)'!K53</f>
        <v>0</v>
      </c>
      <c r="L53" s="91">
        <f>'Model (SC)'!L53-'Model (Matrix)'!L53</f>
        <v>0</v>
      </c>
      <c r="M53" s="91">
        <f>'Model (SC)'!M53-'Model (Matrix)'!M53</f>
        <v>0</v>
      </c>
      <c r="N53" s="91">
        <f>'Model (SC)'!N53-'Model (Matrix)'!N53</f>
        <v>0</v>
      </c>
      <c r="O53" s="91">
        <f>'Model (SC)'!O53-'Model (Matrix)'!O53</f>
        <v>0</v>
      </c>
      <c r="P53" s="91">
        <f>'Model (SC)'!P53-'Model (Matrix)'!P53</f>
        <v>0</v>
      </c>
      <c r="Q53" s="91">
        <f>'Model (SC)'!Q53-'Model (Matrix)'!Q53</f>
        <v>0</v>
      </c>
      <c r="R53" s="91">
        <f>'Model (SC)'!R53-'Model (Matrix)'!R53</f>
        <v>0</v>
      </c>
      <c r="S53" s="91">
        <f>'Model (SC)'!S53-'Model (Matrix)'!S53</f>
        <v>0</v>
      </c>
      <c r="T53" s="91">
        <f>'Model (SC)'!T53-'Model (Matrix)'!T53</f>
        <v>0</v>
      </c>
      <c r="U53" s="91">
        <f>'Model (SC)'!U53-'Model (Matrix)'!U53</f>
        <v>0</v>
      </c>
      <c r="V53" s="91">
        <f>'Model (SC)'!V53-'Model (Matrix)'!V53</f>
        <v>0</v>
      </c>
    </row>
    <row r="54" spans="1:22" x14ac:dyDescent="0.25">
      <c r="A54" s="82"/>
      <c r="B54" s="63" t="s">
        <v>127</v>
      </c>
      <c r="C54" s="94">
        <f>'Model (SC)'!C54-'Model (Matrix)'!C54</f>
        <v>0</v>
      </c>
      <c r="D54" s="91">
        <f>'Model (SC)'!D54-'Model (Matrix)'!D54</f>
        <v>0</v>
      </c>
      <c r="E54" s="91">
        <f>'Model (SC)'!E54-'Model (Matrix)'!E54</f>
        <v>0</v>
      </c>
      <c r="F54" s="91">
        <f>'Model (SC)'!F54-'Model (Matrix)'!F54</f>
        <v>0</v>
      </c>
      <c r="G54" s="91">
        <f>'Model (SC)'!G54-'Model (Matrix)'!G54</f>
        <v>0</v>
      </c>
      <c r="H54" s="91">
        <f>'Model (SC)'!H54-'Model (Matrix)'!H54</f>
        <v>0</v>
      </c>
      <c r="I54" s="91">
        <f>'Model (SC)'!I54-'Model (Matrix)'!I54</f>
        <v>0</v>
      </c>
      <c r="J54" s="91">
        <f>'Model (SC)'!J54-'Model (Matrix)'!J54</f>
        <v>0</v>
      </c>
      <c r="K54" s="91">
        <f>'Model (SC)'!K54-'Model (Matrix)'!K54</f>
        <v>0</v>
      </c>
      <c r="L54" s="91">
        <f>'Model (SC)'!L54-'Model (Matrix)'!L54</f>
        <v>0</v>
      </c>
      <c r="M54" s="91">
        <f>'Model (SC)'!M54-'Model (Matrix)'!M54</f>
        <v>0</v>
      </c>
      <c r="N54" s="91">
        <f>'Model (SC)'!N54-'Model (Matrix)'!N54</f>
        <v>0</v>
      </c>
      <c r="O54" s="91">
        <f>'Model (SC)'!O54-'Model (Matrix)'!O54</f>
        <v>0</v>
      </c>
      <c r="P54" s="91">
        <f>'Model (SC)'!P54-'Model (Matrix)'!P54</f>
        <v>0</v>
      </c>
      <c r="Q54" s="91">
        <f>'Model (SC)'!Q54-'Model (Matrix)'!Q54</f>
        <v>0</v>
      </c>
      <c r="R54" s="91">
        <f>'Model (SC)'!R54-'Model (Matrix)'!R54</f>
        <v>0</v>
      </c>
      <c r="S54" s="91">
        <f>'Model (SC)'!S54-'Model (Matrix)'!S54</f>
        <v>0</v>
      </c>
      <c r="T54" s="91">
        <f>'Model (SC)'!T54-'Model (Matrix)'!T54</f>
        <v>0</v>
      </c>
      <c r="U54" s="91">
        <f>'Model (SC)'!U54-'Model (Matrix)'!U54</f>
        <v>0</v>
      </c>
      <c r="V54" s="91">
        <f>'Model (SC)'!V54-'Model (Matrix)'!V54</f>
        <v>0</v>
      </c>
    </row>
    <row r="55" spans="1:22" x14ac:dyDescent="0.25">
      <c r="A55" s="82"/>
      <c r="B55" s="63" t="s">
        <v>128</v>
      </c>
      <c r="C55" s="94">
        <f>'Model (SC)'!C55-'Model (Matrix)'!C55</f>
        <v>0</v>
      </c>
      <c r="D55" s="91">
        <f>'Model (SC)'!D55-'Model (Matrix)'!D55</f>
        <v>0</v>
      </c>
      <c r="E55" s="91">
        <f>'Model (SC)'!E55-'Model (Matrix)'!E55</f>
        <v>0</v>
      </c>
      <c r="F55" s="91">
        <f>'Model (SC)'!F55-'Model (Matrix)'!F55</f>
        <v>0</v>
      </c>
      <c r="G55" s="91">
        <f>'Model (SC)'!G55-'Model (Matrix)'!G55</f>
        <v>0</v>
      </c>
      <c r="H55" s="91">
        <f>'Model (SC)'!H55-'Model (Matrix)'!H55</f>
        <v>0</v>
      </c>
      <c r="I55" s="91">
        <f>'Model (SC)'!I55-'Model (Matrix)'!I55</f>
        <v>0</v>
      </c>
      <c r="J55" s="91">
        <f>'Model (SC)'!J55-'Model (Matrix)'!J55</f>
        <v>0</v>
      </c>
      <c r="K55" s="91">
        <f>'Model (SC)'!K55-'Model (Matrix)'!K55</f>
        <v>0</v>
      </c>
      <c r="L55" s="91">
        <f>'Model (SC)'!L55-'Model (Matrix)'!L55</f>
        <v>0</v>
      </c>
      <c r="M55" s="91">
        <f>'Model (SC)'!M55-'Model (Matrix)'!M55</f>
        <v>0</v>
      </c>
      <c r="N55" s="91">
        <f>'Model (SC)'!N55-'Model (Matrix)'!N55</f>
        <v>0</v>
      </c>
      <c r="O55" s="91">
        <f>'Model (SC)'!O55-'Model (Matrix)'!O55</f>
        <v>0</v>
      </c>
      <c r="P55" s="91">
        <f>'Model (SC)'!P55-'Model (Matrix)'!P55</f>
        <v>0</v>
      </c>
      <c r="Q55" s="91">
        <f>'Model (SC)'!Q55-'Model (Matrix)'!Q55</f>
        <v>0</v>
      </c>
      <c r="R55" s="91">
        <f>'Model (SC)'!R55-'Model (Matrix)'!R55</f>
        <v>0</v>
      </c>
      <c r="S55" s="91">
        <f>'Model (SC)'!S55-'Model (Matrix)'!S55</f>
        <v>0</v>
      </c>
      <c r="T55" s="91">
        <f>'Model (SC)'!T55-'Model (Matrix)'!T55</f>
        <v>0</v>
      </c>
      <c r="U55" s="91">
        <f>'Model (SC)'!U55-'Model (Matrix)'!U55</f>
        <v>0</v>
      </c>
      <c r="V55" s="91">
        <f>'Model (SC)'!V55-'Model (Matrix)'!V55</f>
        <v>0</v>
      </c>
    </row>
    <row r="56" spans="1:22" x14ac:dyDescent="0.25">
      <c r="A56" s="82"/>
      <c r="B56" s="63" t="s">
        <v>151</v>
      </c>
      <c r="C56" s="94">
        <f>'Model (SC)'!C56-'Model (Matrix)'!C56</f>
        <v>0</v>
      </c>
      <c r="D56" s="91">
        <f>'Model (SC)'!D56-'Model (Matrix)'!D56</f>
        <v>0</v>
      </c>
      <c r="E56" s="91">
        <f>'Model (SC)'!E56-'Model (Matrix)'!E56</f>
        <v>0</v>
      </c>
      <c r="F56" s="91">
        <f>'Model (SC)'!F56-'Model (Matrix)'!F56</f>
        <v>0</v>
      </c>
      <c r="G56" s="91">
        <f>'Model (SC)'!G56-'Model (Matrix)'!G56</f>
        <v>0</v>
      </c>
      <c r="H56" s="91">
        <f>'Model (SC)'!H56-'Model (Matrix)'!H56</f>
        <v>0</v>
      </c>
      <c r="I56" s="91">
        <f>'Model (SC)'!I56-'Model (Matrix)'!I56</f>
        <v>0</v>
      </c>
      <c r="J56" s="91">
        <f>'Model (SC)'!J56-'Model (Matrix)'!J56</f>
        <v>0</v>
      </c>
      <c r="K56" s="91">
        <f>'Model (SC)'!K56-'Model (Matrix)'!K56</f>
        <v>0</v>
      </c>
      <c r="L56" s="91">
        <f>'Model (SC)'!L56-'Model (Matrix)'!L56</f>
        <v>0</v>
      </c>
      <c r="M56" s="91">
        <f>'Model (SC)'!M56-'Model (Matrix)'!M56</f>
        <v>0</v>
      </c>
      <c r="N56" s="91">
        <f>'Model (SC)'!N56-'Model (Matrix)'!N56</f>
        <v>0</v>
      </c>
      <c r="O56" s="91">
        <f>'Model (SC)'!O56-'Model (Matrix)'!O56</f>
        <v>0</v>
      </c>
      <c r="P56" s="91">
        <f>'Model (SC)'!P56-'Model (Matrix)'!P56</f>
        <v>0</v>
      </c>
      <c r="Q56" s="91">
        <f>'Model (SC)'!Q56-'Model (Matrix)'!Q56</f>
        <v>0</v>
      </c>
      <c r="R56" s="91">
        <f>'Model (SC)'!R56-'Model (Matrix)'!R56</f>
        <v>0</v>
      </c>
      <c r="S56" s="91">
        <f>'Model (SC)'!S56-'Model (Matrix)'!S56</f>
        <v>0</v>
      </c>
      <c r="T56" s="91">
        <f>'Model (SC)'!T56-'Model (Matrix)'!T56</f>
        <v>0</v>
      </c>
      <c r="U56" s="91">
        <f>'Model (SC)'!U56-'Model (Matrix)'!U56</f>
        <v>0</v>
      </c>
      <c r="V56" s="91">
        <f>'Model (SC)'!V56-'Model (Matrix)'!V56</f>
        <v>0</v>
      </c>
    </row>
    <row r="57" spans="1:22" x14ac:dyDescent="0.25">
      <c r="A57" s="82"/>
      <c r="B57" s="63" t="s">
        <v>152</v>
      </c>
      <c r="C57" s="94">
        <f>'Model (SC)'!C57-'Model (Matrix)'!C57</f>
        <v>0</v>
      </c>
      <c r="D57" s="91">
        <f>'Model (SC)'!D57-'Model (Matrix)'!D57</f>
        <v>0</v>
      </c>
      <c r="E57" s="91">
        <f>'Model (SC)'!E57-'Model (Matrix)'!E57</f>
        <v>0</v>
      </c>
      <c r="F57" s="91">
        <f>'Model (SC)'!F57-'Model (Matrix)'!F57</f>
        <v>0</v>
      </c>
      <c r="G57" s="91">
        <f>'Model (SC)'!G57-'Model (Matrix)'!G57</f>
        <v>0</v>
      </c>
      <c r="H57" s="91">
        <f>'Model (SC)'!H57-'Model (Matrix)'!H57</f>
        <v>0</v>
      </c>
      <c r="I57" s="91">
        <f>'Model (SC)'!I57-'Model (Matrix)'!I57</f>
        <v>0</v>
      </c>
      <c r="J57" s="91">
        <f>'Model (SC)'!J57-'Model (Matrix)'!J57</f>
        <v>0</v>
      </c>
      <c r="K57" s="91">
        <f>'Model (SC)'!K57-'Model (Matrix)'!K57</f>
        <v>0</v>
      </c>
      <c r="L57" s="91">
        <f>'Model (SC)'!L57-'Model (Matrix)'!L57</f>
        <v>0</v>
      </c>
      <c r="M57" s="91">
        <f>'Model (SC)'!M57-'Model (Matrix)'!M57</f>
        <v>0</v>
      </c>
      <c r="N57" s="91">
        <f>'Model (SC)'!N57-'Model (Matrix)'!N57</f>
        <v>0</v>
      </c>
      <c r="O57" s="91">
        <f>'Model (SC)'!O57-'Model (Matrix)'!O57</f>
        <v>0</v>
      </c>
      <c r="P57" s="91">
        <f>'Model (SC)'!P57-'Model (Matrix)'!P57</f>
        <v>0</v>
      </c>
      <c r="Q57" s="91">
        <f>'Model (SC)'!Q57-'Model (Matrix)'!Q57</f>
        <v>0</v>
      </c>
      <c r="R57" s="91">
        <f>'Model (SC)'!R57-'Model (Matrix)'!R57</f>
        <v>0</v>
      </c>
      <c r="S57" s="91">
        <f>'Model (SC)'!S57-'Model (Matrix)'!S57</f>
        <v>0</v>
      </c>
      <c r="T57" s="91">
        <f>'Model (SC)'!T57-'Model (Matrix)'!T57</f>
        <v>0</v>
      </c>
      <c r="U57" s="91">
        <f>'Model (SC)'!U57-'Model (Matrix)'!U57</f>
        <v>0</v>
      </c>
      <c r="V57" s="91">
        <f>'Model (SC)'!V57-'Model (Matrix)'!V57</f>
        <v>0</v>
      </c>
    </row>
    <row r="58" spans="1:22" x14ac:dyDescent="0.25">
      <c r="A58" s="82"/>
      <c r="B58" s="63" t="s">
        <v>153</v>
      </c>
      <c r="C58" s="94">
        <f>'Model (SC)'!C58-'Model (Matrix)'!C58</f>
        <v>0</v>
      </c>
      <c r="D58" s="91">
        <f>'Model (SC)'!D58-'Model (Matrix)'!D58</f>
        <v>0</v>
      </c>
      <c r="E58" s="91">
        <f>'Model (SC)'!E58-'Model (Matrix)'!E58</f>
        <v>0</v>
      </c>
      <c r="F58" s="91">
        <f>'Model (SC)'!F58-'Model (Matrix)'!F58</f>
        <v>0</v>
      </c>
      <c r="G58" s="91">
        <f>'Model (SC)'!G58-'Model (Matrix)'!G58</f>
        <v>0</v>
      </c>
      <c r="H58" s="91">
        <f>'Model (SC)'!H58-'Model (Matrix)'!H58</f>
        <v>0</v>
      </c>
      <c r="I58" s="91">
        <f>'Model (SC)'!I58-'Model (Matrix)'!I58</f>
        <v>0</v>
      </c>
      <c r="J58" s="91">
        <f>'Model (SC)'!J58-'Model (Matrix)'!J58</f>
        <v>0</v>
      </c>
      <c r="K58" s="91">
        <f>'Model (SC)'!K58-'Model (Matrix)'!K58</f>
        <v>0</v>
      </c>
      <c r="L58" s="91">
        <f>'Model (SC)'!L58-'Model (Matrix)'!L58</f>
        <v>0</v>
      </c>
      <c r="M58" s="91">
        <f>'Model (SC)'!M58-'Model (Matrix)'!M58</f>
        <v>0</v>
      </c>
      <c r="N58" s="91">
        <f>'Model (SC)'!N58-'Model (Matrix)'!N58</f>
        <v>0</v>
      </c>
      <c r="O58" s="91">
        <f>'Model (SC)'!O58-'Model (Matrix)'!O58</f>
        <v>0</v>
      </c>
      <c r="P58" s="91">
        <f>'Model (SC)'!P58-'Model (Matrix)'!P58</f>
        <v>0</v>
      </c>
      <c r="Q58" s="91">
        <f>'Model (SC)'!Q58-'Model (Matrix)'!Q58</f>
        <v>0</v>
      </c>
      <c r="R58" s="91">
        <f>'Model (SC)'!R58-'Model (Matrix)'!R58</f>
        <v>0</v>
      </c>
      <c r="S58" s="91">
        <f>'Model (SC)'!S58-'Model (Matrix)'!S58</f>
        <v>0</v>
      </c>
      <c r="T58" s="91">
        <f>'Model (SC)'!T58-'Model (Matrix)'!T58</f>
        <v>0</v>
      </c>
      <c r="U58" s="91">
        <f>'Model (SC)'!U58-'Model (Matrix)'!U58</f>
        <v>0</v>
      </c>
      <c r="V58" s="91">
        <f>'Model (SC)'!V58-'Model (Matrix)'!V58</f>
        <v>0</v>
      </c>
    </row>
    <row r="59" spans="1:22" x14ac:dyDescent="0.25">
      <c r="A59" s="82"/>
      <c r="B59" s="63" t="s">
        <v>142</v>
      </c>
      <c r="C59" s="94">
        <f>'Model (SC)'!C59-'Model (Matrix)'!C59</f>
        <v>0</v>
      </c>
      <c r="D59" s="91">
        <f>'Model (SC)'!D59-'Model (Matrix)'!D59</f>
        <v>0</v>
      </c>
      <c r="E59" s="91">
        <f>'Model (SC)'!E59-'Model (Matrix)'!E59</f>
        <v>0</v>
      </c>
      <c r="F59" s="91">
        <f>'Model (SC)'!F59-'Model (Matrix)'!F59</f>
        <v>0</v>
      </c>
      <c r="G59" s="91">
        <f>'Model (SC)'!G59-'Model (Matrix)'!G59</f>
        <v>0</v>
      </c>
      <c r="H59" s="91">
        <f>'Model (SC)'!H59-'Model (Matrix)'!H59</f>
        <v>0</v>
      </c>
      <c r="I59" s="91">
        <f>'Model (SC)'!I59-'Model (Matrix)'!I59</f>
        <v>0</v>
      </c>
      <c r="J59" s="91">
        <f>'Model (SC)'!J59-'Model (Matrix)'!J59</f>
        <v>0</v>
      </c>
      <c r="K59" s="91">
        <f>'Model (SC)'!K59-'Model (Matrix)'!K59</f>
        <v>0</v>
      </c>
      <c r="L59" s="91">
        <f>'Model (SC)'!L59-'Model (Matrix)'!L59</f>
        <v>0</v>
      </c>
      <c r="M59" s="91">
        <f>'Model (SC)'!M59-'Model (Matrix)'!M59</f>
        <v>0</v>
      </c>
      <c r="N59" s="91">
        <f>'Model (SC)'!N59-'Model (Matrix)'!N59</f>
        <v>0</v>
      </c>
      <c r="O59" s="91">
        <f>'Model (SC)'!O59-'Model (Matrix)'!O59</f>
        <v>0</v>
      </c>
      <c r="P59" s="91">
        <f>'Model (SC)'!P59-'Model (Matrix)'!P59</f>
        <v>0</v>
      </c>
      <c r="Q59" s="91">
        <f>'Model (SC)'!Q59-'Model (Matrix)'!Q59</f>
        <v>0</v>
      </c>
      <c r="R59" s="91">
        <f>'Model (SC)'!R59-'Model (Matrix)'!R59</f>
        <v>0</v>
      </c>
      <c r="S59" s="91">
        <f>'Model (SC)'!S59-'Model (Matrix)'!S59</f>
        <v>0</v>
      </c>
      <c r="T59" s="91">
        <f>'Model (SC)'!T59-'Model (Matrix)'!T59</f>
        <v>0</v>
      </c>
      <c r="U59" s="91">
        <f>'Model (SC)'!U59-'Model (Matrix)'!U59</f>
        <v>0</v>
      </c>
      <c r="V59" s="91">
        <f>'Model (SC)'!V59-'Model (Matrix)'!V59</f>
        <v>0</v>
      </c>
    </row>
    <row r="60" spans="1:22" x14ac:dyDescent="0.25">
      <c r="A60" s="82"/>
      <c r="B60" s="64" t="s">
        <v>130</v>
      </c>
      <c r="C60" s="94">
        <f>'Model (SC)'!C60-'Model (Matrix)'!C60</f>
        <v>0</v>
      </c>
      <c r="D60" s="91">
        <f>'Model (SC)'!D60-'Model (Matrix)'!D60</f>
        <v>0</v>
      </c>
      <c r="E60" s="91">
        <f>'Model (SC)'!E60-'Model (Matrix)'!E60</f>
        <v>0</v>
      </c>
      <c r="F60" s="91">
        <f>'Model (SC)'!F60-'Model (Matrix)'!F60</f>
        <v>0</v>
      </c>
      <c r="G60" s="91">
        <f>'Model (SC)'!G60-'Model (Matrix)'!G60</f>
        <v>0</v>
      </c>
      <c r="H60" s="91">
        <f>'Model (SC)'!H60-'Model (Matrix)'!H60</f>
        <v>0</v>
      </c>
      <c r="I60" s="91">
        <f>'Model (SC)'!I60-'Model (Matrix)'!I60</f>
        <v>0</v>
      </c>
      <c r="J60" s="91">
        <f>'Model (SC)'!J60-'Model (Matrix)'!J60</f>
        <v>0</v>
      </c>
      <c r="K60" s="91">
        <f>'Model (SC)'!K60-'Model (Matrix)'!K60</f>
        <v>0</v>
      </c>
      <c r="L60" s="91">
        <f>'Model (SC)'!L60-'Model (Matrix)'!L60</f>
        <v>0</v>
      </c>
      <c r="M60" s="91">
        <f>'Model (SC)'!M60-'Model (Matrix)'!M60</f>
        <v>0</v>
      </c>
      <c r="N60" s="91">
        <f>'Model (SC)'!N60-'Model (Matrix)'!N60</f>
        <v>0</v>
      </c>
      <c r="O60" s="91">
        <f>'Model (SC)'!O60-'Model (Matrix)'!O60</f>
        <v>0</v>
      </c>
      <c r="P60" s="91">
        <f>'Model (SC)'!P60-'Model (Matrix)'!P60</f>
        <v>0</v>
      </c>
      <c r="Q60" s="91">
        <f>'Model (SC)'!Q60-'Model (Matrix)'!Q60</f>
        <v>0</v>
      </c>
      <c r="R60" s="91">
        <f>'Model (SC)'!R60-'Model (Matrix)'!R60</f>
        <v>0</v>
      </c>
      <c r="S60" s="91">
        <f>'Model (SC)'!S60-'Model (Matrix)'!S60</f>
        <v>0</v>
      </c>
      <c r="T60" s="91">
        <f>'Model (SC)'!T60-'Model (Matrix)'!T60</f>
        <v>0</v>
      </c>
      <c r="U60" s="91">
        <f>'Model (SC)'!U60-'Model (Matrix)'!U60</f>
        <v>0</v>
      </c>
      <c r="V60" s="91">
        <f>'Model (SC)'!V60-'Model (Matrix)'!V60</f>
        <v>0</v>
      </c>
    </row>
    <row r="61" spans="1:22" x14ac:dyDescent="0.25">
      <c r="A61" s="82"/>
      <c r="B61" s="63" t="s">
        <v>143</v>
      </c>
      <c r="C61" s="94">
        <f>'Model (SC)'!C61-'Model (Matrix)'!C61</f>
        <v>0</v>
      </c>
      <c r="D61" s="91">
        <f>'Model (SC)'!D61-'Model (Matrix)'!D61</f>
        <v>0</v>
      </c>
      <c r="E61" s="91">
        <f>'Model (SC)'!E61-'Model (Matrix)'!E61</f>
        <v>0</v>
      </c>
      <c r="F61" s="91">
        <f>'Model (SC)'!F61-'Model (Matrix)'!F61</f>
        <v>0</v>
      </c>
      <c r="G61" s="91">
        <f>'Model (SC)'!G61-'Model (Matrix)'!G61</f>
        <v>0</v>
      </c>
      <c r="H61" s="91">
        <f>'Model (SC)'!H61-'Model (Matrix)'!H61</f>
        <v>0</v>
      </c>
      <c r="I61" s="91">
        <f>'Model (SC)'!I61-'Model (Matrix)'!I61</f>
        <v>0</v>
      </c>
      <c r="J61" s="91">
        <f>'Model (SC)'!J61-'Model (Matrix)'!J61</f>
        <v>0</v>
      </c>
      <c r="K61" s="91">
        <f>'Model (SC)'!K61-'Model (Matrix)'!K61</f>
        <v>0</v>
      </c>
      <c r="L61" s="91">
        <f>'Model (SC)'!L61-'Model (Matrix)'!L61</f>
        <v>0</v>
      </c>
      <c r="M61" s="91">
        <f>'Model (SC)'!M61-'Model (Matrix)'!M61</f>
        <v>0</v>
      </c>
      <c r="N61" s="91">
        <f>'Model (SC)'!N61-'Model (Matrix)'!N61</f>
        <v>0</v>
      </c>
      <c r="O61" s="91">
        <f>'Model (SC)'!O61-'Model (Matrix)'!O61</f>
        <v>0</v>
      </c>
      <c r="P61" s="91">
        <f>'Model (SC)'!P61-'Model (Matrix)'!P61</f>
        <v>0</v>
      </c>
      <c r="Q61" s="91">
        <f>'Model (SC)'!Q61-'Model (Matrix)'!Q61</f>
        <v>0</v>
      </c>
      <c r="R61" s="91">
        <f>'Model (SC)'!R61-'Model (Matrix)'!R61</f>
        <v>0</v>
      </c>
      <c r="S61" s="91">
        <f>'Model (SC)'!S61-'Model (Matrix)'!S61</f>
        <v>0</v>
      </c>
      <c r="T61" s="91">
        <f>'Model (SC)'!T61-'Model (Matrix)'!T61</f>
        <v>0</v>
      </c>
      <c r="U61" s="91">
        <f>'Model (SC)'!U61-'Model (Matrix)'!U61</f>
        <v>0</v>
      </c>
      <c r="V61" s="91">
        <f>'Model (SC)'!V61-'Model (Matrix)'!V61</f>
        <v>0</v>
      </c>
    </row>
    <row r="62" spans="1:22" x14ac:dyDescent="0.25">
      <c r="A62" s="82"/>
      <c r="B62" s="63" t="s">
        <v>735</v>
      </c>
      <c r="C62" s="94">
        <f>'Model (SC)'!C62-'Model (Matrix)'!C62</f>
        <v>0</v>
      </c>
      <c r="D62" s="91">
        <f>'Model (SC)'!D62-'Model (Matrix)'!D62</f>
        <v>0</v>
      </c>
      <c r="E62" s="91">
        <f>'Model (SC)'!E62-'Model (Matrix)'!E62</f>
        <v>0</v>
      </c>
      <c r="F62" s="91">
        <f>'Model (SC)'!F62-'Model (Matrix)'!F62</f>
        <v>0</v>
      </c>
      <c r="G62" s="91">
        <f>'Model (SC)'!G62-'Model (Matrix)'!G62</f>
        <v>0</v>
      </c>
      <c r="H62" s="91">
        <f>'Model (SC)'!H62-'Model (Matrix)'!H62</f>
        <v>0</v>
      </c>
      <c r="I62" s="91">
        <f>'Model (SC)'!I62-'Model (Matrix)'!I62</f>
        <v>0</v>
      </c>
      <c r="J62" s="91">
        <f>'Model (SC)'!J62-'Model (Matrix)'!J62</f>
        <v>0</v>
      </c>
      <c r="K62" s="91">
        <f>'Model (SC)'!K62-'Model (Matrix)'!K62</f>
        <v>0</v>
      </c>
      <c r="L62" s="91">
        <f>'Model (SC)'!L62-'Model (Matrix)'!L62</f>
        <v>0</v>
      </c>
      <c r="M62" s="91">
        <f>'Model (SC)'!M62-'Model (Matrix)'!M62</f>
        <v>0</v>
      </c>
      <c r="N62" s="91">
        <f>'Model (SC)'!N62-'Model (Matrix)'!N62</f>
        <v>0</v>
      </c>
      <c r="O62" s="91">
        <f>'Model (SC)'!O62-'Model (Matrix)'!O62</f>
        <v>0</v>
      </c>
      <c r="P62" s="91">
        <f>'Model (SC)'!P62-'Model (Matrix)'!P62</f>
        <v>0</v>
      </c>
      <c r="Q62" s="91">
        <f>'Model (SC)'!Q62-'Model (Matrix)'!Q62</f>
        <v>0</v>
      </c>
      <c r="R62" s="91">
        <f>'Model (SC)'!R62-'Model (Matrix)'!R62</f>
        <v>0</v>
      </c>
      <c r="S62" s="91">
        <f>'Model (SC)'!S62-'Model (Matrix)'!S62</f>
        <v>0</v>
      </c>
      <c r="T62" s="91">
        <f>'Model (SC)'!T62-'Model (Matrix)'!T62</f>
        <v>0</v>
      </c>
      <c r="U62" s="91">
        <f>'Model (SC)'!U62-'Model (Matrix)'!U62</f>
        <v>0</v>
      </c>
      <c r="V62" s="91">
        <f>'Model (SC)'!V62-'Model (Matrix)'!V62</f>
        <v>0</v>
      </c>
    </row>
    <row r="63" spans="1:22" x14ac:dyDescent="0.25">
      <c r="A63" s="82"/>
      <c r="B63" s="63" t="s">
        <v>736</v>
      </c>
      <c r="C63" s="94">
        <f>'Model (SC)'!C63-'Model (Matrix)'!C63</f>
        <v>0</v>
      </c>
      <c r="D63" s="91">
        <f>'Model (SC)'!D63-'Model (Matrix)'!D63</f>
        <v>0</v>
      </c>
      <c r="E63" s="91">
        <f>'Model (SC)'!E63-'Model (Matrix)'!E63</f>
        <v>0</v>
      </c>
      <c r="F63" s="91">
        <f>'Model (SC)'!F63-'Model (Matrix)'!F63</f>
        <v>0</v>
      </c>
      <c r="G63" s="91">
        <f>'Model (SC)'!G63-'Model (Matrix)'!G63</f>
        <v>0</v>
      </c>
      <c r="H63" s="91">
        <f>'Model (SC)'!H63-'Model (Matrix)'!H63</f>
        <v>0</v>
      </c>
      <c r="I63" s="91">
        <f>'Model (SC)'!I63-'Model (Matrix)'!I63</f>
        <v>0</v>
      </c>
      <c r="J63" s="91">
        <f>'Model (SC)'!J63-'Model (Matrix)'!J63</f>
        <v>0</v>
      </c>
      <c r="K63" s="91">
        <f>'Model (SC)'!K63-'Model (Matrix)'!K63</f>
        <v>0</v>
      </c>
      <c r="L63" s="91">
        <f>'Model (SC)'!L63-'Model (Matrix)'!L63</f>
        <v>0</v>
      </c>
      <c r="M63" s="91">
        <f>'Model (SC)'!M63-'Model (Matrix)'!M63</f>
        <v>0</v>
      </c>
      <c r="N63" s="91">
        <f>'Model (SC)'!N63-'Model (Matrix)'!N63</f>
        <v>0</v>
      </c>
      <c r="O63" s="91">
        <f>'Model (SC)'!O63-'Model (Matrix)'!O63</f>
        <v>0</v>
      </c>
      <c r="P63" s="91">
        <f>'Model (SC)'!P63-'Model (Matrix)'!P63</f>
        <v>0</v>
      </c>
      <c r="Q63" s="91">
        <f>'Model (SC)'!Q63-'Model (Matrix)'!Q63</f>
        <v>0</v>
      </c>
      <c r="R63" s="91">
        <f>'Model (SC)'!R63-'Model (Matrix)'!R63</f>
        <v>0</v>
      </c>
      <c r="S63" s="91">
        <f>'Model (SC)'!S63-'Model (Matrix)'!S63</f>
        <v>0</v>
      </c>
      <c r="T63" s="91">
        <f>'Model (SC)'!T63-'Model (Matrix)'!T63</f>
        <v>0</v>
      </c>
      <c r="U63" s="91">
        <f>'Model (SC)'!U63-'Model (Matrix)'!U63</f>
        <v>0</v>
      </c>
      <c r="V63" s="91">
        <f>'Model (SC)'!V63-'Model (Matrix)'!V63</f>
        <v>0</v>
      </c>
    </row>
    <row r="64" spans="1:22" x14ac:dyDescent="0.25">
      <c r="A64" s="82"/>
      <c r="B64" s="63" t="s">
        <v>154</v>
      </c>
      <c r="C64" s="94">
        <f>'Model (SC)'!C64-'Model (Matrix)'!C64</f>
        <v>0</v>
      </c>
      <c r="D64" s="91">
        <f>'Model (SC)'!D64-'Model (Matrix)'!D64</f>
        <v>0</v>
      </c>
      <c r="E64" s="91">
        <f>'Model (SC)'!E64-'Model (Matrix)'!E64</f>
        <v>0</v>
      </c>
      <c r="F64" s="91">
        <f>'Model (SC)'!F64-'Model (Matrix)'!F64</f>
        <v>0</v>
      </c>
      <c r="G64" s="91">
        <f>'Model (SC)'!G64-'Model (Matrix)'!G64</f>
        <v>0</v>
      </c>
      <c r="H64" s="91">
        <f>'Model (SC)'!H64-'Model (Matrix)'!H64</f>
        <v>0</v>
      </c>
      <c r="I64" s="91">
        <f>'Model (SC)'!I64-'Model (Matrix)'!I64</f>
        <v>0</v>
      </c>
      <c r="J64" s="91">
        <f>'Model (SC)'!J64-'Model (Matrix)'!J64</f>
        <v>0</v>
      </c>
      <c r="K64" s="91">
        <f>'Model (SC)'!K64-'Model (Matrix)'!K64</f>
        <v>0</v>
      </c>
      <c r="L64" s="91">
        <f>'Model (SC)'!L64-'Model (Matrix)'!L64</f>
        <v>0</v>
      </c>
      <c r="M64" s="91">
        <f>'Model (SC)'!M64-'Model (Matrix)'!M64</f>
        <v>0</v>
      </c>
      <c r="N64" s="91">
        <f>'Model (SC)'!N64-'Model (Matrix)'!N64</f>
        <v>0</v>
      </c>
      <c r="O64" s="91">
        <f>'Model (SC)'!O64-'Model (Matrix)'!O64</f>
        <v>0</v>
      </c>
      <c r="P64" s="91">
        <f>'Model (SC)'!P64-'Model (Matrix)'!P64</f>
        <v>0</v>
      </c>
      <c r="Q64" s="91">
        <f>'Model (SC)'!Q64-'Model (Matrix)'!Q64</f>
        <v>0</v>
      </c>
      <c r="R64" s="91">
        <f>'Model (SC)'!R64-'Model (Matrix)'!R64</f>
        <v>0</v>
      </c>
      <c r="S64" s="91">
        <f>'Model (SC)'!S64-'Model (Matrix)'!S64</f>
        <v>0</v>
      </c>
      <c r="T64" s="91">
        <f>'Model (SC)'!T64-'Model (Matrix)'!T64</f>
        <v>0</v>
      </c>
      <c r="U64" s="91">
        <f>'Model (SC)'!U64-'Model (Matrix)'!U64</f>
        <v>0</v>
      </c>
      <c r="V64" s="91">
        <f>'Model (SC)'!V64-'Model (Matrix)'!V64</f>
        <v>0</v>
      </c>
    </row>
    <row r="65" spans="1:22" x14ac:dyDescent="0.25">
      <c r="A65" s="82"/>
      <c r="B65" s="63" t="s">
        <v>155</v>
      </c>
      <c r="C65" s="94">
        <f>'Model (SC)'!C65-'Model (Matrix)'!C65</f>
        <v>0</v>
      </c>
      <c r="D65" s="91">
        <f>'Model (SC)'!D65-'Model (Matrix)'!D65</f>
        <v>0</v>
      </c>
      <c r="E65" s="91">
        <f>'Model (SC)'!E65-'Model (Matrix)'!E65</f>
        <v>0</v>
      </c>
      <c r="F65" s="91">
        <f>'Model (SC)'!F65-'Model (Matrix)'!F65</f>
        <v>0</v>
      </c>
      <c r="G65" s="91">
        <f>'Model (SC)'!G65-'Model (Matrix)'!G65</f>
        <v>0</v>
      </c>
      <c r="H65" s="91">
        <f>'Model (SC)'!H65-'Model (Matrix)'!H65</f>
        <v>0</v>
      </c>
      <c r="I65" s="91">
        <f>'Model (SC)'!I65-'Model (Matrix)'!I65</f>
        <v>0</v>
      </c>
      <c r="J65" s="201">
        <f>'Model (SC)'!J65-'Model (Matrix)'!J65</f>
        <v>0</v>
      </c>
      <c r="K65" s="91">
        <f>'Model (SC)'!K65-'Model (Matrix)'!K65</f>
        <v>0</v>
      </c>
      <c r="L65" s="91">
        <f>'Model (SC)'!L65-'Model (Matrix)'!L65</f>
        <v>0</v>
      </c>
      <c r="M65" s="91">
        <f>'Model (SC)'!M65-'Model (Matrix)'!M65</f>
        <v>0</v>
      </c>
      <c r="N65" s="91">
        <f>'Model (SC)'!N65-'Model (Matrix)'!N65</f>
        <v>0</v>
      </c>
      <c r="O65" s="91">
        <f>'Model (SC)'!O65-'Model (Matrix)'!O65</f>
        <v>0</v>
      </c>
      <c r="P65" s="91">
        <f>'Model (SC)'!P65-'Model (Matrix)'!P65</f>
        <v>0</v>
      </c>
      <c r="Q65" s="91">
        <f>'Model (SC)'!Q65-'Model (Matrix)'!Q65</f>
        <v>0</v>
      </c>
      <c r="R65" s="91">
        <f>'Model (SC)'!R65-'Model (Matrix)'!R65</f>
        <v>0</v>
      </c>
      <c r="S65" s="91">
        <f>'Model (SC)'!S65-'Model (Matrix)'!S65</f>
        <v>0</v>
      </c>
      <c r="T65" s="91">
        <f>'Model (SC)'!T65-'Model (Matrix)'!T65</f>
        <v>0</v>
      </c>
      <c r="U65" s="91">
        <f>'Model (SC)'!U65-'Model (Matrix)'!U65</f>
        <v>0</v>
      </c>
      <c r="V65" s="91">
        <f>'Model (SC)'!V65-'Model (Matrix)'!V65</f>
        <v>0</v>
      </c>
    </row>
    <row r="66" spans="1:22" x14ac:dyDescent="0.25">
      <c r="A66" s="82"/>
      <c r="B66" s="63" t="s">
        <v>737</v>
      </c>
      <c r="C66" s="94">
        <f>'Model (SC)'!C66-'Model (Matrix)'!C66</f>
        <v>0</v>
      </c>
      <c r="D66" s="91">
        <f>'Model (SC)'!D66-'Model (Matrix)'!D66</f>
        <v>0</v>
      </c>
      <c r="E66" s="91">
        <f>'Model (SC)'!E66-'Model (Matrix)'!E66</f>
        <v>0</v>
      </c>
      <c r="F66" s="91">
        <f>'Model (SC)'!F66-'Model (Matrix)'!F66</f>
        <v>0</v>
      </c>
      <c r="G66" s="91">
        <f>'Model (SC)'!G66-'Model (Matrix)'!G66</f>
        <v>0</v>
      </c>
      <c r="H66" s="91">
        <f>'Model (SC)'!H66-'Model (Matrix)'!H66</f>
        <v>0</v>
      </c>
      <c r="I66" s="91">
        <f>'Model (SC)'!I66-'Model (Matrix)'!I66</f>
        <v>0</v>
      </c>
      <c r="J66" s="91">
        <f>'Model (SC)'!J66-'Model (Matrix)'!J66</f>
        <v>0</v>
      </c>
      <c r="K66" s="91">
        <f>'Model (SC)'!K66-'Model (Matrix)'!K66</f>
        <v>0</v>
      </c>
      <c r="L66" s="91">
        <f>'Model (SC)'!L66-'Model (Matrix)'!L66</f>
        <v>0</v>
      </c>
      <c r="M66" s="91">
        <f>'Model (SC)'!M66-'Model (Matrix)'!M66</f>
        <v>0</v>
      </c>
      <c r="N66" s="91">
        <f>'Model (SC)'!N66-'Model (Matrix)'!N66</f>
        <v>0</v>
      </c>
      <c r="O66" s="91">
        <f>'Model (SC)'!O66-'Model (Matrix)'!O66</f>
        <v>0</v>
      </c>
      <c r="P66" s="91">
        <f>'Model (SC)'!P66-'Model (Matrix)'!P66</f>
        <v>0</v>
      </c>
      <c r="Q66" s="91">
        <f>'Model (SC)'!Q66-'Model (Matrix)'!Q66</f>
        <v>0</v>
      </c>
      <c r="R66" s="91">
        <f>'Model (SC)'!R66-'Model (Matrix)'!R66</f>
        <v>0</v>
      </c>
      <c r="S66" s="91">
        <f>'Model (SC)'!S66-'Model (Matrix)'!S66</f>
        <v>0</v>
      </c>
      <c r="T66" s="91">
        <f>'Model (SC)'!T66-'Model (Matrix)'!T66</f>
        <v>0</v>
      </c>
      <c r="U66" s="91">
        <f>'Model (SC)'!U66-'Model (Matrix)'!U66</f>
        <v>0</v>
      </c>
      <c r="V66" s="91">
        <f>'Model (SC)'!V66-'Model (Matrix)'!V66</f>
        <v>0</v>
      </c>
    </row>
    <row r="67" spans="1:22" x14ac:dyDescent="0.25">
      <c r="A67" s="82"/>
      <c r="B67" s="63" t="s">
        <v>145</v>
      </c>
      <c r="C67" s="94">
        <f>'Model (SC)'!C67-'Model (Matrix)'!C67</f>
        <v>0</v>
      </c>
      <c r="D67" s="91">
        <f>'Model (SC)'!D67-'Model (Matrix)'!D67</f>
        <v>0</v>
      </c>
      <c r="E67" s="91">
        <f>'Model (SC)'!E67-'Model (Matrix)'!E67</f>
        <v>0</v>
      </c>
      <c r="F67" s="91">
        <f>'Model (SC)'!F67-'Model (Matrix)'!F67</f>
        <v>0</v>
      </c>
      <c r="G67" s="91">
        <f>'Model (SC)'!G67-'Model (Matrix)'!G67</f>
        <v>0</v>
      </c>
      <c r="H67" s="91">
        <f>'Model (SC)'!H67-'Model (Matrix)'!H67</f>
        <v>0</v>
      </c>
      <c r="I67" s="91">
        <f>'Model (SC)'!I67-'Model (Matrix)'!I67</f>
        <v>0</v>
      </c>
      <c r="J67" s="91">
        <f>'Model (SC)'!J67-'Model (Matrix)'!J67</f>
        <v>0</v>
      </c>
      <c r="K67" s="91">
        <f>'Model (SC)'!K67-'Model (Matrix)'!K67</f>
        <v>0</v>
      </c>
      <c r="L67" s="91">
        <f>'Model (SC)'!L67-'Model (Matrix)'!L67</f>
        <v>0</v>
      </c>
      <c r="M67" s="91">
        <f>'Model (SC)'!M67-'Model (Matrix)'!M67</f>
        <v>0</v>
      </c>
      <c r="N67" s="91">
        <f>'Model (SC)'!N67-'Model (Matrix)'!N67</f>
        <v>0</v>
      </c>
      <c r="O67" s="91">
        <f>'Model (SC)'!O67-'Model (Matrix)'!O67</f>
        <v>0</v>
      </c>
      <c r="P67" s="91">
        <f>'Model (SC)'!P67-'Model (Matrix)'!P67</f>
        <v>0</v>
      </c>
      <c r="Q67" s="91">
        <f>'Model (SC)'!Q67-'Model (Matrix)'!Q67</f>
        <v>0</v>
      </c>
      <c r="R67" s="91">
        <f>'Model (SC)'!R67-'Model (Matrix)'!R67</f>
        <v>0</v>
      </c>
      <c r="S67" s="91">
        <f>'Model (SC)'!S67-'Model (Matrix)'!S67</f>
        <v>0</v>
      </c>
      <c r="T67" s="91">
        <f>'Model (SC)'!T67-'Model (Matrix)'!T67</f>
        <v>0</v>
      </c>
      <c r="U67" s="91">
        <f>'Model (SC)'!U67-'Model (Matrix)'!U67</f>
        <v>0</v>
      </c>
      <c r="V67" s="91">
        <f>'Model (SC)'!V67-'Model (Matrix)'!V67</f>
        <v>0</v>
      </c>
    </row>
    <row r="68" spans="1:22" x14ac:dyDescent="0.25">
      <c r="A68" s="82"/>
      <c r="B68" s="63" t="s">
        <v>738</v>
      </c>
      <c r="C68" s="94">
        <f>'Model (SC)'!C68-'Model (Matrix)'!C68</f>
        <v>0</v>
      </c>
      <c r="D68" s="91">
        <f>'Model (SC)'!D68-'Model (Matrix)'!D68</f>
        <v>0</v>
      </c>
      <c r="E68" s="91">
        <f>'Model (SC)'!E68-'Model (Matrix)'!E68</f>
        <v>0</v>
      </c>
      <c r="F68" s="91">
        <f>'Model (SC)'!F68-'Model (Matrix)'!F68</f>
        <v>0</v>
      </c>
      <c r="G68" s="91">
        <f>'Model (SC)'!G68-'Model (Matrix)'!G68</f>
        <v>0</v>
      </c>
      <c r="H68" s="91">
        <f>'Model (SC)'!H68-'Model (Matrix)'!H68</f>
        <v>0</v>
      </c>
      <c r="I68" s="91">
        <f>'Model (SC)'!I68-'Model (Matrix)'!I68</f>
        <v>0</v>
      </c>
      <c r="J68" s="91">
        <f>'Model (SC)'!J68-'Model (Matrix)'!J68</f>
        <v>0</v>
      </c>
      <c r="K68" s="91">
        <f>'Model (SC)'!K68-'Model (Matrix)'!K68</f>
        <v>0</v>
      </c>
      <c r="L68" s="91">
        <f>'Model (SC)'!L68-'Model (Matrix)'!L68</f>
        <v>0</v>
      </c>
      <c r="M68" s="91">
        <f>'Model (SC)'!M68-'Model (Matrix)'!M68</f>
        <v>0</v>
      </c>
      <c r="N68" s="91">
        <f>'Model (SC)'!N68-'Model (Matrix)'!N68</f>
        <v>0</v>
      </c>
      <c r="O68" s="91">
        <f>'Model (SC)'!O68-'Model (Matrix)'!O68</f>
        <v>0</v>
      </c>
      <c r="P68" s="91">
        <f>'Model (SC)'!P68-'Model (Matrix)'!P68</f>
        <v>0</v>
      </c>
      <c r="Q68" s="91">
        <f>'Model (SC)'!Q68-'Model (Matrix)'!Q68</f>
        <v>0</v>
      </c>
      <c r="R68" s="91">
        <f>'Model (SC)'!R68-'Model (Matrix)'!R68</f>
        <v>0</v>
      </c>
      <c r="S68" s="91">
        <f>'Model (SC)'!S68-'Model (Matrix)'!S68</f>
        <v>0</v>
      </c>
      <c r="T68" s="91">
        <f>'Model (SC)'!T68-'Model (Matrix)'!T68</f>
        <v>0</v>
      </c>
      <c r="U68" s="91">
        <f>'Model (SC)'!U68-'Model (Matrix)'!U68</f>
        <v>0</v>
      </c>
      <c r="V68" s="91">
        <f>'Model (SC)'!V68-'Model (Matrix)'!V68</f>
        <v>0</v>
      </c>
    </row>
    <row r="69" spans="1:22" x14ac:dyDescent="0.25">
      <c r="A69" s="82"/>
      <c r="B69" s="64" t="s">
        <v>146</v>
      </c>
      <c r="C69" s="94">
        <f>'Model (SC)'!C69-'Model (Matrix)'!C69</f>
        <v>0</v>
      </c>
      <c r="D69" s="91">
        <f>'Model (SC)'!D69-'Model (Matrix)'!D69</f>
        <v>0</v>
      </c>
      <c r="E69" s="91">
        <f>'Model (SC)'!E69-'Model (Matrix)'!E69</f>
        <v>0</v>
      </c>
      <c r="F69" s="91">
        <f>'Model (SC)'!F69-'Model (Matrix)'!F69</f>
        <v>0</v>
      </c>
      <c r="G69" s="91">
        <f>'Model (SC)'!G69-'Model (Matrix)'!G69</f>
        <v>0</v>
      </c>
      <c r="H69" s="91">
        <f>'Model (SC)'!H69-'Model (Matrix)'!H69</f>
        <v>0</v>
      </c>
      <c r="I69" s="91">
        <f>'Model (SC)'!I69-'Model (Matrix)'!I69</f>
        <v>0</v>
      </c>
      <c r="J69" s="91">
        <f>'Model (SC)'!J69-'Model (Matrix)'!J69</f>
        <v>0</v>
      </c>
      <c r="K69" s="91">
        <f>'Model (SC)'!K69-'Model (Matrix)'!K69</f>
        <v>0</v>
      </c>
      <c r="L69" s="91">
        <f>'Model (SC)'!L69-'Model (Matrix)'!L69</f>
        <v>0</v>
      </c>
      <c r="M69" s="91">
        <f>'Model (SC)'!M69-'Model (Matrix)'!M69</f>
        <v>0</v>
      </c>
      <c r="N69" s="91">
        <f>'Model (SC)'!N69-'Model (Matrix)'!N69</f>
        <v>0</v>
      </c>
      <c r="O69" s="91">
        <f>'Model (SC)'!O69-'Model (Matrix)'!O69</f>
        <v>0</v>
      </c>
      <c r="P69" s="91">
        <f>'Model (SC)'!P69-'Model (Matrix)'!P69</f>
        <v>0</v>
      </c>
      <c r="Q69" s="91">
        <f>'Model (SC)'!Q69-'Model (Matrix)'!Q69</f>
        <v>0</v>
      </c>
      <c r="R69" s="91">
        <f>'Model (SC)'!R69-'Model (Matrix)'!R69</f>
        <v>0</v>
      </c>
      <c r="S69" s="91">
        <f>'Model (SC)'!S69-'Model (Matrix)'!S69</f>
        <v>0</v>
      </c>
      <c r="T69" s="91">
        <f>'Model (SC)'!T69-'Model (Matrix)'!T69</f>
        <v>0</v>
      </c>
      <c r="U69" s="91">
        <f>'Model (SC)'!U69-'Model (Matrix)'!U69</f>
        <v>0</v>
      </c>
      <c r="V69" s="91">
        <f>'Model (SC)'!V69-'Model (Matrix)'!V69</f>
        <v>0</v>
      </c>
    </row>
    <row r="70" spans="1:22" x14ac:dyDescent="0.25">
      <c r="A70" s="82"/>
      <c r="B70" s="98" t="s">
        <v>131</v>
      </c>
      <c r="C70" s="94">
        <f>'Model (SC)'!C70-'Model (Matrix)'!C70</f>
        <v>0</v>
      </c>
      <c r="D70" s="91">
        <f>'Model (SC)'!D70-'Model (Matrix)'!D70</f>
        <v>0</v>
      </c>
      <c r="E70" s="91">
        <f>'Model (SC)'!E70-'Model (Matrix)'!E70</f>
        <v>0</v>
      </c>
      <c r="F70" s="91">
        <f>'Model (SC)'!F70-'Model (Matrix)'!F70</f>
        <v>0</v>
      </c>
      <c r="G70" s="91">
        <f>'Model (SC)'!G70-'Model (Matrix)'!G70</f>
        <v>0</v>
      </c>
      <c r="H70" s="100">
        <f>'Model (SC)'!H70-'Model (Matrix)'!H70</f>
        <v>0</v>
      </c>
      <c r="I70" s="100">
        <f>'Model (SC)'!I70-'Model (Matrix)'!I70</f>
        <v>0</v>
      </c>
      <c r="J70" s="91">
        <f>'Model (SC)'!J70-'Model (Matrix)'!J70</f>
        <v>0</v>
      </c>
      <c r="K70" s="91">
        <f>'Model (SC)'!K70-'Model (Matrix)'!K70</f>
        <v>0</v>
      </c>
      <c r="L70" s="100">
        <f>'Model (SC)'!L70-'Model (Matrix)'!L70</f>
        <v>0</v>
      </c>
      <c r="M70" s="100">
        <f>'Model (SC)'!M70-'Model (Matrix)'!M70</f>
        <v>0</v>
      </c>
      <c r="N70" s="100">
        <f>'Model (SC)'!N70-'Model (Matrix)'!N70</f>
        <v>0</v>
      </c>
      <c r="O70" s="100">
        <f>'Model (SC)'!O70-'Model (Matrix)'!O70</f>
        <v>0</v>
      </c>
      <c r="P70" s="100">
        <f>'Model (SC)'!P70-'Model (Matrix)'!P70</f>
        <v>0</v>
      </c>
      <c r="Q70" s="100">
        <f>'Model (SC)'!Q70-'Model (Matrix)'!Q70</f>
        <v>0</v>
      </c>
      <c r="R70" s="100">
        <f>'Model (SC)'!R70-'Model (Matrix)'!R70</f>
        <v>0</v>
      </c>
      <c r="S70" s="100">
        <f>'Model (SC)'!S70-'Model (Matrix)'!S70</f>
        <v>0</v>
      </c>
      <c r="T70" s="100">
        <f>'Model (SC)'!T70-'Model (Matrix)'!T70</f>
        <v>0</v>
      </c>
      <c r="U70" s="100">
        <f>'Model (SC)'!U70-'Model (Matrix)'!U70</f>
        <v>0</v>
      </c>
      <c r="V70" s="100">
        <f>'Model (SC)'!V70-'Model (Matrix)'!V70</f>
        <v>0</v>
      </c>
    </row>
    <row r="71" spans="1:22" s="88" customFormat="1" x14ac:dyDescent="0.25">
      <c r="A71" s="89"/>
      <c r="C71" s="319"/>
      <c r="D71" s="103"/>
      <c r="E71" s="104"/>
      <c r="F71" s="104"/>
      <c r="G71" s="104"/>
      <c r="H71" s="176"/>
      <c r="I71" s="176"/>
      <c r="J71" s="104"/>
      <c r="K71" s="104"/>
      <c r="L71" s="176"/>
      <c r="M71" s="176"/>
      <c r="N71" s="176"/>
      <c r="O71" s="176"/>
      <c r="P71" s="176"/>
      <c r="Q71" s="176"/>
      <c r="R71" s="176"/>
      <c r="S71" s="176"/>
      <c r="T71" s="64"/>
      <c r="U71" s="64"/>
      <c r="V71" s="64"/>
    </row>
    <row r="72" spans="1:22" x14ac:dyDescent="0.25">
      <c r="C72" s="24"/>
    </row>
    <row r="73" spans="1:22" x14ac:dyDescent="0.25">
      <c r="C73" s="24"/>
    </row>
    <row r="74" spans="1:22" x14ac:dyDescent="0.25">
      <c r="C74" s="24"/>
    </row>
    <row r="75" spans="1:22" x14ac:dyDescent="0.25">
      <c r="C75" s="24"/>
    </row>
    <row r="76" spans="1:22" x14ac:dyDescent="0.25">
      <c r="C76" s="24"/>
    </row>
    <row r="77" spans="1:22" x14ac:dyDescent="0.25">
      <c r="C77" s="24"/>
    </row>
    <row r="78" spans="1:22" x14ac:dyDescent="0.25">
      <c r="C78" s="24"/>
    </row>
    <row r="79" spans="1:22" x14ac:dyDescent="0.25">
      <c r="C79" s="24"/>
    </row>
  </sheetData>
  <printOptions horizontalCentered="1"/>
  <pageMargins left="0.5" right="0.5" top="0.75" bottom="0.75" header="0.3" footer="0.3"/>
  <pageSetup scale="77"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D4"/>
  <sheetViews>
    <sheetView workbookViewId="0">
      <selection activeCell="H10" sqref="H10"/>
    </sheetView>
  </sheetViews>
  <sheetFormatPr defaultRowHeight="15" x14ac:dyDescent="0.25"/>
  <cols>
    <col min="1" max="1" width="11.28515625" style="334" customWidth="1"/>
    <col min="2" max="2" width="13.140625" style="334" customWidth="1"/>
    <col min="3" max="3" width="18.85546875" style="334" customWidth="1"/>
    <col min="4" max="4" width="14.85546875" style="334" customWidth="1"/>
  </cols>
  <sheetData>
    <row r="1" spans="1:4" ht="45" x14ac:dyDescent="0.25">
      <c r="A1" s="332" t="s">
        <v>346</v>
      </c>
      <c r="B1" s="333" t="s">
        <v>965</v>
      </c>
      <c r="C1" s="331" t="s">
        <v>966</v>
      </c>
      <c r="D1" s="333" t="s">
        <v>960</v>
      </c>
    </row>
    <row r="2" spans="1:4" s="337" customFormat="1" x14ac:dyDescent="0.25">
      <c r="A2" s="335" t="s">
        <v>943</v>
      </c>
      <c r="B2" s="335" t="s">
        <v>959</v>
      </c>
      <c r="C2" s="336" t="s">
        <v>961</v>
      </c>
      <c r="D2" s="335">
        <v>10</v>
      </c>
    </row>
    <row r="3" spans="1:4" s="337" customFormat="1" x14ac:dyDescent="0.25">
      <c r="A3" s="335"/>
      <c r="B3" s="335"/>
      <c r="C3" s="335"/>
      <c r="D3" s="335"/>
    </row>
    <row r="4" spans="1:4" x14ac:dyDescent="0.25">
      <c r="A4" s="338" t="s">
        <v>964</v>
      </c>
      <c r="D4" s="334">
        <f>COUNTIF(B2,"&lt;&gt;")</f>
        <v>1</v>
      </c>
    </row>
  </sheetData>
  <sheetProtection algorithmName="SHA-512" hashValue="1ux/zRa+cxXWo5Bacw7Slq5NIaXtqx8uU24qknbfOP5K0l/0Yog4H8xk8z5jKhs5maUJDm+7eGeBRIQxgG5aLQ==" saltValue="5V3sSj71TarWIxZVSAlkPw=="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Z84"/>
  <sheetViews>
    <sheetView zoomScaleNormal="100" workbookViewId="0">
      <pane xSplit="2" ySplit="4" topLeftCell="C25" activePane="bottomRight" state="frozen"/>
      <selection pane="topRight" activeCell="C1" sqref="C1"/>
      <selection pane="bottomLeft" activeCell="A5" sqref="A5"/>
      <selection pane="bottomRight" activeCell="L42" sqref="L42"/>
    </sheetView>
  </sheetViews>
  <sheetFormatPr defaultColWidth="9.140625" defaultRowHeight="15" x14ac:dyDescent="0.25"/>
  <cols>
    <col min="1" max="1" width="2.7109375" style="127" customWidth="1"/>
    <col min="2" max="2" width="37.5703125" style="127" customWidth="1"/>
    <col min="3" max="3" width="10.42578125" style="203" customWidth="1"/>
    <col min="4" max="4" width="10.42578125" style="127" customWidth="1"/>
    <col min="5" max="7" width="12.140625" style="127" bestFit="1" customWidth="1"/>
    <col min="8" max="8" width="12.140625" style="64" bestFit="1" customWidth="1"/>
    <col min="9" max="9" width="12" style="127" customWidth="1"/>
    <col min="10" max="11" width="10.42578125" style="127" customWidth="1"/>
    <col min="12" max="13" width="10.42578125" style="64" customWidth="1"/>
    <col min="14" max="16" width="11.5703125" style="127" customWidth="1"/>
    <col min="17" max="17" width="11.5703125" style="64" customWidth="1"/>
    <col min="18" max="18" width="11.5703125" style="127" customWidth="1"/>
    <col min="19" max="19" width="10.42578125" style="127" customWidth="1"/>
    <col min="20" max="16384" width="9.140625" style="127"/>
  </cols>
  <sheetData>
    <row r="1" spans="1:22" s="5" customFormat="1" x14ac:dyDescent="0.25">
      <c r="A1" s="74" t="s">
        <v>104</v>
      </c>
      <c r="B1" s="75"/>
      <c r="C1" s="76"/>
      <c r="D1" s="75"/>
      <c r="E1" s="75"/>
      <c r="F1" s="75"/>
      <c r="G1" s="75"/>
      <c r="H1" s="75"/>
      <c r="I1" s="75"/>
      <c r="J1" s="75"/>
      <c r="K1" s="75"/>
      <c r="L1" s="75"/>
      <c r="M1" s="75"/>
      <c r="N1" s="75"/>
      <c r="O1" s="75"/>
      <c r="P1" s="75"/>
      <c r="Q1" s="75"/>
      <c r="R1" s="77"/>
      <c r="S1" s="77"/>
    </row>
    <row r="2" spans="1:22" s="13" customFormat="1" x14ac:dyDescent="0.25">
      <c r="A2" s="78"/>
      <c r="B2" s="63"/>
      <c r="C2" s="352" t="s">
        <v>105</v>
      </c>
      <c r="D2" s="353"/>
      <c r="E2" s="353"/>
      <c r="F2" s="353"/>
      <c r="G2" s="353"/>
      <c r="H2" s="353"/>
      <c r="I2" s="353"/>
      <c r="J2" s="353"/>
      <c r="K2" s="353"/>
      <c r="L2" s="354" t="s">
        <v>106</v>
      </c>
      <c r="M2" s="355"/>
      <c r="N2" s="355"/>
      <c r="O2" s="355"/>
      <c r="P2" s="355"/>
      <c r="Q2" s="355"/>
      <c r="R2" s="355"/>
      <c r="S2" s="355"/>
      <c r="T2" s="355"/>
      <c r="U2" s="355"/>
      <c r="V2" s="355"/>
    </row>
    <row r="3" spans="1:22" s="13" customFormat="1" x14ac:dyDescent="0.25">
      <c r="A3" s="78"/>
      <c r="B3" s="63"/>
      <c r="C3" s="79">
        <v>2004</v>
      </c>
      <c r="D3" s="80">
        <v>2005</v>
      </c>
      <c r="E3" s="80">
        <v>2006</v>
      </c>
      <c r="F3" s="80">
        <v>2007</v>
      </c>
      <c r="G3" s="80">
        <v>2008</v>
      </c>
      <c r="H3" s="80">
        <v>2009</v>
      </c>
      <c r="I3" s="80">
        <v>2010</v>
      </c>
      <c r="J3" s="80">
        <v>2011</v>
      </c>
      <c r="K3" s="80">
        <v>2012</v>
      </c>
      <c r="L3" s="80">
        <v>2013</v>
      </c>
      <c r="M3" s="80">
        <v>2014</v>
      </c>
      <c r="N3" s="80">
        <v>2015</v>
      </c>
      <c r="O3" s="80">
        <v>2016</v>
      </c>
      <c r="P3" s="80">
        <v>2017</v>
      </c>
      <c r="Q3" s="80">
        <v>2018</v>
      </c>
      <c r="R3" s="80">
        <v>2019</v>
      </c>
      <c r="S3" s="80">
        <v>2020</v>
      </c>
      <c r="T3" s="80">
        <v>2021</v>
      </c>
      <c r="U3" s="80">
        <v>2022</v>
      </c>
      <c r="V3" s="80">
        <v>2023</v>
      </c>
    </row>
    <row r="4" spans="1:22" x14ac:dyDescent="0.25">
      <c r="A4" s="82"/>
      <c r="B4" s="64"/>
      <c r="C4" s="83" t="s">
        <v>107</v>
      </c>
      <c r="D4" s="84" t="s">
        <v>108</v>
      </c>
      <c r="E4" s="84" t="s">
        <v>109</v>
      </c>
      <c r="F4" s="84" t="s">
        <v>110</v>
      </c>
      <c r="G4" s="84" t="s">
        <v>111</v>
      </c>
      <c r="H4" s="84" t="s">
        <v>112</v>
      </c>
      <c r="I4" s="84" t="s">
        <v>113</v>
      </c>
      <c r="J4" s="84" t="s">
        <v>114</v>
      </c>
      <c r="K4" s="84" t="s">
        <v>115</v>
      </c>
      <c r="L4" s="84" t="s">
        <v>116</v>
      </c>
      <c r="M4" s="84" t="s">
        <v>117</v>
      </c>
      <c r="N4" s="84" t="s">
        <v>118</v>
      </c>
      <c r="O4" s="84" t="s">
        <v>119</v>
      </c>
      <c r="P4" s="84" t="s">
        <v>120</v>
      </c>
      <c r="Q4" s="84" t="s">
        <v>121</v>
      </c>
      <c r="R4" s="84" t="s">
        <v>122</v>
      </c>
      <c r="S4" s="84" t="s">
        <v>123</v>
      </c>
      <c r="T4" s="84" t="s">
        <v>450</v>
      </c>
      <c r="U4" s="84" t="s">
        <v>451</v>
      </c>
      <c r="V4" s="84" t="s">
        <v>452</v>
      </c>
    </row>
    <row r="5" spans="1:22" x14ac:dyDescent="0.25">
      <c r="A5" s="86" t="s">
        <v>313</v>
      </c>
      <c r="B5" s="64"/>
      <c r="C5" s="87"/>
      <c r="D5" s="88"/>
      <c r="E5" s="88"/>
      <c r="F5" s="88"/>
      <c r="G5" s="88"/>
      <c r="H5" s="88"/>
      <c r="I5" s="64"/>
      <c r="J5" s="88"/>
      <c r="K5" s="88"/>
      <c r="L5" s="88"/>
      <c r="M5" s="88"/>
      <c r="N5" s="64"/>
      <c r="O5" s="64"/>
      <c r="P5" s="88"/>
      <c r="Q5" s="88"/>
      <c r="R5" s="88"/>
      <c r="S5" s="88"/>
      <c r="T5" s="64"/>
      <c r="V5" s="64"/>
    </row>
    <row r="6" spans="1:22" x14ac:dyDescent="0.25">
      <c r="A6" s="82"/>
      <c r="B6" s="64" t="s">
        <v>124</v>
      </c>
      <c r="C6" s="90">
        <f>'Model (SN)'!C3-'Model (SC)'!C3</f>
        <v>0</v>
      </c>
      <c r="D6" s="91">
        <f>'Model (SN)'!D3-'Model (SC)'!D3</f>
        <v>0</v>
      </c>
      <c r="E6" s="91">
        <f>'Model (SN)'!E3-'Model (SC)'!E3</f>
        <v>0</v>
      </c>
      <c r="F6" s="91">
        <f>'Model (SN)'!F3-'Model (SC)'!F3</f>
        <v>0</v>
      </c>
      <c r="G6" s="91">
        <f>'Model (SN)'!G3-'Model (SC)'!G3</f>
        <v>0</v>
      </c>
      <c r="H6" s="91">
        <f>'Model (SN)'!H3-'Model (SC)'!H3</f>
        <v>0</v>
      </c>
      <c r="I6" s="91">
        <f>'Model (SN)'!I3-'Model (SC)'!I3</f>
        <v>0</v>
      </c>
      <c r="J6" s="91">
        <f>'Model (SN)'!J3-'Model (SC)'!J3</f>
        <v>0</v>
      </c>
      <c r="K6" s="91">
        <f>'Model (SN)'!K3-'Model (SC)'!K3</f>
        <v>0</v>
      </c>
      <c r="L6" s="91">
        <f>'Model (SN)'!L3-'Model (SC)'!L3</f>
        <v>0</v>
      </c>
      <c r="M6" s="91">
        <f>'Model (SN)'!M3-'Model (SC)'!M3</f>
        <v>0</v>
      </c>
      <c r="N6" s="91">
        <f>'Model (SN)'!N3-'Model (SC)'!N3</f>
        <v>0</v>
      </c>
      <c r="O6" s="91">
        <f>'Model (SN)'!O3-'Model (SC)'!O3</f>
        <v>0</v>
      </c>
      <c r="P6" s="91">
        <f>'Model (SN)'!P3-'Model (SC)'!P3</f>
        <v>0</v>
      </c>
      <c r="Q6" s="91">
        <f>'Model (SN)'!Q3-'Model (SC)'!Q3</f>
        <v>0</v>
      </c>
      <c r="R6" s="91">
        <f>'Model (SN)'!R3-'Model (SC)'!R3</f>
        <v>0</v>
      </c>
      <c r="S6" s="91">
        <f>'Model (SN)'!S3-'Model (SC)'!S3</f>
        <v>0</v>
      </c>
      <c r="T6" s="91">
        <f>'Model (SN)'!T3-'Model (SC)'!T3</f>
        <v>0</v>
      </c>
      <c r="U6" s="91">
        <f>'Model (SN)'!U3-'Model (SC)'!U3</f>
        <v>0</v>
      </c>
      <c r="V6" s="91">
        <f>'Model (SN)'!V3-'Model (SC)'!V3</f>
        <v>0</v>
      </c>
    </row>
    <row r="7" spans="1:22" x14ac:dyDescent="0.25">
      <c r="A7" s="82"/>
      <c r="B7" s="64" t="s">
        <v>125</v>
      </c>
      <c r="C7" s="90">
        <f>'Model (SN)'!C4-'Model (SC)'!C4</f>
        <v>0</v>
      </c>
      <c r="D7" s="91">
        <f>'Model (SN)'!D4-'Model (SC)'!D4</f>
        <v>0</v>
      </c>
      <c r="E7" s="91">
        <f>'Model (SN)'!E4-'Model (SC)'!E4</f>
        <v>0</v>
      </c>
      <c r="F7" s="91">
        <f>'Model (SN)'!F4-'Model (SC)'!F4</f>
        <v>0</v>
      </c>
      <c r="G7" s="91">
        <f>'Model (SN)'!G4-'Model (SC)'!G4</f>
        <v>0</v>
      </c>
      <c r="H7" s="91">
        <f>'Model (SN)'!H4-'Model (SC)'!H4</f>
        <v>0</v>
      </c>
      <c r="I7" s="91">
        <f>'Model (SN)'!I4-'Model (SC)'!I4</f>
        <v>0</v>
      </c>
      <c r="J7" s="91">
        <f>'Model (SN)'!J4-'Model (SC)'!J4</f>
        <v>0</v>
      </c>
      <c r="K7" s="91">
        <f>'Model (SN)'!K4-'Model (SC)'!K4</f>
        <v>0</v>
      </c>
      <c r="L7" s="91">
        <f>'Model (SN)'!L4-'Model (SC)'!L4</f>
        <v>0</v>
      </c>
      <c r="M7" s="91">
        <f>'Model (SN)'!M4-'Model (SC)'!M4</f>
        <v>0</v>
      </c>
      <c r="N7" s="91">
        <f>'Model (SN)'!N4-'Model (SC)'!N4</f>
        <v>0</v>
      </c>
      <c r="O7" s="91">
        <f>'Model (SN)'!O4-'Model (SC)'!O4</f>
        <v>0</v>
      </c>
      <c r="P7" s="91">
        <f>'Model (SN)'!P4-'Model (SC)'!P4</f>
        <v>0</v>
      </c>
      <c r="Q7" s="91">
        <f>'Model (SN)'!Q4-'Model (SC)'!Q4</f>
        <v>0</v>
      </c>
      <c r="R7" s="91">
        <f>'Model (SN)'!R4-'Model (SC)'!R4</f>
        <v>0</v>
      </c>
      <c r="S7" s="91">
        <f>'Model (SN)'!S4-'Model (SC)'!S4</f>
        <v>0</v>
      </c>
      <c r="T7" s="91">
        <f>'Model (SN)'!T4-'Model (SC)'!T4</f>
        <v>0</v>
      </c>
      <c r="U7" s="91">
        <f>'Model (SN)'!U4-'Model (SC)'!U4</f>
        <v>0</v>
      </c>
      <c r="V7" s="91">
        <f>'Model (SN)'!V4-'Model (SC)'!V4</f>
        <v>0</v>
      </c>
    </row>
    <row r="8" spans="1:22" x14ac:dyDescent="0.25">
      <c r="A8" s="82"/>
      <c r="B8" s="64" t="s">
        <v>126</v>
      </c>
      <c r="C8" s="90">
        <f>'Model (SN)'!C5-'Model (SC)'!C5</f>
        <v>0</v>
      </c>
      <c r="D8" s="91">
        <f>'Model (SN)'!D5-'Model (SC)'!D5</f>
        <v>0</v>
      </c>
      <c r="E8" s="91">
        <f>'Model (SN)'!E5-'Model (SC)'!E5</f>
        <v>0</v>
      </c>
      <c r="F8" s="91">
        <f>'Model (SN)'!F5-'Model (SC)'!F5</f>
        <v>0</v>
      </c>
      <c r="G8" s="91">
        <f>'Model (SN)'!G5-'Model (SC)'!G5</f>
        <v>0</v>
      </c>
      <c r="H8" s="91">
        <f>'Model (SN)'!H5-'Model (SC)'!H5</f>
        <v>0</v>
      </c>
      <c r="I8" s="91">
        <f>'Model (SN)'!I5-'Model (SC)'!I5</f>
        <v>0</v>
      </c>
      <c r="J8" s="91">
        <f>'Model (SN)'!J5-'Model (SC)'!J5</f>
        <v>0</v>
      </c>
      <c r="K8" s="91">
        <f>'Model (SN)'!K5-'Model (SC)'!K5</f>
        <v>0</v>
      </c>
      <c r="L8" s="91">
        <f>'Model (SN)'!L5-'Model (SC)'!L5</f>
        <v>0</v>
      </c>
      <c r="M8" s="91">
        <f>'Model (SN)'!M5-'Model (SC)'!M5</f>
        <v>0</v>
      </c>
      <c r="N8" s="91">
        <f>'Model (SN)'!N5-'Model (SC)'!N5</f>
        <v>0</v>
      </c>
      <c r="O8" s="91">
        <f>'Model (SN)'!O5-'Model (SC)'!O5</f>
        <v>0</v>
      </c>
      <c r="P8" s="91">
        <f>'Model (SN)'!P5-'Model (SC)'!P5</f>
        <v>0</v>
      </c>
      <c r="Q8" s="91">
        <f>'Model (SN)'!Q5-'Model (SC)'!Q5</f>
        <v>0</v>
      </c>
      <c r="R8" s="91">
        <f>'Model (SN)'!R5-'Model (SC)'!R5</f>
        <v>0</v>
      </c>
      <c r="S8" s="91">
        <f>'Model (SN)'!S5-'Model (SC)'!S5</f>
        <v>0</v>
      </c>
      <c r="T8" s="91">
        <f>'Model (SN)'!T5-'Model (SC)'!T5</f>
        <v>0</v>
      </c>
      <c r="U8" s="91">
        <f>'Model (SN)'!U5-'Model (SC)'!U5</f>
        <v>0</v>
      </c>
      <c r="V8" s="91">
        <f>'Model (SN)'!V5-'Model (SC)'!V5</f>
        <v>0</v>
      </c>
    </row>
    <row r="9" spans="1:22" x14ac:dyDescent="0.25">
      <c r="A9" s="82"/>
      <c r="B9" s="64" t="s">
        <v>127</v>
      </c>
      <c r="C9" s="90">
        <f>'Model (SN)'!C6-'Model (SC)'!C6</f>
        <v>0</v>
      </c>
      <c r="D9" s="91">
        <f>'Model (SN)'!D6-'Model (SC)'!D6</f>
        <v>0</v>
      </c>
      <c r="E9" s="91">
        <f>'Model (SN)'!E6-'Model (SC)'!E6</f>
        <v>0</v>
      </c>
      <c r="F9" s="91">
        <f>'Model (SN)'!F6-'Model (SC)'!F6</f>
        <v>0</v>
      </c>
      <c r="G9" s="91">
        <f>'Model (SN)'!G6-'Model (SC)'!G6</f>
        <v>0</v>
      </c>
      <c r="H9" s="91">
        <f>'Model (SN)'!H6-'Model (SC)'!H6</f>
        <v>0</v>
      </c>
      <c r="I9" s="91">
        <f>'Model (SN)'!I6-'Model (SC)'!I6</f>
        <v>0</v>
      </c>
      <c r="J9" s="91">
        <f>'Model (SN)'!J6-'Model (SC)'!J6</f>
        <v>0</v>
      </c>
      <c r="K9" s="91">
        <f>'Model (SN)'!K6-'Model (SC)'!K6</f>
        <v>0</v>
      </c>
      <c r="L9" s="91">
        <f>'Model (SN)'!L6-'Model (SC)'!L6</f>
        <v>0</v>
      </c>
      <c r="M9" s="91">
        <f>'Model (SN)'!M6-'Model (SC)'!M6</f>
        <v>0</v>
      </c>
      <c r="N9" s="91">
        <f>'Model (SN)'!N6-'Model (SC)'!N6</f>
        <v>0</v>
      </c>
      <c r="O9" s="91">
        <f>'Model (SN)'!O6-'Model (SC)'!O6</f>
        <v>0</v>
      </c>
      <c r="P9" s="91">
        <f>'Model (SN)'!P6-'Model (SC)'!P6</f>
        <v>0</v>
      </c>
      <c r="Q9" s="91">
        <f>'Model (SN)'!Q6-'Model (SC)'!Q6</f>
        <v>0</v>
      </c>
      <c r="R9" s="91">
        <f>'Model (SN)'!R6-'Model (SC)'!R6</f>
        <v>0</v>
      </c>
      <c r="S9" s="91">
        <f>'Model (SN)'!S6-'Model (SC)'!S6</f>
        <v>0</v>
      </c>
      <c r="T9" s="91">
        <f>'Model (SN)'!T6-'Model (SC)'!T6</f>
        <v>0</v>
      </c>
      <c r="U9" s="91">
        <f>'Model (SN)'!U6-'Model (SC)'!U6</f>
        <v>0</v>
      </c>
      <c r="V9" s="91">
        <f>'Model (SN)'!V6-'Model (SC)'!V6</f>
        <v>0</v>
      </c>
    </row>
    <row r="10" spans="1:22" x14ac:dyDescent="0.25">
      <c r="A10" s="82"/>
      <c r="B10" s="63" t="s">
        <v>128</v>
      </c>
      <c r="C10" s="90">
        <f>'Model (SN)'!C7-'Model (SC)'!C7</f>
        <v>0</v>
      </c>
      <c r="D10" s="91">
        <f>'Model (SN)'!D7-'Model (SC)'!D7</f>
        <v>0</v>
      </c>
      <c r="E10" s="91">
        <f>'Model (SN)'!E7-'Model (SC)'!E7</f>
        <v>0</v>
      </c>
      <c r="F10" s="91">
        <f>'Model (SN)'!F7-'Model (SC)'!F7</f>
        <v>0</v>
      </c>
      <c r="G10" s="91">
        <f>'Model (SN)'!G7-'Model (SC)'!G7</f>
        <v>0</v>
      </c>
      <c r="H10" s="91">
        <f>'Model (SN)'!H7-'Model (SC)'!H7</f>
        <v>0</v>
      </c>
      <c r="I10" s="91">
        <f>'Model (SN)'!I7-'Model (SC)'!I7</f>
        <v>0</v>
      </c>
      <c r="J10" s="91">
        <f>'Model (SN)'!J7-'Model (SC)'!J7</f>
        <v>0</v>
      </c>
      <c r="K10" s="91">
        <f>'Model (SN)'!K7-'Model (SC)'!K7</f>
        <v>0</v>
      </c>
      <c r="L10" s="91">
        <f>'Model (SN)'!L7-'Model (SC)'!L7</f>
        <v>0</v>
      </c>
      <c r="M10" s="91">
        <f>'Model (SN)'!M7-'Model (SC)'!M7</f>
        <v>0</v>
      </c>
      <c r="N10" s="91">
        <f>'Model (SN)'!N7-'Model (SC)'!N7</f>
        <v>0</v>
      </c>
      <c r="O10" s="91">
        <f>'Model (SN)'!O7-'Model (SC)'!O7</f>
        <v>0</v>
      </c>
      <c r="P10" s="91">
        <f>'Model (SN)'!P7-'Model (SC)'!P7</f>
        <v>0</v>
      </c>
      <c r="Q10" s="91">
        <f>'Model (SN)'!Q7-'Model (SC)'!Q7</f>
        <v>0</v>
      </c>
      <c r="R10" s="91">
        <f>'Model (SN)'!R7-'Model (SC)'!R7</f>
        <v>0</v>
      </c>
      <c r="S10" s="91">
        <f>'Model (SN)'!S7-'Model (SC)'!S7</f>
        <v>0</v>
      </c>
      <c r="T10" s="91">
        <f>'Model (SN)'!T7-'Model (SC)'!T7</f>
        <v>0</v>
      </c>
      <c r="U10" s="91">
        <f>'Model (SN)'!U7-'Model (SC)'!U7</f>
        <v>0</v>
      </c>
      <c r="V10" s="91">
        <f>'Model (SN)'!V7-'Model (SC)'!V7</f>
        <v>0</v>
      </c>
    </row>
    <row r="11" spans="1:22" x14ac:dyDescent="0.25">
      <c r="A11" s="82"/>
      <c r="B11" s="63" t="s">
        <v>129</v>
      </c>
      <c r="C11" s="90">
        <f>'Model (SN)'!C8-'Model (SC)'!C8</f>
        <v>0</v>
      </c>
      <c r="D11" s="91">
        <f>'Model (SN)'!D8-'Model (SC)'!D8</f>
        <v>0</v>
      </c>
      <c r="E11" s="91">
        <f>'Model (SN)'!E8-'Model (SC)'!E8</f>
        <v>0</v>
      </c>
      <c r="F11" s="91">
        <f>'Model (SN)'!F8-'Model (SC)'!F8</f>
        <v>0</v>
      </c>
      <c r="G11" s="91">
        <f>'Model (SN)'!G8-'Model (SC)'!G8</f>
        <v>0</v>
      </c>
      <c r="H11" s="91">
        <f>'Model (SN)'!H8-'Model (SC)'!H8</f>
        <v>0</v>
      </c>
      <c r="I11" s="91">
        <f>'Model (SN)'!I8-'Model (SC)'!I8</f>
        <v>0</v>
      </c>
      <c r="J11" s="91">
        <f>'Model (SN)'!J8-'Model (SC)'!J8</f>
        <v>0</v>
      </c>
      <c r="K11" s="91">
        <f>'Model (SN)'!K8-'Model (SC)'!K8</f>
        <v>0</v>
      </c>
      <c r="L11" s="91">
        <f>'Model (SN)'!L8-'Model (SC)'!L8</f>
        <v>0</v>
      </c>
      <c r="M11" s="91">
        <f>'Model (SN)'!M8-'Model (SC)'!M8</f>
        <v>0</v>
      </c>
      <c r="N11" s="91">
        <f>'Model (SN)'!N8-'Model (SC)'!N8</f>
        <v>0</v>
      </c>
      <c r="O11" s="91">
        <f>'Model (SN)'!O8-'Model (SC)'!O8</f>
        <v>0</v>
      </c>
      <c r="P11" s="91">
        <f>'Model (SN)'!P8-'Model (SC)'!P8</f>
        <v>0</v>
      </c>
      <c r="Q11" s="91">
        <f>'Model (SN)'!Q8-'Model (SC)'!Q8</f>
        <v>0</v>
      </c>
      <c r="R11" s="91">
        <f>'Model (SN)'!R8-'Model (SC)'!R8</f>
        <v>0</v>
      </c>
      <c r="S11" s="91">
        <f>'Model (SN)'!S8-'Model (SC)'!S8</f>
        <v>0</v>
      </c>
      <c r="T11" s="91">
        <f>'Model (SN)'!T8-'Model (SC)'!T8</f>
        <v>0</v>
      </c>
      <c r="U11" s="91">
        <f>'Model (SN)'!U8-'Model (SC)'!U8</f>
        <v>0</v>
      </c>
      <c r="V11" s="91">
        <f>'Model (SN)'!V8-'Model (SC)'!V8</f>
        <v>0</v>
      </c>
    </row>
    <row r="12" spans="1:22" x14ac:dyDescent="0.25">
      <c r="A12" s="82"/>
      <c r="B12" s="63" t="s">
        <v>130</v>
      </c>
      <c r="C12" s="90">
        <f>'Model (SN)'!C9-'Model (SC)'!C9</f>
        <v>0</v>
      </c>
      <c r="D12" s="91">
        <f>'Model (SN)'!D9-'Model (SC)'!D9</f>
        <v>0</v>
      </c>
      <c r="E12" s="91">
        <f>'Model (SN)'!E9-'Model (SC)'!E9</f>
        <v>0</v>
      </c>
      <c r="F12" s="91">
        <f>'Model (SN)'!F9-'Model (SC)'!F9</f>
        <v>0</v>
      </c>
      <c r="G12" s="91">
        <f>'Model (SN)'!G9-'Model (SC)'!G9</f>
        <v>0</v>
      </c>
      <c r="H12" s="91">
        <f>'Model (SN)'!H9-'Model (SC)'!H9</f>
        <v>0</v>
      </c>
      <c r="I12" s="91">
        <f>'Model (SN)'!I9-'Model (SC)'!I9</f>
        <v>0</v>
      </c>
      <c r="J12" s="91">
        <f>'Model (SN)'!J9-'Model (SC)'!J9</f>
        <v>0</v>
      </c>
      <c r="K12" s="91">
        <f>'Model (SN)'!K9-'Model (SC)'!K9</f>
        <v>0</v>
      </c>
      <c r="L12" s="91">
        <f>'Model (SN)'!L9-'Model (SC)'!L9</f>
        <v>0</v>
      </c>
      <c r="M12" s="91">
        <f>'Model (SN)'!M9-'Model (SC)'!M9</f>
        <v>0</v>
      </c>
      <c r="N12" s="91">
        <f>'Model (SN)'!N9-'Model (SC)'!N9</f>
        <v>0</v>
      </c>
      <c r="O12" s="91">
        <f>'Model (SN)'!O9-'Model (SC)'!O9</f>
        <v>0</v>
      </c>
      <c r="P12" s="91">
        <f>'Model (SN)'!P9-'Model (SC)'!P9</f>
        <v>0</v>
      </c>
      <c r="Q12" s="91">
        <f>'Model (SN)'!Q9-'Model (SC)'!Q9</f>
        <v>0</v>
      </c>
      <c r="R12" s="91">
        <f>'Model (SN)'!R9-'Model (SC)'!R9</f>
        <v>0</v>
      </c>
      <c r="S12" s="91">
        <f>'Model (SN)'!S9-'Model (SC)'!S9</f>
        <v>0</v>
      </c>
      <c r="T12" s="91">
        <f>'Model (SN)'!T9-'Model (SC)'!T9</f>
        <v>0</v>
      </c>
      <c r="U12" s="91">
        <f>'Model (SN)'!U9-'Model (SC)'!U9</f>
        <v>0</v>
      </c>
      <c r="V12" s="91">
        <f>'Model (SN)'!V9-'Model (SC)'!V9</f>
        <v>0</v>
      </c>
    </row>
    <row r="13" spans="1:22" x14ac:dyDescent="0.25">
      <c r="A13" s="82"/>
      <c r="B13" s="63" t="s">
        <v>131</v>
      </c>
      <c r="C13" s="90">
        <f>'Model (SN)'!C10-'Model (SC)'!C10</f>
        <v>0</v>
      </c>
      <c r="D13" s="91">
        <f>'Model (SN)'!D10-'Model (SC)'!D10</f>
        <v>0</v>
      </c>
      <c r="E13" s="91">
        <f>'Model (SN)'!E10-'Model (SC)'!E10</f>
        <v>0</v>
      </c>
      <c r="F13" s="91">
        <f>'Model (SN)'!F10-'Model (SC)'!F10</f>
        <v>0</v>
      </c>
      <c r="G13" s="91">
        <f>'Model (SN)'!G10-'Model (SC)'!G10</f>
        <v>0</v>
      </c>
      <c r="H13" s="91">
        <f>'Model (SN)'!H10-'Model (SC)'!H10</f>
        <v>0</v>
      </c>
      <c r="I13" s="91">
        <f>'Model (SN)'!I10-'Model (SC)'!I10</f>
        <v>0</v>
      </c>
      <c r="J13" s="91">
        <f>'Model (SN)'!J10-'Model (SC)'!J10</f>
        <v>0</v>
      </c>
      <c r="K13" s="91">
        <f>'Model (SN)'!K10-'Model (SC)'!K10</f>
        <v>0</v>
      </c>
      <c r="L13" s="91">
        <f>'Model (SN)'!L10-'Model (SC)'!L10</f>
        <v>0</v>
      </c>
      <c r="M13" s="91">
        <f>'Model (SN)'!M10-'Model (SC)'!M10</f>
        <v>0</v>
      </c>
      <c r="N13" s="91">
        <f>'Model (SN)'!N10-'Model (SC)'!N10</f>
        <v>0</v>
      </c>
      <c r="O13" s="91">
        <f>'Model (SN)'!O10-'Model (SC)'!O10</f>
        <v>0</v>
      </c>
      <c r="P13" s="91">
        <f>'Model (SN)'!P10-'Model (SC)'!P10</f>
        <v>0</v>
      </c>
      <c r="Q13" s="91">
        <f>'Model (SN)'!Q10-'Model (SC)'!Q10</f>
        <v>0</v>
      </c>
      <c r="R13" s="91">
        <f>'Model (SN)'!R10-'Model (SC)'!R10</f>
        <v>0</v>
      </c>
      <c r="S13" s="91">
        <f>'Model (SN)'!S10-'Model (SC)'!S10</f>
        <v>0</v>
      </c>
      <c r="T13" s="91">
        <f>'Model (SN)'!T10-'Model (SC)'!T10</f>
        <v>0</v>
      </c>
      <c r="U13" s="91">
        <f>'Model (SN)'!U10-'Model (SC)'!U10</f>
        <v>0</v>
      </c>
      <c r="V13" s="91">
        <f>'Model (SN)'!V10-'Model (SC)'!V10</f>
        <v>0</v>
      </c>
    </row>
    <row r="14" spans="1:22" x14ac:dyDescent="0.25">
      <c r="A14" s="86" t="s">
        <v>314</v>
      </c>
      <c r="B14" s="64"/>
      <c r="C14" s="90">
        <f>'Model (SN)'!C11-'Model (SC)'!C11</f>
        <v>0</v>
      </c>
      <c r="D14" s="91">
        <f>'Model (SN)'!D11-'Model (SC)'!D11</f>
        <v>0</v>
      </c>
      <c r="E14" s="91">
        <f>'Model (SN)'!E11-'Model (SC)'!E11</f>
        <v>0</v>
      </c>
      <c r="F14" s="91">
        <f>'Model (SN)'!F11-'Model (SC)'!F11</f>
        <v>0</v>
      </c>
      <c r="G14" s="91">
        <f>'Model (SN)'!G11-'Model (SC)'!G11</f>
        <v>0</v>
      </c>
      <c r="H14" s="91">
        <f>'Model (SN)'!H11-'Model (SC)'!H11</f>
        <v>0</v>
      </c>
      <c r="I14" s="91">
        <f>'Model (SN)'!I11-'Model (SC)'!I11</f>
        <v>0</v>
      </c>
      <c r="J14" s="91">
        <f>'Model (SN)'!J11-'Model (SC)'!J11</f>
        <v>0</v>
      </c>
      <c r="K14" s="91">
        <f>'Model (SN)'!K11-'Model (SC)'!K11</f>
        <v>0</v>
      </c>
      <c r="L14" s="91">
        <f>'Model (SN)'!L11-'Model (SC)'!L11</f>
        <v>0</v>
      </c>
      <c r="M14" s="91">
        <f>'Model (SN)'!M11-'Model (SC)'!M11</f>
        <v>0</v>
      </c>
      <c r="N14" s="91">
        <f>'Model (SN)'!N11-'Model (SC)'!N11</f>
        <v>0</v>
      </c>
      <c r="O14" s="91">
        <f>'Model (SN)'!O11-'Model (SC)'!O11</f>
        <v>0</v>
      </c>
      <c r="P14" s="91">
        <f>'Model (SN)'!P11-'Model (SC)'!P11</f>
        <v>0</v>
      </c>
      <c r="Q14" s="91">
        <f>'Model (SN)'!Q11-'Model (SC)'!Q11</f>
        <v>0</v>
      </c>
      <c r="R14" s="91">
        <f>'Model (SN)'!R11-'Model (SC)'!R11</f>
        <v>0</v>
      </c>
      <c r="S14" s="91">
        <f>'Model (SN)'!S11-'Model (SC)'!S11</f>
        <v>0</v>
      </c>
      <c r="T14" s="91">
        <f>'Model (SN)'!T11-'Model (SC)'!T11</f>
        <v>0</v>
      </c>
      <c r="U14" s="91">
        <f>'Model (SN)'!U11-'Model (SC)'!U11</f>
        <v>0</v>
      </c>
      <c r="V14" s="91">
        <f>'Model (SN)'!V11-'Model (SC)'!V11</f>
        <v>0</v>
      </c>
    </row>
    <row r="15" spans="1:22" x14ac:dyDescent="0.25">
      <c r="A15" s="82"/>
      <c r="B15" s="64" t="s">
        <v>124</v>
      </c>
      <c r="C15" s="90">
        <f>'Model (SN)'!C12-'Model (SC)'!C12</f>
        <v>0</v>
      </c>
      <c r="D15" s="91">
        <f>'Model (SN)'!D12-'Model (SC)'!D12</f>
        <v>0</v>
      </c>
      <c r="E15" s="91">
        <f>'Model (SN)'!E12-'Model (SC)'!E12</f>
        <v>0</v>
      </c>
      <c r="F15" s="91">
        <f>'Model (SN)'!F12-'Model (SC)'!F12</f>
        <v>0</v>
      </c>
      <c r="G15" s="91">
        <f>'Model (SN)'!G12-'Model (SC)'!G12</f>
        <v>0</v>
      </c>
      <c r="H15" s="91">
        <f>'Model (SN)'!H12-'Model (SC)'!H12</f>
        <v>0</v>
      </c>
      <c r="I15" s="91">
        <f>'Model (SN)'!I12-'Model (SC)'!I12</f>
        <v>0</v>
      </c>
      <c r="J15" s="91">
        <f>'Model (SN)'!J12-'Model (SC)'!J12</f>
        <v>0</v>
      </c>
      <c r="K15" s="91">
        <f>'Model (SN)'!K12-'Model (SC)'!K12</f>
        <v>0</v>
      </c>
      <c r="L15" s="91">
        <f>'Model (SN)'!L12-'Model (SC)'!L12</f>
        <v>0</v>
      </c>
      <c r="M15" s="91">
        <f>'Model (SN)'!M12-'Model (SC)'!M12</f>
        <v>0</v>
      </c>
      <c r="N15" s="91">
        <f>'Model (SN)'!N12-'Model (SC)'!N12</f>
        <v>0</v>
      </c>
      <c r="O15" s="91">
        <f>'Model (SN)'!O12-'Model (SC)'!O12</f>
        <v>0</v>
      </c>
      <c r="P15" s="91">
        <f>'Model (SN)'!P12-'Model (SC)'!P12</f>
        <v>0</v>
      </c>
      <c r="Q15" s="91">
        <f>'Model (SN)'!Q12-'Model (SC)'!Q12</f>
        <v>0</v>
      </c>
      <c r="R15" s="91">
        <f>'Model (SN)'!R12-'Model (SC)'!R12</f>
        <v>0</v>
      </c>
      <c r="S15" s="91">
        <f>'Model (SN)'!S12-'Model (SC)'!S12</f>
        <v>0</v>
      </c>
      <c r="T15" s="91">
        <f>'Model (SN)'!T12-'Model (SC)'!T12</f>
        <v>0</v>
      </c>
      <c r="U15" s="91">
        <f>'Model (SN)'!U12-'Model (SC)'!U12</f>
        <v>0</v>
      </c>
      <c r="V15" s="91">
        <f>'Model (SN)'!V12-'Model (SC)'!V12</f>
        <v>0</v>
      </c>
    </row>
    <row r="16" spans="1:22" x14ac:dyDescent="0.25">
      <c r="A16" s="82"/>
      <c r="B16" s="64" t="s">
        <v>125</v>
      </c>
      <c r="C16" s="90">
        <f>'Model (SN)'!C13-'Model (SC)'!C13</f>
        <v>0</v>
      </c>
      <c r="D16" s="91">
        <f>'Model (SN)'!D13-'Model (SC)'!D13</f>
        <v>0</v>
      </c>
      <c r="E16" s="91">
        <f>'Model (SN)'!E13-'Model (SC)'!E13</f>
        <v>0</v>
      </c>
      <c r="F16" s="91">
        <f>'Model (SN)'!F13-'Model (SC)'!F13</f>
        <v>0</v>
      </c>
      <c r="G16" s="91">
        <f>'Model (SN)'!G13-'Model (SC)'!G13</f>
        <v>0</v>
      </c>
      <c r="H16" s="91">
        <f>'Model (SN)'!H13-'Model (SC)'!H13</f>
        <v>0</v>
      </c>
      <c r="I16" s="91">
        <f>'Model (SN)'!I13-'Model (SC)'!I13</f>
        <v>0</v>
      </c>
      <c r="J16" s="91">
        <f>'Model (SN)'!J13-'Model (SC)'!J13</f>
        <v>0</v>
      </c>
      <c r="K16" s="91">
        <f>'Model (SN)'!K13-'Model (SC)'!K13</f>
        <v>0</v>
      </c>
      <c r="L16" s="91">
        <f>'Model (SN)'!L13-'Model (SC)'!L13</f>
        <v>0</v>
      </c>
      <c r="M16" s="91">
        <f>'Model (SN)'!M13-'Model (SC)'!M13</f>
        <v>0</v>
      </c>
      <c r="N16" s="91">
        <f>'Model (SN)'!N13-'Model (SC)'!N13</f>
        <v>0</v>
      </c>
      <c r="O16" s="91">
        <f>'Model (SN)'!O13-'Model (SC)'!O13</f>
        <v>0</v>
      </c>
      <c r="P16" s="91">
        <f>'Model (SN)'!P13-'Model (SC)'!P13</f>
        <v>0</v>
      </c>
      <c r="Q16" s="91">
        <f>'Model (SN)'!Q13-'Model (SC)'!Q13</f>
        <v>0</v>
      </c>
      <c r="R16" s="91">
        <f>'Model (SN)'!R13-'Model (SC)'!R13</f>
        <v>0</v>
      </c>
      <c r="S16" s="91">
        <f>'Model (SN)'!S13-'Model (SC)'!S13</f>
        <v>0</v>
      </c>
      <c r="T16" s="91">
        <f>'Model (SN)'!T13-'Model (SC)'!T13</f>
        <v>0</v>
      </c>
      <c r="U16" s="91">
        <f>'Model (SN)'!U13-'Model (SC)'!U13</f>
        <v>0</v>
      </c>
      <c r="V16" s="91">
        <f>'Model (SN)'!V13-'Model (SC)'!V13</f>
        <v>0</v>
      </c>
    </row>
    <row r="17" spans="1:26" x14ac:dyDescent="0.25">
      <c r="A17" s="82"/>
      <c r="B17" s="64" t="s">
        <v>132</v>
      </c>
      <c r="C17" s="90">
        <f>'Model (SN)'!C14-'Model (SC)'!C14</f>
        <v>0</v>
      </c>
      <c r="D17" s="91">
        <f>'Model (SN)'!D14-'Model (SC)'!D14</f>
        <v>0</v>
      </c>
      <c r="E17" s="91">
        <f>'Model (SN)'!E14-'Model (SC)'!E14</f>
        <v>0</v>
      </c>
      <c r="F17" s="91">
        <f>'Model (SN)'!F14-'Model (SC)'!F14</f>
        <v>0</v>
      </c>
      <c r="G17" s="91">
        <f>'Model (SN)'!G14-'Model (SC)'!G14</f>
        <v>0</v>
      </c>
      <c r="H17" s="91">
        <f>'Model (SN)'!H14-'Model (SC)'!H14</f>
        <v>0</v>
      </c>
      <c r="I17" s="91">
        <f>'Model (SN)'!I14-'Model (SC)'!I14</f>
        <v>0</v>
      </c>
      <c r="J17" s="91">
        <f>'Model (SN)'!J14-'Model (SC)'!J14</f>
        <v>0</v>
      </c>
      <c r="K17" s="91">
        <f>'Model (SN)'!K14-'Model (SC)'!K14</f>
        <v>0</v>
      </c>
      <c r="L17" s="91">
        <f>'Model (SN)'!L14-'Model (SC)'!L14</f>
        <v>0</v>
      </c>
      <c r="M17" s="91">
        <f>'Model (SN)'!M14-'Model (SC)'!M14</f>
        <v>0</v>
      </c>
      <c r="N17" s="91">
        <f>'Model (SN)'!N14-'Model (SC)'!N14</f>
        <v>0</v>
      </c>
      <c r="O17" s="91">
        <f>'Model (SN)'!O14-'Model (SC)'!O14</f>
        <v>0</v>
      </c>
      <c r="P17" s="91">
        <f>'Model (SN)'!P14-'Model (SC)'!P14</f>
        <v>0</v>
      </c>
      <c r="Q17" s="91">
        <f>'Model (SN)'!Q14-'Model (SC)'!Q14</f>
        <v>0</v>
      </c>
      <c r="R17" s="91">
        <f>'Model (SN)'!R14-'Model (SC)'!R14</f>
        <v>0</v>
      </c>
      <c r="S17" s="91">
        <f>'Model (SN)'!S14-'Model (SC)'!S14</f>
        <v>0</v>
      </c>
      <c r="T17" s="91">
        <f>'Model (SN)'!T14-'Model (SC)'!T14</f>
        <v>0</v>
      </c>
      <c r="U17" s="91">
        <f>'Model (SN)'!U14-'Model (SC)'!U14</f>
        <v>0</v>
      </c>
      <c r="V17" s="91">
        <f>'Model (SN)'!V14-'Model (SC)'!V14</f>
        <v>0</v>
      </c>
    </row>
    <row r="18" spans="1:26" x14ac:dyDescent="0.25">
      <c r="A18" s="82"/>
      <c r="B18" s="64" t="s">
        <v>133</v>
      </c>
      <c r="C18" s="90">
        <f>'Model (SN)'!C15-'Model (SC)'!C15</f>
        <v>0</v>
      </c>
      <c r="D18" s="91">
        <f>'Model (SN)'!D15-'Model (SC)'!D15</f>
        <v>0</v>
      </c>
      <c r="E18" s="91">
        <f>'Model (SN)'!E15-'Model (SC)'!E15</f>
        <v>0</v>
      </c>
      <c r="F18" s="91">
        <f>'Model (SN)'!F15-'Model (SC)'!F15</f>
        <v>0</v>
      </c>
      <c r="G18" s="91">
        <f>'Model (SN)'!G15-'Model (SC)'!G15</f>
        <v>0</v>
      </c>
      <c r="H18" s="91">
        <f>'Model (SN)'!H15-'Model (SC)'!H15</f>
        <v>0</v>
      </c>
      <c r="I18" s="91">
        <f>'Model (SN)'!I15-'Model (SC)'!I15</f>
        <v>0</v>
      </c>
      <c r="J18" s="91">
        <f>'Model (SN)'!J15-'Model (SC)'!J15</f>
        <v>0</v>
      </c>
      <c r="K18" s="91">
        <f>'Model (SN)'!K15-'Model (SC)'!K15</f>
        <v>0</v>
      </c>
      <c r="L18" s="91">
        <f>'Model (SN)'!L15-'Model (SC)'!L15</f>
        <v>0</v>
      </c>
      <c r="M18" s="91">
        <f>'Model (SN)'!M15-'Model (SC)'!M15</f>
        <v>0</v>
      </c>
      <c r="N18" s="91">
        <f>'Model (SN)'!N15-'Model (SC)'!N15</f>
        <v>0</v>
      </c>
      <c r="O18" s="91">
        <f>'Model (SN)'!O15-'Model (SC)'!O15</f>
        <v>0</v>
      </c>
      <c r="P18" s="91">
        <f>'Model (SN)'!P15-'Model (SC)'!P15</f>
        <v>0</v>
      </c>
      <c r="Q18" s="91">
        <f>'Model (SN)'!Q15-'Model (SC)'!Q15</f>
        <v>0</v>
      </c>
      <c r="R18" s="91">
        <f>'Model (SN)'!R15-'Model (SC)'!R15</f>
        <v>0</v>
      </c>
      <c r="S18" s="91">
        <f>'Model (SN)'!S15-'Model (SC)'!S15</f>
        <v>0</v>
      </c>
      <c r="T18" s="91">
        <f>'Model (SN)'!T15-'Model (SC)'!T15</f>
        <v>0</v>
      </c>
      <c r="U18" s="91">
        <f>'Model (SN)'!U15-'Model (SC)'!U15</f>
        <v>0</v>
      </c>
      <c r="V18" s="91">
        <f>'Model (SN)'!V15-'Model (SC)'!V15</f>
        <v>0</v>
      </c>
    </row>
    <row r="19" spans="1:26" x14ac:dyDescent="0.25">
      <c r="A19" s="82"/>
      <c r="B19" s="64" t="s">
        <v>126</v>
      </c>
      <c r="C19" s="90">
        <f>'Model (SN)'!C16-'Model (SC)'!C16</f>
        <v>0</v>
      </c>
      <c r="D19" s="91">
        <f>'Model (SN)'!D16-'Model (SC)'!D16</f>
        <v>0</v>
      </c>
      <c r="E19" s="91">
        <f>'Model (SN)'!E16-'Model (SC)'!E16</f>
        <v>0</v>
      </c>
      <c r="F19" s="91">
        <f>'Model (SN)'!F16-'Model (SC)'!F16</f>
        <v>0</v>
      </c>
      <c r="G19" s="91">
        <f>'Model (SN)'!G16-'Model (SC)'!G16</f>
        <v>0</v>
      </c>
      <c r="H19" s="91">
        <f>'Model (SN)'!H16-'Model (SC)'!H16</f>
        <v>0</v>
      </c>
      <c r="I19" s="91">
        <f>'Model (SN)'!I16-'Model (SC)'!I16</f>
        <v>0</v>
      </c>
      <c r="J19" s="91">
        <f>'Model (SN)'!J16-'Model (SC)'!J16</f>
        <v>0</v>
      </c>
      <c r="K19" s="91">
        <f>'Model (SN)'!K16-'Model (SC)'!K16</f>
        <v>0</v>
      </c>
      <c r="L19" s="91">
        <f>'Model (SN)'!L16-'Model (SC)'!L16</f>
        <v>0</v>
      </c>
      <c r="M19" s="91">
        <f>'Model (SN)'!M16-'Model (SC)'!M16</f>
        <v>0</v>
      </c>
      <c r="N19" s="91">
        <f>'Model (SN)'!N16-'Model (SC)'!N16</f>
        <v>0</v>
      </c>
      <c r="O19" s="91">
        <f>'Model (SN)'!O16-'Model (SC)'!O16</f>
        <v>0</v>
      </c>
      <c r="P19" s="91">
        <f>'Model (SN)'!P16-'Model (SC)'!P16</f>
        <v>0</v>
      </c>
      <c r="Q19" s="91">
        <f>'Model (SN)'!Q16-'Model (SC)'!Q16</f>
        <v>0</v>
      </c>
      <c r="R19" s="91">
        <f>'Model (SN)'!R16-'Model (SC)'!R16</f>
        <v>0</v>
      </c>
      <c r="S19" s="91">
        <f>'Model (SN)'!S16-'Model (SC)'!S16</f>
        <v>0</v>
      </c>
      <c r="T19" s="91">
        <f>'Model (SN)'!T16-'Model (SC)'!T16</f>
        <v>0</v>
      </c>
      <c r="U19" s="91">
        <f>'Model (SN)'!U16-'Model (SC)'!U16</f>
        <v>0</v>
      </c>
      <c r="V19" s="91">
        <f>'Model (SN)'!V16-'Model (SC)'!V16</f>
        <v>0</v>
      </c>
    </row>
    <row r="20" spans="1:26" x14ac:dyDescent="0.25">
      <c r="A20" s="82"/>
      <c r="B20" s="63" t="s">
        <v>134</v>
      </c>
      <c r="C20" s="90">
        <f>'Model (SN)'!C17-'Model (SC)'!C17</f>
        <v>0</v>
      </c>
      <c r="D20" s="91">
        <f>'Model (SN)'!D17-'Model (SC)'!D17</f>
        <v>0</v>
      </c>
      <c r="E20" s="91">
        <f>'Model (SN)'!E17-'Model (SC)'!E17</f>
        <v>0</v>
      </c>
      <c r="F20" s="91">
        <f>'Model (SN)'!F17-'Model (SC)'!F17</f>
        <v>0</v>
      </c>
      <c r="G20" s="91">
        <f>'Model (SN)'!G17-'Model (SC)'!G17</f>
        <v>0</v>
      </c>
      <c r="H20" s="91">
        <f>'Model (SN)'!H17-'Model (SC)'!H17</f>
        <v>0</v>
      </c>
      <c r="I20" s="91">
        <f>'Model (SN)'!I17-'Model (SC)'!I17</f>
        <v>0</v>
      </c>
      <c r="J20" s="91">
        <f>'Model (SN)'!J17-'Model (SC)'!J17</f>
        <v>0</v>
      </c>
      <c r="K20" s="91">
        <f>'Model (SN)'!K17-'Model (SC)'!K17</f>
        <v>0</v>
      </c>
      <c r="L20" s="91">
        <f>'Model (SN)'!L17-'Model (SC)'!L17</f>
        <v>0</v>
      </c>
      <c r="M20" s="91">
        <f>'Model (SN)'!M17-'Model (SC)'!M17</f>
        <v>0</v>
      </c>
      <c r="N20" s="91">
        <f>'Model (SN)'!N17-'Model (SC)'!N17</f>
        <v>0</v>
      </c>
      <c r="O20" s="91">
        <f>'Model (SN)'!O17-'Model (SC)'!O17</f>
        <v>0</v>
      </c>
      <c r="P20" s="91">
        <f>'Model (SN)'!P17-'Model (SC)'!P17</f>
        <v>0</v>
      </c>
      <c r="Q20" s="91">
        <f>'Model (SN)'!Q17-'Model (SC)'!Q17</f>
        <v>0</v>
      </c>
      <c r="R20" s="91">
        <f>'Model (SN)'!R17-'Model (SC)'!R17</f>
        <v>0</v>
      </c>
      <c r="S20" s="91">
        <f>'Model (SN)'!S17-'Model (SC)'!S17</f>
        <v>0</v>
      </c>
      <c r="T20" s="91">
        <f>'Model (SN)'!T17-'Model (SC)'!T17</f>
        <v>0</v>
      </c>
      <c r="U20" s="91">
        <f>'Model (SN)'!U17-'Model (SC)'!U17</f>
        <v>0</v>
      </c>
      <c r="V20" s="91">
        <f>'Model (SN)'!V17-'Model (SC)'!V17</f>
        <v>0</v>
      </c>
    </row>
    <row r="21" spans="1:26" x14ac:dyDescent="0.25">
      <c r="A21" s="82"/>
      <c r="B21" s="63" t="s">
        <v>730</v>
      </c>
      <c r="C21" s="90">
        <f>'Model (SN)'!C18-'Model (SC)'!C18</f>
        <v>0</v>
      </c>
      <c r="D21" s="91">
        <f>'Model (SN)'!D18-'Model (SC)'!D18</f>
        <v>0</v>
      </c>
      <c r="E21" s="91">
        <f>'Model (SN)'!E18-'Model (SC)'!E18</f>
        <v>0</v>
      </c>
      <c r="F21" s="91">
        <f>'Model (SN)'!F18-'Model (SC)'!F18</f>
        <v>0</v>
      </c>
      <c r="G21" s="91">
        <f>'Model (SN)'!G18-'Model (SC)'!G18</f>
        <v>0</v>
      </c>
      <c r="H21" s="91">
        <f>'Model (SN)'!H18-'Model (SC)'!H18</f>
        <v>0</v>
      </c>
      <c r="I21" s="91">
        <f>'Model (SN)'!I18-'Model (SC)'!I18</f>
        <v>0</v>
      </c>
      <c r="J21" s="91">
        <f>'Model (SN)'!J18-'Model (SC)'!J18</f>
        <v>0</v>
      </c>
      <c r="K21" s="91">
        <f>'Model (SN)'!K18-'Model (SC)'!K18</f>
        <v>0</v>
      </c>
      <c r="L21" s="91">
        <f>'Model (SN)'!L18-'Model (SC)'!L18</f>
        <v>0</v>
      </c>
      <c r="M21" s="91">
        <f>'Model (SN)'!M18-'Model (SC)'!M18</f>
        <v>0</v>
      </c>
      <c r="N21" s="91">
        <f>'Model (SN)'!N18-'Model (SC)'!N18</f>
        <v>0</v>
      </c>
      <c r="O21" s="91">
        <f>'Model (SN)'!O18-'Model (SC)'!O18</f>
        <v>0</v>
      </c>
      <c r="P21" s="91">
        <f>'Model (SN)'!P18-'Model (SC)'!P18</f>
        <v>0</v>
      </c>
      <c r="Q21" s="91">
        <f>'Model (SN)'!Q18-'Model (SC)'!Q18</f>
        <v>0</v>
      </c>
      <c r="R21" s="91">
        <f>'Model (SN)'!R18-'Model (SC)'!R18</f>
        <v>0</v>
      </c>
      <c r="S21" s="91">
        <f>'Model (SN)'!S18-'Model (SC)'!S18</f>
        <v>0</v>
      </c>
      <c r="T21" s="91">
        <f>'Model (SN)'!T18-'Model (SC)'!T18</f>
        <v>0</v>
      </c>
      <c r="U21" s="91">
        <f>'Model (SN)'!U18-'Model (SC)'!U18</f>
        <v>0</v>
      </c>
      <c r="V21" s="91">
        <f>'Model (SN)'!V18-'Model (SC)'!V18</f>
        <v>0</v>
      </c>
    </row>
    <row r="22" spans="1:26" x14ac:dyDescent="0.25">
      <c r="A22" s="82"/>
      <c r="B22" s="63" t="s">
        <v>135</v>
      </c>
      <c r="C22" s="90">
        <f>'Model (SN)'!C19-'Model (SC)'!C19</f>
        <v>0</v>
      </c>
      <c r="D22" s="91">
        <f>'Model (SN)'!D19-'Model (SC)'!D19</f>
        <v>0</v>
      </c>
      <c r="E22" s="91">
        <f>'Model (SN)'!E19-'Model (SC)'!E19</f>
        <v>0</v>
      </c>
      <c r="F22" s="91">
        <f>'Model (SN)'!F19-'Model (SC)'!F19</f>
        <v>0</v>
      </c>
      <c r="G22" s="91">
        <f>'Model (SN)'!G19-'Model (SC)'!G19</f>
        <v>0</v>
      </c>
      <c r="H22" s="91">
        <f>'Model (SN)'!H19-'Model (SC)'!H19</f>
        <v>0</v>
      </c>
      <c r="I22" s="91">
        <f>'Model (SN)'!I19-'Model (SC)'!I19</f>
        <v>0</v>
      </c>
      <c r="J22" s="91">
        <f>'Model (SN)'!J19-'Model (SC)'!J19</f>
        <v>0</v>
      </c>
      <c r="K22" s="91">
        <f>'Model (SN)'!K19-'Model (SC)'!K19</f>
        <v>0</v>
      </c>
      <c r="L22" s="91">
        <f>'Model (SN)'!L19-'Model (SC)'!L19</f>
        <v>0</v>
      </c>
      <c r="M22" s="91">
        <f>'Model (SN)'!M19-'Model (SC)'!M19</f>
        <v>0</v>
      </c>
      <c r="N22" s="91">
        <f>'Model (SN)'!N19-'Model (SC)'!N19</f>
        <v>0</v>
      </c>
      <c r="O22" s="91">
        <f>'Model (SN)'!O19-'Model (SC)'!O19</f>
        <v>0</v>
      </c>
      <c r="P22" s="91">
        <f>'Model (SN)'!P19-'Model (SC)'!P19</f>
        <v>0</v>
      </c>
      <c r="Q22" s="91">
        <f>'Model (SN)'!Q19-'Model (SC)'!Q19</f>
        <v>0</v>
      </c>
      <c r="R22" s="91">
        <f>'Model (SN)'!R19-'Model (SC)'!R19</f>
        <v>0</v>
      </c>
      <c r="S22" s="91">
        <f>'Model (SN)'!S19-'Model (SC)'!S19</f>
        <v>0</v>
      </c>
      <c r="T22" s="91">
        <f>'Model (SN)'!T19-'Model (SC)'!T19</f>
        <v>0</v>
      </c>
      <c r="U22" s="91">
        <f>'Model (SN)'!U19-'Model (SC)'!U19</f>
        <v>0</v>
      </c>
      <c r="V22" s="91">
        <f>'Model (SN)'!V19-'Model (SC)'!V19</f>
        <v>0</v>
      </c>
    </row>
    <row r="23" spans="1:26" x14ac:dyDescent="0.25">
      <c r="A23" s="82"/>
      <c r="B23" s="63" t="s">
        <v>136</v>
      </c>
      <c r="C23" s="90">
        <f>'Model (SN)'!C20-'Model (SC)'!C20</f>
        <v>0</v>
      </c>
      <c r="D23" s="91">
        <f>'Model (SN)'!D20-'Model (SC)'!D20</f>
        <v>0</v>
      </c>
      <c r="E23" s="91">
        <f>'Model (SN)'!E20-'Model (SC)'!E20</f>
        <v>0</v>
      </c>
      <c r="F23" s="91">
        <f>'Model (SN)'!F20-'Model (SC)'!F20</f>
        <v>0</v>
      </c>
      <c r="G23" s="91">
        <f>'Model (SN)'!G20-'Model (SC)'!G20</f>
        <v>0</v>
      </c>
      <c r="H23" s="91">
        <f>'Model (SN)'!H20-'Model (SC)'!H20</f>
        <v>0</v>
      </c>
      <c r="I23" s="91">
        <f>'Model (SN)'!I20-'Model (SC)'!I20</f>
        <v>0</v>
      </c>
      <c r="J23" s="91">
        <f>'Model (SN)'!J20-'Model (SC)'!J20</f>
        <v>0</v>
      </c>
      <c r="K23" s="91">
        <f>'Model (SN)'!K20-'Model (SC)'!K20</f>
        <v>0</v>
      </c>
      <c r="L23" s="91">
        <f>'Model (SN)'!L20-'Model (SC)'!L20</f>
        <v>0</v>
      </c>
      <c r="M23" s="91">
        <f>'Model (SN)'!M20-'Model (SC)'!M20</f>
        <v>0</v>
      </c>
      <c r="N23" s="91">
        <f>'Model (SN)'!N20-'Model (SC)'!N20</f>
        <v>0</v>
      </c>
      <c r="O23" s="91">
        <f>'Model (SN)'!O20-'Model (SC)'!O20</f>
        <v>0</v>
      </c>
      <c r="P23" s="91">
        <f>'Model (SN)'!P20-'Model (SC)'!P20</f>
        <v>0</v>
      </c>
      <c r="Q23" s="91">
        <f>'Model (SN)'!Q20-'Model (SC)'!Q20</f>
        <v>0</v>
      </c>
      <c r="R23" s="91">
        <f>'Model (SN)'!R20-'Model (SC)'!R20</f>
        <v>0</v>
      </c>
      <c r="S23" s="91">
        <f>'Model (SN)'!S20-'Model (SC)'!S20</f>
        <v>0</v>
      </c>
      <c r="T23" s="91">
        <f>'Model (SN)'!T20-'Model (SC)'!T20</f>
        <v>0</v>
      </c>
      <c r="U23" s="91">
        <f>'Model (SN)'!U20-'Model (SC)'!U20</f>
        <v>0</v>
      </c>
      <c r="V23" s="91">
        <f>'Model (SN)'!V20-'Model (SC)'!V20</f>
        <v>0</v>
      </c>
    </row>
    <row r="24" spans="1:26" x14ac:dyDescent="0.25">
      <c r="A24" s="82"/>
      <c r="B24" s="63" t="s">
        <v>137</v>
      </c>
      <c r="C24" s="90">
        <f>'Model (SN)'!C21-'Model (SC)'!C21</f>
        <v>0</v>
      </c>
      <c r="D24" s="91">
        <f>'Model (SN)'!D21-'Model (SC)'!D21</f>
        <v>0</v>
      </c>
      <c r="E24" s="91">
        <f>'Model (SN)'!E21-'Model (SC)'!E21</f>
        <v>0</v>
      </c>
      <c r="F24" s="91">
        <f>'Model (SN)'!F21-'Model (SC)'!F21</f>
        <v>0</v>
      </c>
      <c r="G24" s="91">
        <f>'Model (SN)'!G21-'Model (SC)'!G21</f>
        <v>0</v>
      </c>
      <c r="H24" s="91">
        <f>'Model (SN)'!H21-'Model (SC)'!H21</f>
        <v>0</v>
      </c>
      <c r="I24" s="91">
        <f>'Model (SN)'!I21-'Model (SC)'!I21</f>
        <v>0</v>
      </c>
      <c r="J24" s="91">
        <f>'Model (SN)'!J21-'Model (SC)'!J21</f>
        <v>0</v>
      </c>
      <c r="K24" s="91">
        <f>'Model (SN)'!K21-'Model (SC)'!K21</f>
        <v>0</v>
      </c>
      <c r="L24" s="91">
        <f>'Model (SN)'!L21-'Model (SC)'!L21</f>
        <v>0</v>
      </c>
      <c r="M24" s="91">
        <f>'Model (SN)'!M21-'Model (SC)'!M21</f>
        <v>0</v>
      </c>
      <c r="N24" s="91">
        <f>'Model (SN)'!N21-'Model (SC)'!N21</f>
        <v>0</v>
      </c>
      <c r="O24" s="91">
        <f>'Model (SN)'!O21-'Model (SC)'!O21</f>
        <v>0</v>
      </c>
      <c r="P24" s="91">
        <f>'Model (SN)'!P21-'Model (SC)'!P21</f>
        <v>0</v>
      </c>
      <c r="Q24" s="91">
        <f>'Model (SN)'!Q21-'Model (SC)'!Q21</f>
        <v>0</v>
      </c>
      <c r="R24" s="91">
        <f>'Model (SN)'!R21-'Model (SC)'!R21</f>
        <v>0</v>
      </c>
      <c r="S24" s="91">
        <f>'Model (SN)'!S21-'Model (SC)'!S21</f>
        <v>0</v>
      </c>
      <c r="T24" s="91">
        <f>'Model (SN)'!T21-'Model (SC)'!T21</f>
        <v>0</v>
      </c>
      <c r="U24" s="91">
        <f>'Model (SN)'!U21-'Model (SC)'!U21</f>
        <v>0</v>
      </c>
      <c r="V24" s="91">
        <f>'Model (SN)'!V21-'Model (SC)'!V21</f>
        <v>0</v>
      </c>
    </row>
    <row r="25" spans="1:26" x14ac:dyDescent="0.25">
      <c r="A25" s="82"/>
      <c r="B25" s="63" t="s">
        <v>138</v>
      </c>
      <c r="C25" s="90">
        <f>'Model (SN)'!C22-'Model (SC)'!C22</f>
        <v>0</v>
      </c>
      <c r="D25" s="91">
        <f>'Model (SN)'!D22-'Model (SC)'!D22</f>
        <v>0</v>
      </c>
      <c r="E25" s="91">
        <f>'Model (SN)'!E22-'Model (SC)'!E22</f>
        <v>0</v>
      </c>
      <c r="F25" s="91">
        <f>'Model (SN)'!F22-'Model (SC)'!F22</f>
        <v>0</v>
      </c>
      <c r="G25" s="91">
        <f>'Model (SN)'!G22-'Model (SC)'!G22</f>
        <v>0</v>
      </c>
      <c r="H25" s="91">
        <f>'Model (SN)'!H22-'Model (SC)'!H22</f>
        <v>0</v>
      </c>
      <c r="I25" s="91">
        <f>'Model (SN)'!I22-'Model (SC)'!I22</f>
        <v>0</v>
      </c>
      <c r="J25" s="91">
        <f>'Model (SN)'!J22-'Model (SC)'!J22</f>
        <v>0</v>
      </c>
      <c r="K25" s="91">
        <f>'Model (SN)'!K22-'Model (SC)'!K22</f>
        <v>0</v>
      </c>
      <c r="L25" s="91">
        <f>'Model (SN)'!L22-'Model (SC)'!L22</f>
        <v>0</v>
      </c>
      <c r="M25" s="91">
        <f>'Model (SN)'!M22-'Model (SC)'!M22</f>
        <v>0</v>
      </c>
      <c r="N25" s="91">
        <f>'Model (SN)'!N22-'Model (SC)'!N22</f>
        <v>0</v>
      </c>
      <c r="O25" s="91">
        <f>'Model (SN)'!O22-'Model (SC)'!O22</f>
        <v>0</v>
      </c>
      <c r="P25" s="91">
        <f>'Model (SN)'!P22-'Model (SC)'!P22</f>
        <v>0</v>
      </c>
      <c r="Q25" s="91">
        <f>'Model (SN)'!Q22-'Model (SC)'!Q22</f>
        <v>0</v>
      </c>
      <c r="R25" s="91">
        <f>'Model (SN)'!R22-'Model (SC)'!R22</f>
        <v>0</v>
      </c>
      <c r="S25" s="91">
        <f>'Model (SN)'!S22-'Model (SC)'!S22</f>
        <v>0</v>
      </c>
      <c r="T25" s="91">
        <f>'Model (SN)'!T22-'Model (SC)'!T22</f>
        <v>0</v>
      </c>
      <c r="U25" s="91">
        <f>'Model (SN)'!U22-'Model (SC)'!U22</f>
        <v>0</v>
      </c>
      <c r="V25" s="91">
        <f>'Model (SN)'!V22-'Model (SC)'!V22</f>
        <v>0</v>
      </c>
    </row>
    <row r="26" spans="1:26" x14ac:dyDescent="0.25">
      <c r="A26" s="82"/>
      <c r="B26" s="63" t="s">
        <v>139</v>
      </c>
      <c r="C26" s="90">
        <f>'Model (SN)'!C23-'Model (SC)'!C23</f>
        <v>0</v>
      </c>
      <c r="D26" s="91">
        <f>'Model (SN)'!D23-'Model (SC)'!D23</f>
        <v>0</v>
      </c>
      <c r="E26" s="91">
        <f>'Model (SN)'!E23-'Model (SC)'!E23</f>
        <v>0</v>
      </c>
      <c r="F26" s="91">
        <f>'Model (SN)'!F23-'Model (SC)'!F23</f>
        <v>0</v>
      </c>
      <c r="G26" s="91">
        <f>'Model (SN)'!G23-'Model (SC)'!G23</f>
        <v>0</v>
      </c>
      <c r="H26" s="91">
        <f>'Model (SN)'!H23-'Model (SC)'!H23</f>
        <v>0</v>
      </c>
      <c r="I26" s="91">
        <f>'Model (SN)'!I23-'Model (SC)'!I23</f>
        <v>0</v>
      </c>
      <c r="J26" s="91">
        <f>'Model (SN)'!J23-'Model (SC)'!J23</f>
        <v>0</v>
      </c>
      <c r="K26" s="91">
        <f>'Model (SN)'!K23-'Model (SC)'!K23</f>
        <v>0</v>
      </c>
      <c r="L26" s="91">
        <f>'Model (SN)'!L23-'Model (SC)'!L23</f>
        <v>0</v>
      </c>
      <c r="M26" s="91">
        <f>'Model (SN)'!M23-'Model (SC)'!M23</f>
        <v>0</v>
      </c>
      <c r="N26" s="91">
        <f>'Model (SN)'!N23-'Model (SC)'!N23</f>
        <v>0</v>
      </c>
      <c r="O26" s="91">
        <f>'Model (SN)'!O23-'Model (SC)'!O23</f>
        <v>0</v>
      </c>
      <c r="P26" s="91">
        <f>'Model (SN)'!P23-'Model (SC)'!P23</f>
        <v>0</v>
      </c>
      <c r="Q26" s="91">
        <f>'Model (SN)'!Q23-'Model (SC)'!Q23</f>
        <v>0</v>
      </c>
      <c r="R26" s="91">
        <f>'Model (SN)'!R23-'Model (SC)'!R23</f>
        <v>0</v>
      </c>
      <c r="S26" s="91">
        <f>'Model (SN)'!S23-'Model (SC)'!S23</f>
        <v>0</v>
      </c>
      <c r="T26" s="91">
        <f>'Model (SN)'!T23-'Model (SC)'!T23</f>
        <v>0</v>
      </c>
      <c r="U26" s="91">
        <f>'Model (SN)'!U23-'Model (SC)'!U23</f>
        <v>0</v>
      </c>
      <c r="V26" s="91">
        <f>'Model (SN)'!V23-'Model (SC)'!V23</f>
        <v>0</v>
      </c>
    </row>
    <row r="27" spans="1:26" x14ac:dyDescent="0.25">
      <c r="A27" s="82"/>
      <c r="B27" s="63" t="s">
        <v>127</v>
      </c>
      <c r="C27" s="90">
        <f>'Model (SN)'!C24-'Model (SC)'!C24</f>
        <v>0</v>
      </c>
      <c r="D27" s="91">
        <f>'Model (SN)'!D24-'Model (SC)'!D24</f>
        <v>0</v>
      </c>
      <c r="E27" s="91">
        <f>'Model (SN)'!E24-'Model (SC)'!E24</f>
        <v>0</v>
      </c>
      <c r="F27" s="91">
        <f>'Model (SN)'!F24-'Model (SC)'!F24</f>
        <v>0</v>
      </c>
      <c r="G27" s="91">
        <f>'Model (SN)'!G24-'Model (SC)'!G24</f>
        <v>0</v>
      </c>
      <c r="H27" s="91">
        <f>'Model (SN)'!H24-'Model (SC)'!H24</f>
        <v>0</v>
      </c>
      <c r="I27" s="91">
        <f>'Model (SN)'!I24-'Model (SC)'!I24</f>
        <v>0</v>
      </c>
      <c r="J27" s="91">
        <f>'Model (SN)'!J24-'Model (SC)'!J24</f>
        <v>0</v>
      </c>
      <c r="K27" s="91">
        <f>'Model (SN)'!K24-'Model (SC)'!K24</f>
        <v>0</v>
      </c>
      <c r="L27" s="91">
        <f>'Model (SN)'!L24-'Model (SC)'!L24</f>
        <v>0</v>
      </c>
      <c r="M27" s="91">
        <f>'Model (SN)'!M24-'Model (SC)'!M24</f>
        <v>0</v>
      </c>
      <c r="N27" s="91">
        <f>'Model (SN)'!N24-'Model (SC)'!N24</f>
        <v>0</v>
      </c>
      <c r="O27" s="91">
        <f>'Model (SN)'!O24-'Model (SC)'!O24</f>
        <v>0</v>
      </c>
      <c r="P27" s="91">
        <f>'Model (SN)'!P24-'Model (SC)'!P24</f>
        <v>0</v>
      </c>
      <c r="Q27" s="91">
        <f>'Model (SN)'!Q24-'Model (SC)'!Q24</f>
        <v>0</v>
      </c>
      <c r="R27" s="91">
        <f>'Model (SN)'!R24-'Model (SC)'!R24</f>
        <v>0</v>
      </c>
      <c r="S27" s="91">
        <f>'Model (SN)'!S24-'Model (SC)'!S24</f>
        <v>0</v>
      </c>
      <c r="T27" s="91">
        <f>'Model (SN)'!T24-'Model (SC)'!T24</f>
        <v>0</v>
      </c>
      <c r="U27" s="91">
        <f>'Model (SN)'!U24-'Model (SC)'!U24</f>
        <v>0</v>
      </c>
      <c r="V27" s="91">
        <f>'Model (SN)'!V24-'Model (SC)'!V24</f>
        <v>0</v>
      </c>
    </row>
    <row r="28" spans="1:26" x14ac:dyDescent="0.25">
      <c r="A28" s="82"/>
      <c r="B28" s="63" t="s">
        <v>128</v>
      </c>
      <c r="C28" s="90">
        <f>'Model (SN)'!C25-'Model (SC)'!C25</f>
        <v>0</v>
      </c>
      <c r="D28" s="91">
        <f>'Model (SN)'!D25-'Model (SC)'!D25</f>
        <v>0</v>
      </c>
      <c r="E28" s="91">
        <f>'Model (SN)'!E25-'Model (SC)'!E25</f>
        <v>0</v>
      </c>
      <c r="F28" s="91">
        <f>'Model (SN)'!F25-'Model (SC)'!F25</f>
        <v>0</v>
      </c>
      <c r="G28" s="91">
        <f>'Model (SN)'!G25-'Model (SC)'!G25</f>
        <v>0</v>
      </c>
      <c r="H28" s="91">
        <f>'Model (SN)'!H25-'Model (SC)'!H25</f>
        <v>0</v>
      </c>
      <c r="I28" s="91">
        <f>'Model (SN)'!I25-'Model (SC)'!I25</f>
        <v>0</v>
      </c>
      <c r="J28" s="91">
        <f>'Model (SN)'!J25-'Model (SC)'!J25</f>
        <v>0</v>
      </c>
      <c r="K28" s="91">
        <f>'Model (SN)'!K25-'Model (SC)'!K25</f>
        <v>0</v>
      </c>
      <c r="L28" s="91">
        <f>'Model (SN)'!L25-'Model (SC)'!L25</f>
        <v>0</v>
      </c>
      <c r="M28" s="91">
        <f>'Model (SN)'!M25-'Model (SC)'!M25</f>
        <v>0</v>
      </c>
      <c r="N28" s="91">
        <f>'Model (SN)'!N25-'Model (SC)'!N25</f>
        <v>0</v>
      </c>
      <c r="O28" s="91">
        <f>'Model (SN)'!O25-'Model (SC)'!O25</f>
        <v>0</v>
      </c>
      <c r="P28" s="91">
        <f>'Model (SN)'!P25-'Model (SC)'!P25</f>
        <v>0</v>
      </c>
      <c r="Q28" s="91">
        <f>'Model (SN)'!Q25-'Model (SC)'!Q25</f>
        <v>0</v>
      </c>
      <c r="R28" s="91">
        <f>'Model (SN)'!R25-'Model (SC)'!R25</f>
        <v>0</v>
      </c>
      <c r="S28" s="91">
        <f>'Model (SN)'!S25-'Model (SC)'!S25</f>
        <v>0</v>
      </c>
      <c r="T28" s="91">
        <f>'Model (SN)'!T25-'Model (SC)'!T25</f>
        <v>0</v>
      </c>
      <c r="U28" s="91">
        <f>'Model (SN)'!U25-'Model (SC)'!U25</f>
        <v>0</v>
      </c>
      <c r="V28" s="91">
        <f>'Model (SN)'!V25-'Model (SC)'!V25</f>
        <v>0</v>
      </c>
    </row>
    <row r="29" spans="1:26" x14ac:dyDescent="0.25">
      <c r="A29" s="82"/>
      <c r="B29" s="63" t="s">
        <v>140</v>
      </c>
      <c r="C29" s="90">
        <f>'Model (SN)'!C26-'Model (SC)'!C26</f>
        <v>0</v>
      </c>
      <c r="D29" s="91">
        <f>'Model (SN)'!D26-'Model (SC)'!D26</f>
        <v>0</v>
      </c>
      <c r="E29" s="91">
        <f>'Model (SN)'!E26-'Model (SC)'!E26</f>
        <v>0</v>
      </c>
      <c r="F29" s="91">
        <f>'Model (SN)'!F26-'Model (SC)'!F26</f>
        <v>0</v>
      </c>
      <c r="G29" s="91">
        <f>'Model (SN)'!G26-'Model (SC)'!G26</f>
        <v>0</v>
      </c>
      <c r="H29" s="91">
        <f>'Model (SN)'!H26-'Model (SC)'!H26</f>
        <v>0</v>
      </c>
      <c r="I29" s="91">
        <f>'Model (SN)'!I26-'Model (SC)'!I26</f>
        <v>0</v>
      </c>
      <c r="J29" s="91">
        <f>'Model (SN)'!J26-'Model (SC)'!J26</f>
        <v>0</v>
      </c>
      <c r="K29" s="91">
        <f>'Model (SN)'!K26-'Model (SC)'!K26</f>
        <v>0</v>
      </c>
      <c r="L29" s="91">
        <f>'Model (SN)'!L26-'Model (SC)'!L26</f>
        <v>0</v>
      </c>
      <c r="M29" s="91">
        <f>'Model (SN)'!M26-'Model (SC)'!M26</f>
        <v>0</v>
      </c>
      <c r="N29" s="91">
        <f>'Model (SN)'!N26-'Model (SC)'!N26</f>
        <v>0</v>
      </c>
      <c r="O29" s="91">
        <f>'Model (SN)'!O26-'Model (SC)'!O26</f>
        <v>0</v>
      </c>
      <c r="P29" s="91">
        <f>'Model (SN)'!P26-'Model (SC)'!P26</f>
        <v>0</v>
      </c>
      <c r="Q29" s="91">
        <f>'Model (SN)'!Q26-'Model (SC)'!Q26</f>
        <v>0</v>
      </c>
      <c r="R29" s="91">
        <f>'Model (SN)'!R26-'Model (SC)'!R26</f>
        <v>0</v>
      </c>
      <c r="S29" s="91">
        <f>'Model (SN)'!S26-'Model (SC)'!S26</f>
        <v>0</v>
      </c>
      <c r="T29" s="91">
        <f>'Model (SN)'!T26-'Model (SC)'!T26</f>
        <v>0</v>
      </c>
      <c r="U29" s="91">
        <f>'Model (SN)'!U26-'Model (SC)'!U26</f>
        <v>0</v>
      </c>
      <c r="V29" s="91">
        <f>'Model (SN)'!V26-'Model (SC)'!V26</f>
        <v>0</v>
      </c>
    </row>
    <row r="30" spans="1:26" x14ac:dyDescent="0.25">
      <c r="A30" s="82"/>
      <c r="B30" s="63" t="s">
        <v>141</v>
      </c>
      <c r="C30" s="90">
        <f>'Model (SN)'!C27-'Model (SC)'!C27</f>
        <v>0</v>
      </c>
      <c r="D30" s="91">
        <f>'Model (SN)'!D27-'Model (SC)'!D27</f>
        <v>0</v>
      </c>
      <c r="E30" s="91">
        <f>'Model (SN)'!E27-'Model (SC)'!E27</f>
        <v>0</v>
      </c>
      <c r="F30" s="91">
        <f>'Model (SN)'!F27-'Model (SC)'!F27</f>
        <v>0</v>
      </c>
      <c r="G30" s="91">
        <f>'Model (SN)'!G27-'Model (SC)'!G27</f>
        <v>0</v>
      </c>
      <c r="H30" s="91">
        <f>'Model (SN)'!H27-'Model (SC)'!H27</f>
        <v>0</v>
      </c>
      <c r="I30" s="91">
        <f>'Model (SN)'!I27-'Model (SC)'!I27</f>
        <v>0</v>
      </c>
      <c r="J30" s="91">
        <f>'Model (SN)'!J27-'Model (SC)'!J27</f>
        <v>0</v>
      </c>
      <c r="K30" s="91">
        <f>'Model (SN)'!K27-'Model (SC)'!K27</f>
        <v>0</v>
      </c>
      <c r="L30" s="91">
        <f>'Model (SN)'!L27-'Model (SC)'!L27</f>
        <v>0</v>
      </c>
      <c r="M30" s="91">
        <f>'Model (SN)'!M27-'Model (SC)'!M27</f>
        <v>0</v>
      </c>
      <c r="N30" s="91">
        <f>'Model (SN)'!N27-'Model (SC)'!N27</f>
        <v>0</v>
      </c>
      <c r="O30" s="91">
        <f>'Model (SN)'!O27-'Model (SC)'!O27</f>
        <v>0</v>
      </c>
      <c r="P30" s="91">
        <f>'Model (SN)'!P27-'Model (SC)'!P27</f>
        <v>0</v>
      </c>
      <c r="Q30" s="91">
        <f>'Model (SN)'!Q27-'Model (SC)'!Q27</f>
        <v>0</v>
      </c>
      <c r="R30" s="91">
        <f>'Model (SN)'!R27-'Model (SC)'!R27</f>
        <v>0</v>
      </c>
      <c r="S30" s="91">
        <f>'Model (SN)'!S27-'Model (SC)'!S27</f>
        <v>0</v>
      </c>
      <c r="T30" s="91">
        <f>'Model (SN)'!T27-'Model (SC)'!T27</f>
        <v>0</v>
      </c>
      <c r="U30" s="91">
        <f>'Model (SN)'!U27-'Model (SC)'!U27</f>
        <v>0</v>
      </c>
      <c r="V30" s="91">
        <f>'Model (SN)'!V27-'Model (SC)'!V27</f>
        <v>0</v>
      </c>
    </row>
    <row r="31" spans="1:26" x14ac:dyDescent="0.25">
      <c r="A31" s="82"/>
      <c r="B31" s="63" t="s">
        <v>142</v>
      </c>
      <c r="C31" s="90">
        <f>'Model (SN)'!C28-'Model (SC)'!C28</f>
        <v>0</v>
      </c>
      <c r="D31" s="91">
        <f>'Model (SN)'!D28-'Model (SC)'!D28</f>
        <v>0</v>
      </c>
      <c r="E31" s="91">
        <f>'Model (SN)'!E28-'Model (SC)'!E28</f>
        <v>0</v>
      </c>
      <c r="F31" s="91">
        <f>'Model (SN)'!F28-'Model (SC)'!F28</f>
        <v>0</v>
      </c>
      <c r="G31" s="91">
        <f>'Model (SN)'!G28-'Model (SC)'!G28</f>
        <v>0</v>
      </c>
      <c r="H31" s="91">
        <f>'Model (SN)'!H28-'Model (SC)'!H28</f>
        <v>0</v>
      </c>
      <c r="I31" s="91">
        <f>'Model (SN)'!I28-'Model (SC)'!I28</f>
        <v>0</v>
      </c>
      <c r="J31" s="91">
        <f>'Model (SN)'!J28-'Model (SC)'!J28</f>
        <v>0</v>
      </c>
      <c r="K31" s="91">
        <f>'Model (SN)'!K28-'Model (SC)'!K28</f>
        <v>0</v>
      </c>
      <c r="L31" s="91">
        <f>'Model (SN)'!L28-'Model (SC)'!L28</f>
        <v>0</v>
      </c>
      <c r="M31" s="91">
        <f>'Model (SN)'!M28-'Model (SC)'!M28</f>
        <v>0</v>
      </c>
      <c r="N31" s="91">
        <f>'Model (SN)'!N28-'Model (SC)'!N28</f>
        <v>0</v>
      </c>
      <c r="O31" s="91">
        <f>'Model (SN)'!O28-'Model (SC)'!O28</f>
        <v>0</v>
      </c>
      <c r="P31" s="91">
        <f>'Model (SN)'!P28-'Model (SC)'!P28</f>
        <v>0</v>
      </c>
      <c r="Q31" s="91">
        <f>'Model (SN)'!Q28-'Model (SC)'!Q28</f>
        <v>0</v>
      </c>
      <c r="R31" s="91">
        <f>'Model (SN)'!R28-'Model (SC)'!R28</f>
        <v>0</v>
      </c>
      <c r="S31" s="91">
        <f>'Model (SN)'!S28-'Model (SC)'!S28</f>
        <v>0</v>
      </c>
      <c r="T31" s="91">
        <f>'Model (SN)'!T28-'Model (SC)'!T28</f>
        <v>0</v>
      </c>
      <c r="U31" s="91">
        <f>'Model (SN)'!U28-'Model (SC)'!U28</f>
        <v>0</v>
      </c>
      <c r="V31" s="91">
        <f>'Model (SN)'!V28-'Model (SC)'!V28</f>
        <v>0</v>
      </c>
    </row>
    <row r="32" spans="1:26" x14ac:dyDescent="0.25">
      <c r="A32" s="82"/>
      <c r="B32" s="64" t="s">
        <v>130</v>
      </c>
      <c r="C32" s="90">
        <f>'Model (SN)'!C29-'Model (SC)'!C29</f>
        <v>0</v>
      </c>
      <c r="D32" s="91">
        <f>'Model (SN)'!D29-'Model (SC)'!D29</f>
        <v>0</v>
      </c>
      <c r="E32" s="91">
        <f>'Model (SN)'!E29-'Model (SC)'!E29</f>
        <v>0</v>
      </c>
      <c r="F32" s="91">
        <f>'Model (SN)'!F29-'Model (SC)'!F29</f>
        <v>0</v>
      </c>
      <c r="G32" s="91">
        <f>'Model (SN)'!G29-'Model (SC)'!G29</f>
        <v>0</v>
      </c>
      <c r="H32" s="91">
        <f>'Model (SN)'!H29-'Model (SC)'!H29</f>
        <v>0</v>
      </c>
      <c r="I32" s="91">
        <f>'Model (SN)'!I29-'Model (SC)'!I29</f>
        <v>0</v>
      </c>
      <c r="J32" s="91">
        <f>'Model (SN)'!J29-'Model (SC)'!J29</f>
        <v>0</v>
      </c>
      <c r="K32" s="91">
        <f>'Model (SN)'!K29-'Model (SC)'!K29</f>
        <v>0</v>
      </c>
      <c r="L32" s="91">
        <f>'Model (SN)'!L29-'Model (SC)'!L29</f>
        <v>0</v>
      </c>
      <c r="M32" s="91">
        <f>'Model (SN)'!M29-'Model (SC)'!M29</f>
        <v>0</v>
      </c>
      <c r="N32" s="91">
        <f>'Model (SN)'!N29-'Model (SC)'!N29</f>
        <v>0</v>
      </c>
      <c r="O32" s="91">
        <f>'Model (SN)'!O29-'Model (SC)'!O29</f>
        <v>0</v>
      </c>
      <c r="P32" s="91">
        <f>'Model (SN)'!P29-'Model (SC)'!P29</f>
        <v>0</v>
      </c>
      <c r="Q32" s="91">
        <f>'Model (SN)'!Q29-'Model (SC)'!Q29</f>
        <v>0</v>
      </c>
      <c r="R32" s="91">
        <f>'Model (SN)'!R29-'Model (SC)'!R29</f>
        <v>0</v>
      </c>
      <c r="S32" s="91">
        <f>'Model (SN)'!S29-'Model (SC)'!S29</f>
        <v>0</v>
      </c>
      <c r="T32" s="91">
        <f>'Model (SN)'!T29-'Model (SC)'!T29</f>
        <v>0</v>
      </c>
      <c r="U32" s="91">
        <f>'Model (SN)'!U29-'Model (SC)'!U29</f>
        <v>0</v>
      </c>
      <c r="V32" s="91">
        <f>'Model (SN)'!V29-'Model (SC)'!V29</f>
        <v>0</v>
      </c>
      <c r="Z32" s="71"/>
    </row>
    <row r="33" spans="1:26" x14ac:dyDescent="0.25">
      <c r="A33" s="82"/>
      <c r="B33" s="63" t="s">
        <v>143</v>
      </c>
      <c r="C33" s="90">
        <f>'Model (SN)'!C30-'Model (SC)'!C30</f>
        <v>0</v>
      </c>
      <c r="D33" s="91">
        <f>'Model (SN)'!D30-'Model (SC)'!D30</f>
        <v>0</v>
      </c>
      <c r="E33" s="91">
        <f>'Model (SN)'!E30-'Model (SC)'!E30</f>
        <v>0</v>
      </c>
      <c r="F33" s="91">
        <f>'Model (SN)'!F30-'Model (SC)'!F30</f>
        <v>0</v>
      </c>
      <c r="G33" s="91">
        <f>'Model (SN)'!G30-'Model (SC)'!G30</f>
        <v>0</v>
      </c>
      <c r="H33" s="91">
        <f>'Model (SN)'!H30-'Model (SC)'!H30</f>
        <v>0</v>
      </c>
      <c r="I33" s="91">
        <f>'Model (SN)'!I30-'Model (SC)'!I30</f>
        <v>0</v>
      </c>
      <c r="J33" s="91">
        <f>'Model (SN)'!J30-'Model (SC)'!J30</f>
        <v>0</v>
      </c>
      <c r="K33" s="91">
        <f>'Model (SN)'!K30-'Model (SC)'!K30</f>
        <v>0</v>
      </c>
      <c r="L33" s="91">
        <f>'Model (SN)'!L30-'Model (SC)'!L30</f>
        <v>0</v>
      </c>
      <c r="M33" s="91">
        <f>'Model (SN)'!M30-'Model (SC)'!M30</f>
        <v>0</v>
      </c>
      <c r="N33" s="91">
        <f>'Model (SN)'!N30-'Model (SC)'!N30</f>
        <v>0</v>
      </c>
      <c r="O33" s="91">
        <f>'Model (SN)'!O30-'Model (SC)'!O30</f>
        <v>0</v>
      </c>
      <c r="P33" s="91">
        <f>'Model (SN)'!P30-'Model (SC)'!P30</f>
        <v>0</v>
      </c>
      <c r="Q33" s="91">
        <f>'Model (SN)'!Q30-'Model (SC)'!Q30</f>
        <v>0</v>
      </c>
      <c r="R33" s="91">
        <f>'Model (SN)'!R30-'Model (SC)'!R30</f>
        <v>0</v>
      </c>
      <c r="S33" s="91">
        <f>'Model (SN)'!S30-'Model (SC)'!S30</f>
        <v>0</v>
      </c>
      <c r="T33" s="91">
        <f>'Model (SN)'!T30-'Model (SC)'!T30</f>
        <v>0</v>
      </c>
      <c r="U33" s="91">
        <f>'Model (SN)'!U30-'Model (SC)'!U30</f>
        <v>0</v>
      </c>
      <c r="V33" s="91">
        <f>'Model (SN)'!V30-'Model (SC)'!V30</f>
        <v>0</v>
      </c>
    </row>
    <row r="34" spans="1:26" x14ac:dyDescent="0.25">
      <c r="A34" s="82"/>
      <c r="B34" s="63" t="s">
        <v>731</v>
      </c>
      <c r="C34" s="90">
        <f>'Model (SN)'!C31-'Model (SC)'!C31</f>
        <v>0</v>
      </c>
      <c r="D34" s="91">
        <f>'Model (SN)'!D31-'Model (SC)'!D31</f>
        <v>0</v>
      </c>
      <c r="E34" s="91">
        <f>'Model (SN)'!E31-'Model (SC)'!E31</f>
        <v>0</v>
      </c>
      <c r="F34" s="91">
        <f>'Model (SN)'!F31-'Model (SC)'!F31</f>
        <v>0</v>
      </c>
      <c r="G34" s="91">
        <f>'Model (SN)'!G31-'Model (SC)'!G31</f>
        <v>0</v>
      </c>
      <c r="H34" s="91">
        <f>'Model (SN)'!H31-'Model (SC)'!H31</f>
        <v>0</v>
      </c>
      <c r="I34" s="91">
        <f>'Model (SN)'!I31-'Model (SC)'!I31</f>
        <v>0</v>
      </c>
      <c r="J34" s="91">
        <f>'Model (SN)'!J31-'Model (SC)'!J31</f>
        <v>0</v>
      </c>
      <c r="K34" s="91">
        <f>'Model (SN)'!K31-'Model (SC)'!K31</f>
        <v>0</v>
      </c>
      <c r="L34" s="91">
        <f>'Model (SN)'!L31-'Model (SC)'!L31</f>
        <v>0</v>
      </c>
      <c r="M34" s="91">
        <f>'Model (SN)'!M31-'Model (SC)'!M31</f>
        <v>0</v>
      </c>
      <c r="N34" s="91">
        <f>'Model (SN)'!N31-'Model (SC)'!N31</f>
        <v>0</v>
      </c>
      <c r="O34" s="91">
        <f>'Model (SN)'!O31-'Model (SC)'!O31</f>
        <v>0</v>
      </c>
      <c r="P34" s="91">
        <f>'Model (SN)'!P31-'Model (SC)'!P31</f>
        <v>0</v>
      </c>
      <c r="Q34" s="91">
        <f>'Model (SN)'!Q31-'Model (SC)'!Q31</f>
        <v>0</v>
      </c>
      <c r="R34" s="91">
        <f>'Model (SN)'!R31-'Model (SC)'!R31</f>
        <v>0</v>
      </c>
      <c r="S34" s="91">
        <f>'Model (SN)'!S31-'Model (SC)'!S31</f>
        <v>0</v>
      </c>
      <c r="T34" s="91">
        <f>'Model (SN)'!T31-'Model (SC)'!T31</f>
        <v>0</v>
      </c>
      <c r="U34" s="91">
        <f>'Model (SN)'!U31-'Model (SC)'!U31</f>
        <v>0</v>
      </c>
      <c r="V34" s="91">
        <f>'Model (SN)'!V31-'Model (SC)'!V31</f>
        <v>0</v>
      </c>
      <c r="Z34" s="71"/>
    </row>
    <row r="35" spans="1:26" x14ac:dyDescent="0.25">
      <c r="A35" s="82"/>
      <c r="B35" s="63" t="s">
        <v>144</v>
      </c>
      <c r="C35" s="90">
        <f>'Model (SN)'!C32-'Model (SC)'!C32</f>
        <v>0</v>
      </c>
      <c r="D35" s="91">
        <f>'Model (SN)'!D32-'Model (SC)'!D32</f>
        <v>0</v>
      </c>
      <c r="E35" s="91">
        <f>'Model (SN)'!E32-'Model (SC)'!E32</f>
        <v>0</v>
      </c>
      <c r="F35" s="91">
        <f>'Model (SN)'!F32-'Model (SC)'!F32</f>
        <v>0</v>
      </c>
      <c r="G35" s="91">
        <f>'Model (SN)'!G32-'Model (SC)'!G32</f>
        <v>0</v>
      </c>
      <c r="H35" s="91">
        <f>'Model (SN)'!H32-'Model (SC)'!H32</f>
        <v>0</v>
      </c>
      <c r="I35" s="91">
        <f>'Model (SN)'!I32-'Model (SC)'!I32</f>
        <v>0</v>
      </c>
      <c r="J35" s="91">
        <f>'Model (SN)'!J32-'Model (SC)'!J32</f>
        <v>0</v>
      </c>
      <c r="K35" s="91">
        <f>'Model (SN)'!K32-'Model (SC)'!K32</f>
        <v>0</v>
      </c>
      <c r="L35" s="91">
        <f>'Model (SN)'!L32-'Model (SC)'!L32</f>
        <v>0</v>
      </c>
      <c r="M35" s="91">
        <f>'Model (SN)'!M32-'Model (SC)'!M32</f>
        <v>0</v>
      </c>
      <c r="N35" s="91">
        <f>'Model (SN)'!N32-'Model (SC)'!N32</f>
        <v>0</v>
      </c>
      <c r="O35" s="91">
        <f>'Model (SN)'!O32-'Model (SC)'!O32</f>
        <v>0</v>
      </c>
      <c r="P35" s="91">
        <f>'Model (SN)'!P32-'Model (SC)'!P32</f>
        <v>0</v>
      </c>
      <c r="Q35" s="91">
        <f>'Model (SN)'!Q32-'Model (SC)'!Q32</f>
        <v>0</v>
      </c>
      <c r="R35" s="91">
        <f>'Model (SN)'!R32-'Model (SC)'!R32</f>
        <v>0</v>
      </c>
      <c r="S35" s="91">
        <f>'Model (SN)'!S32-'Model (SC)'!S32</f>
        <v>0</v>
      </c>
      <c r="T35" s="91">
        <f>'Model (SN)'!T32-'Model (SC)'!T32</f>
        <v>0</v>
      </c>
      <c r="U35" s="91">
        <f>'Model (SN)'!U32-'Model (SC)'!U32</f>
        <v>0</v>
      </c>
      <c r="V35" s="91">
        <f>'Model (SN)'!V32-'Model (SC)'!V32</f>
        <v>0</v>
      </c>
      <c r="Z35" s="71"/>
    </row>
    <row r="36" spans="1:26" x14ac:dyDescent="0.25">
      <c r="A36" s="82"/>
      <c r="B36" s="63" t="s">
        <v>145</v>
      </c>
      <c r="C36" s="90">
        <f>'Model (SN)'!C33-'Model (SC)'!C33</f>
        <v>0</v>
      </c>
      <c r="D36" s="91">
        <f>'Model (SN)'!D33-'Model (SC)'!D33</f>
        <v>0</v>
      </c>
      <c r="E36" s="91">
        <f>'Model (SN)'!E33-'Model (SC)'!E33</f>
        <v>0</v>
      </c>
      <c r="F36" s="91">
        <f>'Model (SN)'!F33-'Model (SC)'!F33</f>
        <v>0</v>
      </c>
      <c r="G36" s="91">
        <f>'Model (SN)'!G33-'Model (SC)'!G33</f>
        <v>0</v>
      </c>
      <c r="H36" s="91">
        <f>'Model (SN)'!H33-'Model (SC)'!H33</f>
        <v>0</v>
      </c>
      <c r="I36" s="91">
        <f>'Model (SN)'!I33-'Model (SC)'!I33</f>
        <v>0</v>
      </c>
      <c r="J36" s="91">
        <f>'Model (SN)'!J33-'Model (SC)'!J33</f>
        <v>0</v>
      </c>
      <c r="K36" s="91">
        <f>'Model (SN)'!K33-'Model (SC)'!K33</f>
        <v>0</v>
      </c>
      <c r="L36" s="91">
        <f>'Model (SN)'!L33-'Model (SC)'!L33</f>
        <v>0</v>
      </c>
      <c r="M36" s="91">
        <f>'Model (SN)'!M33-'Model (SC)'!M33</f>
        <v>0</v>
      </c>
      <c r="N36" s="91">
        <f>'Model (SN)'!N33-'Model (SC)'!N33</f>
        <v>0</v>
      </c>
      <c r="O36" s="91">
        <f>'Model (SN)'!O33-'Model (SC)'!O33</f>
        <v>0</v>
      </c>
      <c r="P36" s="91">
        <f>'Model (SN)'!P33-'Model (SC)'!P33</f>
        <v>0</v>
      </c>
      <c r="Q36" s="91">
        <f>'Model (SN)'!Q33-'Model (SC)'!Q33</f>
        <v>0</v>
      </c>
      <c r="R36" s="91">
        <f>'Model (SN)'!R33-'Model (SC)'!R33</f>
        <v>0</v>
      </c>
      <c r="S36" s="91">
        <f>'Model (SN)'!S33-'Model (SC)'!S33</f>
        <v>0</v>
      </c>
      <c r="T36" s="91">
        <f>'Model (SN)'!T33-'Model (SC)'!T33</f>
        <v>0</v>
      </c>
      <c r="U36" s="91">
        <f>'Model (SN)'!U33-'Model (SC)'!U33</f>
        <v>0</v>
      </c>
      <c r="V36" s="91">
        <f>'Model (SN)'!V33-'Model (SC)'!V33</f>
        <v>0</v>
      </c>
      <c r="Z36" s="71"/>
    </row>
    <row r="37" spans="1:26" x14ac:dyDescent="0.25">
      <c r="A37" s="82"/>
      <c r="B37" s="63" t="s">
        <v>146</v>
      </c>
      <c r="C37" s="90">
        <f>'Model (SN)'!C34-'Model (SC)'!C34</f>
        <v>0</v>
      </c>
      <c r="D37" s="91">
        <f>'Model (SN)'!D34-'Model (SC)'!D34</f>
        <v>0</v>
      </c>
      <c r="E37" s="91">
        <f>'Model (SN)'!E34-'Model (SC)'!E34</f>
        <v>0</v>
      </c>
      <c r="F37" s="91">
        <f>'Model (SN)'!F34-'Model (SC)'!F34</f>
        <v>0</v>
      </c>
      <c r="G37" s="91">
        <f>'Model (SN)'!G34-'Model (SC)'!G34</f>
        <v>0</v>
      </c>
      <c r="H37" s="91">
        <f>'Model (SN)'!H34-'Model (SC)'!H34</f>
        <v>0</v>
      </c>
      <c r="I37" s="91">
        <f>'Model (SN)'!I34-'Model (SC)'!I34</f>
        <v>0</v>
      </c>
      <c r="J37" s="91">
        <f>'Model (SN)'!J34-'Model (SC)'!J34</f>
        <v>0</v>
      </c>
      <c r="K37" s="91">
        <f>'Model (SN)'!K34-'Model (SC)'!K34</f>
        <v>0</v>
      </c>
      <c r="L37" s="91">
        <f>'Model (SN)'!L34-'Model (SC)'!L34</f>
        <v>0</v>
      </c>
      <c r="M37" s="91">
        <f>'Model (SN)'!M34-'Model (SC)'!M34</f>
        <v>0</v>
      </c>
      <c r="N37" s="91">
        <f>'Model (SN)'!N34-'Model (SC)'!N34</f>
        <v>0</v>
      </c>
      <c r="O37" s="91">
        <f>'Model (SN)'!O34-'Model (SC)'!O34</f>
        <v>0</v>
      </c>
      <c r="P37" s="91">
        <f>'Model (SN)'!P34-'Model (SC)'!P34</f>
        <v>0</v>
      </c>
      <c r="Q37" s="91">
        <f>'Model (SN)'!Q34-'Model (SC)'!Q34</f>
        <v>0</v>
      </c>
      <c r="R37" s="91">
        <f>'Model (SN)'!R34-'Model (SC)'!R34</f>
        <v>0</v>
      </c>
      <c r="S37" s="91">
        <f>'Model (SN)'!S34-'Model (SC)'!S34</f>
        <v>0</v>
      </c>
      <c r="T37" s="91">
        <f>'Model (SN)'!T34-'Model (SC)'!T34</f>
        <v>0</v>
      </c>
      <c r="U37" s="91">
        <f>'Model (SN)'!U34-'Model (SC)'!U34</f>
        <v>0</v>
      </c>
      <c r="V37" s="91">
        <f>'Model (SN)'!V34-'Model (SC)'!V34</f>
        <v>0</v>
      </c>
      <c r="Z37" s="71"/>
    </row>
    <row r="38" spans="1:26" x14ac:dyDescent="0.25">
      <c r="A38" s="82"/>
      <c r="B38" s="98" t="s">
        <v>131</v>
      </c>
      <c r="C38" s="90">
        <f>'Model (SN)'!C35-'Model (SC)'!C35</f>
        <v>0</v>
      </c>
      <c r="D38" s="91">
        <f>'Model (SN)'!D35-'Model (SC)'!D35</f>
        <v>0</v>
      </c>
      <c r="E38" s="91">
        <f>'Model (SN)'!E35-'Model (SC)'!E35</f>
        <v>0</v>
      </c>
      <c r="F38" s="91">
        <f>'Model (SN)'!F35-'Model (SC)'!F35</f>
        <v>0</v>
      </c>
      <c r="G38" s="91">
        <f>'Model (SN)'!G35-'Model (SC)'!G35</f>
        <v>0</v>
      </c>
      <c r="H38" s="91">
        <f>'Model (SN)'!H35-'Model (SC)'!H35</f>
        <v>0</v>
      </c>
      <c r="I38" s="91">
        <f>'Model (SN)'!I35-'Model (SC)'!I35</f>
        <v>0</v>
      </c>
      <c r="J38" s="91">
        <f>'Model (SN)'!J35-'Model (SC)'!J35</f>
        <v>0</v>
      </c>
      <c r="K38" s="91">
        <f>'Model (SN)'!K35-'Model (SC)'!K35</f>
        <v>0</v>
      </c>
      <c r="L38" s="91">
        <f>'Model (SN)'!L35-'Model (SC)'!L35</f>
        <v>0</v>
      </c>
      <c r="M38" s="91">
        <f>'Model (SN)'!M35-'Model (SC)'!M35</f>
        <v>0</v>
      </c>
      <c r="N38" s="91">
        <f>'Model (SN)'!N35-'Model (SC)'!N35</f>
        <v>0</v>
      </c>
      <c r="O38" s="91">
        <f>'Model (SN)'!O35-'Model (SC)'!O35</f>
        <v>0</v>
      </c>
      <c r="P38" s="91">
        <f>'Model (SN)'!P35-'Model (SC)'!P35</f>
        <v>0</v>
      </c>
      <c r="Q38" s="91">
        <f>'Model (SN)'!Q35-'Model (SC)'!Q35</f>
        <v>0</v>
      </c>
      <c r="R38" s="91">
        <f>'Model (SN)'!R35-'Model (SC)'!R35</f>
        <v>0</v>
      </c>
      <c r="S38" s="91">
        <f>'Model (SN)'!S35-'Model (SC)'!S35</f>
        <v>0</v>
      </c>
      <c r="T38" s="91">
        <f>'Model (SN)'!T35-'Model (SC)'!T35</f>
        <v>0</v>
      </c>
      <c r="U38" s="91">
        <f>'Model (SN)'!U35-'Model (SC)'!U35</f>
        <v>0</v>
      </c>
      <c r="V38" s="91">
        <f>'Model (SN)'!V35-'Model (SC)'!V35</f>
        <v>0</v>
      </c>
      <c r="Z38" s="71"/>
    </row>
    <row r="39" spans="1:26" x14ac:dyDescent="0.25">
      <c r="A39" s="86" t="s">
        <v>315</v>
      </c>
      <c r="B39" s="64"/>
      <c r="C39" s="90">
        <f>'Model (SN)'!C36-'Model (SC)'!C36</f>
        <v>0</v>
      </c>
      <c r="D39" s="91">
        <f>'Model (SN)'!D36-'Model (SC)'!D36</f>
        <v>0</v>
      </c>
      <c r="E39" s="91">
        <f>'Model (SN)'!E36-'Model (SC)'!E36</f>
        <v>0</v>
      </c>
      <c r="F39" s="91">
        <f>'Model (SN)'!F36-'Model (SC)'!F36</f>
        <v>0</v>
      </c>
      <c r="G39" s="91">
        <f>'Model (SN)'!G36-'Model (SC)'!G36</f>
        <v>0</v>
      </c>
      <c r="H39" s="91">
        <f>'Model (SN)'!H36-'Model (SC)'!H36</f>
        <v>0</v>
      </c>
      <c r="I39" s="91">
        <f>'Model (SN)'!I36-'Model (SC)'!I36</f>
        <v>0</v>
      </c>
      <c r="J39" s="91">
        <f>'Model (SN)'!J36-'Model (SC)'!J36</f>
        <v>0</v>
      </c>
      <c r="K39" s="91">
        <f>'Model (SN)'!K36-'Model (SC)'!K36</f>
        <v>0</v>
      </c>
      <c r="L39" s="91">
        <f>'Model (SN)'!L36-'Model (SC)'!L36</f>
        <v>0</v>
      </c>
      <c r="M39" s="91">
        <f>'Model (SN)'!M36-'Model (SC)'!M36</f>
        <v>0</v>
      </c>
      <c r="N39" s="91">
        <f>'Model (SN)'!N36-'Model (SC)'!N36</f>
        <v>0</v>
      </c>
      <c r="O39" s="91">
        <f>'Model (SN)'!O36-'Model (SC)'!O36</f>
        <v>0</v>
      </c>
      <c r="P39" s="91">
        <f>'Model (SN)'!P36-'Model (SC)'!P36</f>
        <v>0</v>
      </c>
      <c r="Q39" s="91">
        <f>'Model (SN)'!Q36-'Model (SC)'!Q36</f>
        <v>0</v>
      </c>
      <c r="R39" s="91">
        <f>'Model (SN)'!R36-'Model (SC)'!R36</f>
        <v>0</v>
      </c>
      <c r="S39" s="91">
        <f>'Model (SN)'!S36-'Model (SC)'!S36</f>
        <v>0</v>
      </c>
      <c r="T39" s="91">
        <f>'Model (SN)'!T36-'Model (SC)'!T36</f>
        <v>0</v>
      </c>
      <c r="U39" s="91">
        <f>'Model (SN)'!U36-'Model (SC)'!U36</f>
        <v>0</v>
      </c>
      <c r="V39" s="91">
        <f>'Model (SN)'!V36-'Model (SC)'!V36</f>
        <v>0</v>
      </c>
    </row>
    <row r="40" spans="1:26" x14ac:dyDescent="0.25">
      <c r="A40" s="82"/>
      <c r="B40" s="64" t="s">
        <v>124</v>
      </c>
      <c r="C40" s="90">
        <f>'Model (SN)'!C37-'Model (SC)'!C37</f>
        <v>0</v>
      </c>
      <c r="D40" s="91">
        <f>'Model (SN)'!D37-'Model (SC)'!D37</f>
        <v>0</v>
      </c>
      <c r="E40" s="91">
        <f>'Model (SN)'!E37-'Model (SC)'!E37</f>
        <v>0</v>
      </c>
      <c r="F40" s="91">
        <f>'Model (SN)'!F37-'Model (SC)'!F37</f>
        <v>0</v>
      </c>
      <c r="G40" s="91">
        <f>'Model (SN)'!G37-'Model (SC)'!G37</f>
        <v>0</v>
      </c>
      <c r="H40" s="91">
        <f>'Model (SN)'!H37-'Model (SC)'!H37</f>
        <v>0</v>
      </c>
      <c r="I40" s="91">
        <f>'Model (SN)'!I37-'Model (SC)'!I37</f>
        <v>0</v>
      </c>
      <c r="J40" s="91">
        <f>'Model (SN)'!J37-'Model (SC)'!J37</f>
        <v>0</v>
      </c>
      <c r="K40" s="91">
        <f>'Model (SN)'!K37-'Model (SC)'!K37</f>
        <v>0</v>
      </c>
      <c r="L40" s="91">
        <f>'Model (SN)'!L37-'Model (SC)'!L37</f>
        <v>0</v>
      </c>
      <c r="M40" s="91">
        <f>'Model (SN)'!M37-'Model (SC)'!M37</f>
        <v>0</v>
      </c>
      <c r="N40" s="91">
        <f>'Model (SN)'!N37-'Model (SC)'!N37</f>
        <v>0</v>
      </c>
      <c r="O40" s="91">
        <f>'Model (SN)'!O37-'Model (SC)'!O37</f>
        <v>0</v>
      </c>
      <c r="P40" s="91">
        <f>'Model (SN)'!P37-'Model (SC)'!P37</f>
        <v>0</v>
      </c>
      <c r="Q40" s="91">
        <f>'Model (SN)'!Q37-'Model (SC)'!Q37</f>
        <v>0</v>
      </c>
      <c r="R40" s="91">
        <f>'Model (SN)'!R37-'Model (SC)'!R37</f>
        <v>0</v>
      </c>
      <c r="S40" s="91">
        <f>'Model (SN)'!S37-'Model (SC)'!S37</f>
        <v>0</v>
      </c>
      <c r="T40" s="91">
        <f>'Model (SN)'!T37-'Model (SC)'!T37</f>
        <v>0</v>
      </c>
      <c r="U40" s="91">
        <f>'Model (SN)'!U37-'Model (SC)'!U37</f>
        <v>0</v>
      </c>
      <c r="V40" s="91">
        <f>'Model (SN)'!V37-'Model (SC)'!V37</f>
        <v>0</v>
      </c>
    </row>
    <row r="41" spans="1:26" x14ac:dyDescent="0.25">
      <c r="A41" s="82"/>
      <c r="B41" s="64" t="s">
        <v>125</v>
      </c>
      <c r="C41" s="90">
        <f>'Model (SN)'!C38-'Model (SC)'!C38</f>
        <v>0</v>
      </c>
      <c r="D41" s="91">
        <f>'Model (SN)'!D38-'Model (SC)'!D38</f>
        <v>0</v>
      </c>
      <c r="E41" s="91">
        <f>'Model (SN)'!E38-'Model (SC)'!E38</f>
        <v>0</v>
      </c>
      <c r="F41" s="91">
        <f>'Model (SN)'!F38-'Model (SC)'!F38</f>
        <v>0</v>
      </c>
      <c r="G41" s="91">
        <f>'Model (SN)'!G38-'Model (SC)'!G38</f>
        <v>0</v>
      </c>
      <c r="H41" s="91">
        <f>'Model (SN)'!H38-'Model (SC)'!H38</f>
        <v>0</v>
      </c>
      <c r="I41" s="91">
        <f>'Model (SN)'!I38-'Model (SC)'!I38</f>
        <v>0</v>
      </c>
      <c r="J41" s="91">
        <f>'Model (SN)'!J38-'Model (SC)'!J38</f>
        <v>0</v>
      </c>
      <c r="K41" s="91">
        <f>'Model (SN)'!K38-'Model (SC)'!K38</f>
        <v>0</v>
      </c>
      <c r="L41" s="91">
        <f>'Model (SN)'!L38-'Model (SC)'!L38</f>
        <v>0</v>
      </c>
      <c r="M41" s="91">
        <f>'Model (SN)'!M38-'Model (SC)'!M38</f>
        <v>0</v>
      </c>
      <c r="N41" s="91">
        <f>'Model (SN)'!N38-'Model (SC)'!N38</f>
        <v>0</v>
      </c>
      <c r="O41" s="91">
        <f>'Model (SN)'!O38-'Model (SC)'!O38</f>
        <v>0</v>
      </c>
      <c r="P41" s="91">
        <f>'Model (SN)'!P38-'Model (SC)'!P38</f>
        <v>0</v>
      </c>
      <c r="Q41" s="91">
        <f>'Model (SN)'!Q38-'Model (SC)'!Q38</f>
        <v>0</v>
      </c>
      <c r="R41" s="91">
        <f>'Model (SN)'!R38-'Model (SC)'!R38</f>
        <v>0</v>
      </c>
      <c r="S41" s="91">
        <f>'Model (SN)'!S38-'Model (SC)'!S38</f>
        <v>0</v>
      </c>
      <c r="T41" s="91">
        <f>'Model (SN)'!T38-'Model (SC)'!T38</f>
        <v>0</v>
      </c>
      <c r="U41" s="91">
        <f>'Model (SN)'!U38-'Model (SC)'!U38</f>
        <v>0</v>
      </c>
      <c r="V41" s="91">
        <f>'Model (SN)'!V38-'Model (SC)'!V38</f>
        <v>0</v>
      </c>
    </row>
    <row r="42" spans="1:26" x14ac:dyDescent="0.25">
      <c r="A42" s="82"/>
      <c r="B42" s="64" t="s">
        <v>147</v>
      </c>
      <c r="C42" s="90">
        <f>'Model (SN)'!C39-'Model (SC)'!C39</f>
        <v>0</v>
      </c>
      <c r="D42" s="91">
        <f>'Model (SN)'!D39-'Model (SC)'!D39</f>
        <v>0</v>
      </c>
      <c r="E42" s="91">
        <f>'Model (SN)'!E39-'Model (SC)'!E39</f>
        <v>0</v>
      </c>
      <c r="F42" s="91">
        <f>'Model (SN)'!F39-'Model (SC)'!F39</f>
        <v>0</v>
      </c>
      <c r="G42" s="91">
        <f>'Model (SN)'!G39-'Model (SC)'!G39</f>
        <v>0</v>
      </c>
      <c r="H42" s="91">
        <f>'Model (SN)'!H39-'Model (SC)'!H39</f>
        <v>0</v>
      </c>
      <c r="I42" s="91">
        <f>'Model (SN)'!I39-'Model (SC)'!I39</f>
        <v>0</v>
      </c>
      <c r="J42" s="91">
        <f>'Model (SN)'!J39-'Model (SC)'!J39</f>
        <v>0</v>
      </c>
      <c r="K42" s="91">
        <f>'Model (SN)'!K39-'Model (SC)'!K39</f>
        <v>0</v>
      </c>
      <c r="L42" s="91">
        <f>'Model (SN)'!L39-'Model (SC)'!L39</f>
        <v>-64.238711735622473</v>
      </c>
      <c r="M42" s="91">
        <f>'Model (SN)'!M39-'Model (SC)'!M39</f>
        <v>-58.398796386802587</v>
      </c>
      <c r="N42" s="91">
        <f>'Model (SN)'!N39-'Model (SC)'!N39</f>
        <v>-56.179709560750325</v>
      </c>
      <c r="O42" s="91">
        <f>'Model (SN)'!O39-'Model (SC)'!O39</f>
        <v>-55.007337892559462</v>
      </c>
      <c r="P42" s="91">
        <f>'Model (SN)'!P39-'Model (SC)'!P39</f>
        <v>-54.538765135077483</v>
      </c>
      <c r="Q42" s="91">
        <f>'Model (SN)'!Q39-'Model (SC)'!Q39</f>
        <v>-54.51069845933398</v>
      </c>
      <c r="R42" s="91">
        <f>'Model (SN)'!R39-'Model (SC)'!R39</f>
        <v>-54.767818638608787</v>
      </c>
      <c r="S42" s="91">
        <f>'Model (SN)'!S39-'Model (SC)'!S39</f>
        <v>-55.211629800230639</v>
      </c>
      <c r="T42" s="91">
        <f>'Model (SN)'!T39-'Model (SC)'!T39</f>
        <v>-55.776016779646852</v>
      </c>
      <c r="U42" s="91">
        <f>'Model (SN)'!U39-'Model (SC)'!U39</f>
        <v>-56.415265763216667</v>
      </c>
      <c r="V42" s="91">
        <f>'Model (SN)'!V39-'Model (SC)'!V39</f>
        <v>-57.097536757150465</v>
      </c>
    </row>
    <row r="43" spans="1:26" x14ac:dyDescent="0.25">
      <c r="A43" s="82"/>
      <c r="B43" s="63" t="s">
        <v>148</v>
      </c>
      <c r="C43" s="90">
        <f>'Model (SN)'!C40-'Model (SC)'!C40</f>
        <v>0</v>
      </c>
      <c r="D43" s="91">
        <f>'Model (SN)'!D40-'Model (SC)'!D40</f>
        <v>0</v>
      </c>
      <c r="E43" s="91">
        <f>'Model (SN)'!E40-'Model (SC)'!E40</f>
        <v>0</v>
      </c>
      <c r="F43" s="91">
        <f>'Model (SN)'!F40-'Model (SC)'!F40</f>
        <v>0</v>
      </c>
      <c r="G43" s="91">
        <f>'Model (SN)'!G40-'Model (SC)'!G40</f>
        <v>0</v>
      </c>
      <c r="H43" s="91">
        <f>'Model (SN)'!H40-'Model (SC)'!H40</f>
        <v>0</v>
      </c>
      <c r="I43" s="91">
        <f>'Model (SN)'!I40-'Model (SC)'!I40</f>
        <v>0</v>
      </c>
      <c r="J43" s="91">
        <f>'Model (SN)'!J40-'Model (SC)'!J40</f>
        <v>0</v>
      </c>
      <c r="K43" s="91">
        <f>'Model (SN)'!K40-'Model (SC)'!K40</f>
        <v>0</v>
      </c>
      <c r="L43" s="91">
        <f>'Model (SN)'!L40-'Model (SC)'!L40</f>
        <v>0</v>
      </c>
      <c r="M43" s="91">
        <f>'Model (SN)'!M40-'Model (SC)'!M40</f>
        <v>-52.707206827504706</v>
      </c>
      <c r="N43" s="91">
        <f>'Model (SN)'!N40-'Model (SC)'!N40</f>
        <v>-97.083703945278103</v>
      </c>
      <c r="O43" s="91">
        <f>'Model (SN)'!O40-'Model (SC)'!O40</f>
        <v>-136.65972444027648</v>
      </c>
      <c r="P43" s="91">
        <f>'Model (SN)'!P40-'Model (SC)'!P40</f>
        <v>-172.61642391891291</v>
      </c>
      <c r="Q43" s="91">
        <f>'Model (SN)'!Q40-'Model (SC)'!Q40</f>
        <v>-205.77428792287174</v>
      </c>
      <c r="R43" s="91">
        <f>'Model (SN)'!R40-'Model (SC)'!R40</f>
        <v>-236.68267996115173</v>
      </c>
      <c r="S43" s="91">
        <f>'Model (SN)'!S40-'Model (SC)'!S40</f>
        <v>-265.72663771724547</v>
      </c>
      <c r="T43" s="91">
        <f>'Model (SN)'!T40-'Model (SC)'!T40</f>
        <v>-293.1845299795059</v>
      </c>
      <c r="U43" s="91">
        <f>'Model (SN)'!U40-'Model (SC)'!U40</f>
        <v>-319.26178715343485</v>
      </c>
      <c r="V43" s="91">
        <f>'Model (SN)'!V40-'Model (SC)'!V40</f>
        <v>-344.11253793872311</v>
      </c>
    </row>
    <row r="44" spans="1:26" x14ac:dyDescent="0.25">
      <c r="A44" s="82"/>
      <c r="B44" s="64" t="s">
        <v>133</v>
      </c>
      <c r="C44" s="90">
        <f>'Model (SN)'!C41-'Model (SC)'!C41</f>
        <v>0</v>
      </c>
      <c r="D44" s="91">
        <f>'Model (SN)'!D41-'Model (SC)'!D41</f>
        <v>0</v>
      </c>
      <c r="E44" s="91">
        <f>'Model (SN)'!E41-'Model (SC)'!E41</f>
        <v>0</v>
      </c>
      <c r="F44" s="91">
        <f>'Model (SN)'!F41-'Model (SC)'!F41</f>
        <v>0</v>
      </c>
      <c r="G44" s="91">
        <f>'Model (SN)'!G41-'Model (SC)'!G41</f>
        <v>0</v>
      </c>
      <c r="H44" s="91">
        <f>'Model (SN)'!H41-'Model (SC)'!H41</f>
        <v>0</v>
      </c>
      <c r="I44" s="91">
        <f>'Model (SN)'!I41-'Model (SC)'!I41</f>
        <v>0</v>
      </c>
      <c r="J44" s="91">
        <f>'Model (SN)'!J41-'Model (SC)'!J41</f>
        <v>0</v>
      </c>
      <c r="K44" s="91">
        <f>'Model (SN)'!K41-'Model (SC)'!K41</f>
        <v>0</v>
      </c>
      <c r="L44" s="91">
        <f>'Model (SN)'!L41-'Model (SC)'!L41</f>
        <v>0</v>
      </c>
      <c r="M44" s="91">
        <f>'Model (SN)'!M41-'Model (SC)'!M41</f>
        <v>0</v>
      </c>
      <c r="N44" s="91">
        <f>'Model (SN)'!N41-'Model (SC)'!N41</f>
        <v>-2.0856473466774332</v>
      </c>
      <c r="O44" s="91">
        <f>'Model (SN)'!O41-'Model (SC)'!O41</f>
        <v>-5.4330467210420466</v>
      </c>
      <c r="P44" s="91">
        <f>'Model (SN)'!P41-'Model (SC)'!P41</f>
        <v>-9.7151557586830677</v>
      </c>
      <c r="Q44" s="91">
        <f>'Model (SN)'!Q41-'Model (SC)'!Q41</f>
        <v>-14.707372786026099</v>
      </c>
      <c r="R44" s="91">
        <f>'Model (SN)'!R41-'Model (SC)'!R41</f>
        <v>-20.239721820804334</v>
      </c>
      <c r="S44" s="91">
        <f>'Model (SN)'!S41-'Model (SC)'!S41</f>
        <v>-26.178718949448921</v>
      </c>
      <c r="T44" s="91">
        <f>'Model (SN)'!T41-'Model (SC)'!T41</f>
        <v>-32.41790556234082</v>
      </c>
      <c r="U44" s="91">
        <f>'Model (SN)'!U41-'Model (SC)'!U41</f>
        <v>-38.871536104335974</v>
      </c>
      <c r="V44" s="91">
        <f>'Model (SN)'!V41-'Model (SC)'!V41</f>
        <v>-45.470004605007489</v>
      </c>
    </row>
    <row r="45" spans="1:26" x14ac:dyDescent="0.25">
      <c r="A45" s="82"/>
      <c r="B45" s="64" t="s">
        <v>126</v>
      </c>
      <c r="C45" s="90">
        <f>'Model (SN)'!C42-'Model (SC)'!C42</f>
        <v>0</v>
      </c>
      <c r="D45" s="91">
        <f>'Model (SN)'!D42-'Model (SC)'!D42</f>
        <v>0</v>
      </c>
      <c r="E45" s="91">
        <f>'Model (SN)'!E42-'Model (SC)'!E42</f>
        <v>0</v>
      </c>
      <c r="F45" s="91">
        <f>'Model (SN)'!F42-'Model (SC)'!F42</f>
        <v>0</v>
      </c>
      <c r="G45" s="91">
        <f>'Model (SN)'!G42-'Model (SC)'!G42</f>
        <v>0</v>
      </c>
      <c r="H45" s="91">
        <f>'Model (SN)'!H42-'Model (SC)'!H42</f>
        <v>0</v>
      </c>
      <c r="I45" s="91">
        <f>'Model (SN)'!I42-'Model (SC)'!I42</f>
        <v>0</v>
      </c>
      <c r="J45" s="91">
        <f>'Model (SN)'!J42-'Model (SC)'!J42</f>
        <v>0</v>
      </c>
      <c r="K45" s="91">
        <f>'Model (SN)'!K42-'Model (SC)'!K42</f>
        <v>0</v>
      </c>
      <c r="L45" s="91">
        <f>'Model (SN)'!L42-'Model (SC)'!L42</f>
        <v>0</v>
      </c>
      <c r="M45" s="91">
        <f>'Model (SN)'!M42-'Model (SC)'!M42</f>
        <v>0</v>
      </c>
      <c r="N45" s="91">
        <f>'Model (SN)'!N42-'Model (SC)'!N42</f>
        <v>0</v>
      </c>
      <c r="O45" s="91">
        <f>'Model (SN)'!O42-'Model (SC)'!O42</f>
        <v>0</v>
      </c>
      <c r="P45" s="91">
        <f>'Model (SN)'!P42-'Model (SC)'!P42</f>
        <v>0</v>
      </c>
      <c r="Q45" s="91">
        <f>'Model (SN)'!Q42-'Model (SC)'!Q42</f>
        <v>0</v>
      </c>
      <c r="R45" s="91">
        <f>'Model (SN)'!R42-'Model (SC)'!R42</f>
        <v>0</v>
      </c>
      <c r="S45" s="91">
        <f>'Model (SN)'!S42-'Model (SC)'!S42</f>
        <v>0</v>
      </c>
      <c r="T45" s="91">
        <f>'Model (SN)'!T42-'Model (SC)'!T42</f>
        <v>0</v>
      </c>
      <c r="U45" s="91">
        <f>'Model (SN)'!U42-'Model (SC)'!U42</f>
        <v>0</v>
      </c>
      <c r="V45" s="91">
        <f>'Model (SN)'!V42-'Model (SC)'!V42</f>
        <v>0</v>
      </c>
    </row>
    <row r="46" spans="1:26" x14ac:dyDescent="0.25">
      <c r="A46" s="82"/>
      <c r="B46" s="63" t="s">
        <v>134</v>
      </c>
      <c r="C46" s="90">
        <f>'Model (SN)'!C43-'Model (SC)'!C43</f>
        <v>0</v>
      </c>
      <c r="D46" s="91">
        <f>'Model (SN)'!D43-'Model (SC)'!D43</f>
        <v>0</v>
      </c>
      <c r="E46" s="91">
        <f>'Model (SN)'!E43-'Model (SC)'!E43</f>
        <v>0</v>
      </c>
      <c r="F46" s="91">
        <f>'Model (SN)'!F43-'Model (SC)'!F43</f>
        <v>0</v>
      </c>
      <c r="G46" s="91">
        <f>'Model (SN)'!G43-'Model (SC)'!G43</f>
        <v>0</v>
      </c>
      <c r="H46" s="91">
        <f>'Model (SN)'!H43-'Model (SC)'!H43</f>
        <v>0</v>
      </c>
      <c r="I46" s="91">
        <f>'Model (SN)'!I43-'Model (SC)'!I43</f>
        <v>0</v>
      </c>
      <c r="J46" s="91">
        <f>'Model (SN)'!J43-'Model (SC)'!J43</f>
        <v>0</v>
      </c>
      <c r="K46" s="91">
        <f>'Model (SN)'!K43-'Model (SC)'!K43</f>
        <v>0</v>
      </c>
      <c r="L46" s="91">
        <f>'Model (SN)'!L43-'Model (SC)'!L43</f>
        <v>0</v>
      </c>
      <c r="M46" s="91">
        <f>'Model (SN)'!M43-'Model (SC)'!M43</f>
        <v>0</v>
      </c>
      <c r="N46" s="91">
        <f>'Model (SN)'!N43-'Model (SC)'!N43</f>
        <v>0</v>
      </c>
      <c r="O46" s="91">
        <f>'Model (SN)'!O43-'Model (SC)'!O43</f>
        <v>0</v>
      </c>
      <c r="P46" s="91">
        <f>'Model (SN)'!P43-'Model (SC)'!P43</f>
        <v>0</v>
      </c>
      <c r="Q46" s="91">
        <f>'Model (SN)'!Q43-'Model (SC)'!Q43</f>
        <v>0</v>
      </c>
      <c r="R46" s="91">
        <f>'Model (SN)'!R43-'Model (SC)'!R43</f>
        <v>0</v>
      </c>
      <c r="S46" s="91">
        <f>'Model (SN)'!S43-'Model (SC)'!S43</f>
        <v>0</v>
      </c>
      <c r="T46" s="91">
        <f>'Model (SN)'!T43-'Model (SC)'!T43</f>
        <v>0</v>
      </c>
      <c r="U46" s="91">
        <f>'Model (SN)'!U43-'Model (SC)'!U43</f>
        <v>0</v>
      </c>
      <c r="V46" s="91">
        <f>'Model (SN)'!V43-'Model (SC)'!V43</f>
        <v>0</v>
      </c>
    </row>
    <row r="47" spans="1:26" x14ac:dyDescent="0.25">
      <c r="A47" s="82"/>
      <c r="B47" s="63" t="s">
        <v>732</v>
      </c>
      <c r="C47" s="90">
        <f>'Model (SN)'!C44-'Model (SC)'!C44</f>
        <v>0</v>
      </c>
      <c r="D47" s="91">
        <f>'Model (SN)'!D44-'Model (SC)'!D44</f>
        <v>0</v>
      </c>
      <c r="E47" s="91">
        <f>'Model (SN)'!E44-'Model (SC)'!E44</f>
        <v>0</v>
      </c>
      <c r="F47" s="91">
        <f>'Model (SN)'!F44-'Model (SC)'!F44</f>
        <v>0</v>
      </c>
      <c r="G47" s="91">
        <f>'Model (SN)'!G44-'Model (SC)'!G44</f>
        <v>0</v>
      </c>
      <c r="H47" s="91">
        <f>'Model (SN)'!H44-'Model (SC)'!H44</f>
        <v>0</v>
      </c>
      <c r="I47" s="91">
        <f>'Model (SN)'!I44-'Model (SC)'!I44</f>
        <v>0</v>
      </c>
      <c r="J47" s="91">
        <f>'Model (SN)'!J44-'Model (SC)'!J44</f>
        <v>0</v>
      </c>
      <c r="K47" s="91">
        <f>'Model (SN)'!K44-'Model (SC)'!K44</f>
        <v>0</v>
      </c>
      <c r="L47" s="91">
        <f>'Model (SN)'!L44-'Model (SC)'!L44</f>
        <v>0</v>
      </c>
      <c r="M47" s="91">
        <f>'Model (SN)'!M44-'Model (SC)'!M44</f>
        <v>0</v>
      </c>
      <c r="N47" s="91">
        <f>'Model (SN)'!N44-'Model (SC)'!N44</f>
        <v>0</v>
      </c>
      <c r="O47" s="91">
        <f>'Model (SN)'!O44-'Model (SC)'!O44</f>
        <v>0</v>
      </c>
      <c r="P47" s="91">
        <f>'Model (SN)'!P44-'Model (SC)'!P44</f>
        <v>0</v>
      </c>
      <c r="Q47" s="91">
        <f>'Model (SN)'!Q44-'Model (SC)'!Q44</f>
        <v>0</v>
      </c>
      <c r="R47" s="91">
        <f>'Model (SN)'!R44-'Model (SC)'!R44</f>
        <v>0</v>
      </c>
      <c r="S47" s="91">
        <f>'Model (SN)'!S44-'Model (SC)'!S44</f>
        <v>0</v>
      </c>
      <c r="T47" s="91">
        <f>'Model (SN)'!T44-'Model (SC)'!T44</f>
        <v>0</v>
      </c>
      <c r="U47" s="91">
        <f>'Model (SN)'!U44-'Model (SC)'!U44</f>
        <v>0</v>
      </c>
      <c r="V47" s="91">
        <f>'Model (SN)'!V44-'Model (SC)'!V44</f>
        <v>0</v>
      </c>
    </row>
    <row r="48" spans="1:26" x14ac:dyDescent="0.25">
      <c r="A48" s="82"/>
      <c r="B48" s="63" t="s">
        <v>733</v>
      </c>
      <c r="C48" s="90">
        <f>'Model (SN)'!C45-'Model (SC)'!C45</f>
        <v>0</v>
      </c>
      <c r="D48" s="91">
        <f>'Model (SN)'!D45-'Model (SC)'!D45</f>
        <v>0</v>
      </c>
      <c r="E48" s="91">
        <f>'Model (SN)'!E45-'Model (SC)'!E45</f>
        <v>0</v>
      </c>
      <c r="F48" s="91">
        <f>'Model (SN)'!F45-'Model (SC)'!F45</f>
        <v>0</v>
      </c>
      <c r="G48" s="91">
        <f>'Model (SN)'!G45-'Model (SC)'!G45</f>
        <v>0</v>
      </c>
      <c r="H48" s="91">
        <f>'Model (SN)'!H45-'Model (SC)'!H45</f>
        <v>0</v>
      </c>
      <c r="I48" s="91">
        <f>'Model (SN)'!I45-'Model (SC)'!I45</f>
        <v>0</v>
      </c>
      <c r="J48" s="91">
        <f>'Model (SN)'!J45-'Model (SC)'!J45</f>
        <v>0</v>
      </c>
      <c r="K48" s="91">
        <f>'Model (SN)'!K45-'Model (SC)'!K45</f>
        <v>0</v>
      </c>
      <c r="L48" s="91">
        <f>'Model (SN)'!L45-'Model (SC)'!L45</f>
        <v>0</v>
      </c>
      <c r="M48" s="91">
        <f>'Model (SN)'!M45-'Model (SC)'!M45</f>
        <v>0</v>
      </c>
      <c r="N48" s="91">
        <f>'Model (SN)'!N45-'Model (SC)'!N45</f>
        <v>0</v>
      </c>
      <c r="O48" s="91">
        <f>'Model (SN)'!O45-'Model (SC)'!O45</f>
        <v>0</v>
      </c>
      <c r="P48" s="91">
        <f>'Model (SN)'!P45-'Model (SC)'!P45</f>
        <v>0</v>
      </c>
      <c r="Q48" s="91">
        <f>'Model (SN)'!Q45-'Model (SC)'!Q45</f>
        <v>0</v>
      </c>
      <c r="R48" s="91">
        <f>'Model (SN)'!R45-'Model (SC)'!R45</f>
        <v>0</v>
      </c>
      <c r="S48" s="91">
        <f>'Model (SN)'!S45-'Model (SC)'!S45</f>
        <v>0</v>
      </c>
      <c r="T48" s="91">
        <f>'Model (SN)'!T45-'Model (SC)'!T45</f>
        <v>0</v>
      </c>
      <c r="U48" s="91">
        <f>'Model (SN)'!U45-'Model (SC)'!U45</f>
        <v>0</v>
      </c>
      <c r="V48" s="91">
        <f>'Model (SN)'!V45-'Model (SC)'!V45</f>
        <v>0</v>
      </c>
    </row>
    <row r="49" spans="1:22" x14ac:dyDescent="0.25">
      <c r="A49" s="82"/>
      <c r="B49" s="63" t="s">
        <v>149</v>
      </c>
      <c r="C49" s="90">
        <f>'Model (SN)'!C46-'Model (SC)'!C46</f>
        <v>0</v>
      </c>
      <c r="D49" s="91">
        <f>'Model (SN)'!D46-'Model (SC)'!D46</f>
        <v>0</v>
      </c>
      <c r="E49" s="91">
        <f>'Model (SN)'!E46-'Model (SC)'!E46</f>
        <v>0</v>
      </c>
      <c r="F49" s="91">
        <f>'Model (SN)'!F46-'Model (SC)'!F46</f>
        <v>0</v>
      </c>
      <c r="G49" s="91">
        <f>'Model (SN)'!G46-'Model (SC)'!G46</f>
        <v>0</v>
      </c>
      <c r="H49" s="91">
        <f>'Model (SN)'!H46-'Model (SC)'!H46</f>
        <v>0</v>
      </c>
      <c r="I49" s="91">
        <f>'Model (SN)'!I46-'Model (SC)'!I46</f>
        <v>0</v>
      </c>
      <c r="J49" s="91">
        <f>'Model (SN)'!J46-'Model (SC)'!J46</f>
        <v>0</v>
      </c>
      <c r="K49" s="91">
        <f>'Model (SN)'!K46-'Model (SC)'!K46</f>
        <v>0</v>
      </c>
      <c r="L49" s="91">
        <f>'Model (SN)'!L46-'Model (SC)'!L46</f>
        <v>0</v>
      </c>
      <c r="M49" s="91">
        <f>'Model (SN)'!M46-'Model (SC)'!M46</f>
        <v>-2.0367076793796315</v>
      </c>
      <c r="N49" s="91">
        <f>'Model (SN)'!N46-'Model (SC)'!N46</f>
        <v>-2.1470476731896611</v>
      </c>
      <c r="O49" s="91">
        <f>'Model (SN)'!O46-'Model (SC)'!O46</f>
        <v>-2.0926995647184015</v>
      </c>
      <c r="P49" s="91">
        <f>'Model (SN)'!P46-'Model (SC)'!P46</f>
        <v>-2.047644058774182</v>
      </c>
      <c r="Q49" s="91">
        <f>'Model (SN)'!Q46-'Model (SC)'!Q46</f>
        <v>-2.026250928674898</v>
      </c>
      <c r="R49" s="91">
        <f>'Model (SN)'!R46-'Model (SC)'!R46</f>
        <v>-2.0222572383986517</v>
      </c>
      <c r="S49" s="91">
        <f>'Model (SN)'!S46-'Model (SC)'!S46</f>
        <v>-2.0298298854286401</v>
      </c>
      <c r="T49" s="91">
        <f>'Model (SN)'!T46-'Model (SC)'!T46</f>
        <v>-2.0449997312878452</v>
      </c>
      <c r="U49" s="91">
        <f>'Model (SN)'!U46-'Model (SC)'!U46</f>
        <v>-2.0650947113012563</v>
      </c>
      <c r="V49" s="91">
        <f>'Model (SN)'!V46-'Model (SC)'!V46</f>
        <v>-2.0882777780534099</v>
      </c>
    </row>
    <row r="50" spans="1:22" x14ac:dyDescent="0.25">
      <c r="A50" s="82"/>
      <c r="B50" s="63" t="s">
        <v>150</v>
      </c>
      <c r="C50" s="90">
        <f>'Model (SN)'!C47-'Model (SC)'!C47</f>
        <v>0</v>
      </c>
      <c r="D50" s="91">
        <f>'Model (SN)'!D47-'Model (SC)'!D47</f>
        <v>0</v>
      </c>
      <c r="E50" s="91">
        <f>'Model (SN)'!E47-'Model (SC)'!E47</f>
        <v>0</v>
      </c>
      <c r="F50" s="91">
        <f>'Model (SN)'!F47-'Model (SC)'!F47</f>
        <v>0</v>
      </c>
      <c r="G50" s="91">
        <f>'Model (SN)'!G47-'Model (SC)'!G47</f>
        <v>0</v>
      </c>
      <c r="H50" s="91">
        <f>'Model (SN)'!H47-'Model (SC)'!H47</f>
        <v>0</v>
      </c>
      <c r="I50" s="91">
        <f>'Model (SN)'!I47-'Model (SC)'!I47</f>
        <v>0</v>
      </c>
      <c r="J50" s="91">
        <f>'Model (SN)'!J47-'Model (SC)'!J47</f>
        <v>0</v>
      </c>
      <c r="K50" s="91">
        <f>'Model (SN)'!K47-'Model (SC)'!K47</f>
        <v>0</v>
      </c>
      <c r="L50" s="91">
        <f>'Model (SN)'!L47-'Model (SC)'!L47</f>
        <v>0</v>
      </c>
      <c r="M50" s="91">
        <f>'Model (SN)'!M47-'Model (SC)'!M47</f>
        <v>0</v>
      </c>
      <c r="N50" s="91">
        <f>'Model (SN)'!N47-'Model (SC)'!N47</f>
        <v>-0.56911419568854171</v>
      </c>
      <c r="O50" s="91">
        <f>'Model (SN)'!O47-'Model (SC)'!O47</f>
        <v>-1.1308463503099802</v>
      </c>
      <c r="P50" s="91">
        <f>'Model (SN)'!P47-'Model (SC)'!P47</f>
        <v>-1.6396735927742156</v>
      </c>
      <c r="Q50" s="91">
        <f>'Model (SN)'!Q47-'Model (SC)'!Q47</f>
        <v>-2.1017449352666517</v>
      </c>
      <c r="R50" s="91">
        <f>'Model (SN)'!R47-'Model (SC)'!R47</f>
        <v>-2.5268118280238809</v>
      </c>
      <c r="S50" s="91">
        <f>'Model (SN)'!S47-'Model (SC)'!S47</f>
        <v>-2.9222208999819372</v>
      </c>
      <c r="T50" s="91">
        <f>'Model (SN)'!T47-'Model (SC)'!T47</f>
        <v>-3.2931955425012234</v>
      </c>
      <c r="U50" s="91">
        <f>'Model (SN)'!U47-'Model (SC)'!U47</f>
        <v>-3.6434993226142751</v>
      </c>
      <c r="V50" s="91">
        <f>'Model (SN)'!V47-'Model (SC)'!V47</f>
        <v>-3.9758964449193854</v>
      </c>
    </row>
    <row r="51" spans="1:22" x14ac:dyDescent="0.25">
      <c r="A51" s="82"/>
      <c r="B51" s="63" t="s">
        <v>718</v>
      </c>
      <c r="C51" s="90">
        <f>'Model (SN)'!C48-'Model (SC)'!C48</f>
        <v>0</v>
      </c>
      <c r="D51" s="91">
        <f>'Model (SN)'!D48-'Model (SC)'!D48</f>
        <v>0</v>
      </c>
      <c r="E51" s="91">
        <f>'Model (SN)'!E48-'Model (SC)'!E48</f>
        <v>0</v>
      </c>
      <c r="F51" s="91">
        <f>'Model (SN)'!F48-'Model (SC)'!F48</f>
        <v>0</v>
      </c>
      <c r="G51" s="91">
        <f>'Model (SN)'!G48-'Model (SC)'!G48</f>
        <v>0</v>
      </c>
      <c r="H51" s="91">
        <f>'Model (SN)'!H48-'Model (SC)'!H48</f>
        <v>0</v>
      </c>
      <c r="I51" s="91">
        <f>'Model (SN)'!I48-'Model (SC)'!I48</f>
        <v>0</v>
      </c>
      <c r="J51" s="91">
        <f>'Model (SN)'!J48-'Model (SC)'!J48</f>
        <v>0</v>
      </c>
      <c r="K51" s="91">
        <f>'Model (SN)'!K48-'Model (SC)'!K48</f>
        <v>0</v>
      </c>
      <c r="L51" s="91">
        <f>'Model (SN)'!L48-'Model (SC)'!L48</f>
        <v>0</v>
      </c>
      <c r="M51" s="91">
        <f>'Model (SN)'!M48-'Model (SC)'!M48</f>
        <v>0</v>
      </c>
      <c r="N51" s="91">
        <f>'Model (SN)'!N48-'Model (SC)'!N48</f>
        <v>0</v>
      </c>
      <c r="O51" s="91">
        <f>'Model (SN)'!O48-'Model (SC)'!O48</f>
        <v>0</v>
      </c>
      <c r="P51" s="91">
        <f>'Model (SN)'!P48-'Model (SC)'!P48</f>
        <v>0</v>
      </c>
      <c r="Q51" s="91">
        <f>'Model (SN)'!Q48-'Model (SC)'!Q48</f>
        <v>0</v>
      </c>
      <c r="R51" s="91">
        <f>'Model (SN)'!R48-'Model (SC)'!R48</f>
        <v>0</v>
      </c>
      <c r="S51" s="91">
        <f>'Model (SN)'!S48-'Model (SC)'!S48</f>
        <v>0</v>
      </c>
      <c r="T51" s="91">
        <f>'Model (SN)'!T48-'Model (SC)'!T48</f>
        <v>0</v>
      </c>
      <c r="U51" s="91">
        <f>'Model (SN)'!U48-'Model (SC)'!U48</f>
        <v>0</v>
      </c>
      <c r="V51" s="91">
        <f>'Model (SN)'!V48-'Model (SC)'!V48</f>
        <v>0</v>
      </c>
    </row>
    <row r="52" spans="1:22" x14ac:dyDescent="0.25">
      <c r="A52" s="82"/>
      <c r="B52" s="63" t="s">
        <v>136</v>
      </c>
      <c r="C52" s="90">
        <f>'Model (SN)'!C49-'Model (SC)'!C49</f>
        <v>0</v>
      </c>
      <c r="D52" s="91">
        <f>'Model (SN)'!D49-'Model (SC)'!D49</f>
        <v>0</v>
      </c>
      <c r="E52" s="91">
        <f>'Model (SN)'!E49-'Model (SC)'!E49</f>
        <v>0</v>
      </c>
      <c r="F52" s="91">
        <f>'Model (SN)'!F49-'Model (SC)'!F49</f>
        <v>0</v>
      </c>
      <c r="G52" s="91">
        <f>'Model (SN)'!G49-'Model (SC)'!G49</f>
        <v>0</v>
      </c>
      <c r="H52" s="91">
        <f>'Model (SN)'!H49-'Model (SC)'!H49</f>
        <v>0</v>
      </c>
      <c r="I52" s="91">
        <f>'Model (SN)'!I49-'Model (SC)'!I49</f>
        <v>0</v>
      </c>
      <c r="J52" s="91">
        <f>'Model (SN)'!J49-'Model (SC)'!J49</f>
        <v>0</v>
      </c>
      <c r="K52" s="91">
        <f>'Model (SN)'!K49-'Model (SC)'!K49</f>
        <v>0</v>
      </c>
      <c r="L52" s="91">
        <f>'Model (SN)'!L49-'Model (SC)'!L49</f>
        <v>0</v>
      </c>
      <c r="M52" s="91">
        <f>'Model (SN)'!M49-'Model (SC)'!M49</f>
        <v>0</v>
      </c>
      <c r="N52" s="91">
        <f>'Model (SN)'!N49-'Model (SC)'!N49</f>
        <v>0</v>
      </c>
      <c r="O52" s="91">
        <f>'Model (SN)'!O49-'Model (SC)'!O49</f>
        <v>-5.7242821941798638E-2</v>
      </c>
      <c r="P52" s="91">
        <f>'Model (SN)'!P49-'Model (SC)'!P49</f>
        <v>-0.15742086747593476</v>
      </c>
      <c r="Q52" s="91">
        <f>'Model (SN)'!Q49-'Model (SC)'!Q49</f>
        <v>-0.28948228750240901</v>
      </c>
      <c r="R52" s="91">
        <f>'Model (SN)'!R49-'Model (SC)'!R49</f>
        <v>-0.44565918846890895</v>
      </c>
      <c r="S52" s="91">
        <f>'Model (SN)'!S49-'Model (SC)'!S49</f>
        <v>-0.62015939089101835</v>
      </c>
      <c r="T52" s="91">
        <f>'Model (SN)'!T49-'Model (SC)'!T49</f>
        <v>-0.80847892612928263</v>
      </c>
      <c r="U52" s="91">
        <f>'Model (SN)'!U49-'Model (SC)'!U49</f>
        <v>-1.0070424643208185</v>
      </c>
      <c r="V52" s="91">
        <f>'Model (SN)'!V49-'Model (SC)'!V49</f>
        <v>-1.21297789933476</v>
      </c>
    </row>
    <row r="53" spans="1:22" x14ac:dyDescent="0.25">
      <c r="A53" s="82"/>
      <c r="B53" s="63" t="s">
        <v>734</v>
      </c>
      <c r="C53" s="90">
        <f>'Model (SN)'!C50-'Model (SC)'!C50</f>
        <v>0</v>
      </c>
      <c r="D53" s="91">
        <f>'Model (SN)'!D50-'Model (SC)'!D50</f>
        <v>0</v>
      </c>
      <c r="E53" s="91">
        <f>'Model (SN)'!E50-'Model (SC)'!E50</f>
        <v>0</v>
      </c>
      <c r="F53" s="91">
        <f>'Model (SN)'!F50-'Model (SC)'!F50</f>
        <v>0</v>
      </c>
      <c r="G53" s="91">
        <f>'Model (SN)'!G50-'Model (SC)'!G50</f>
        <v>0</v>
      </c>
      <c r="H53" s="91">
        <f>'Model (SN)'!H50-'Model (SC)'!H50</f>
        <v>0</v>
      </c>
      <c r="I53" s="91">
        <f>'Model (SN)'!I50-'Model (SC)'!I50</f>
        <v>0</v>
      </c>
      <c r="J53" s="91">
        <f>'Model (SN)'!J50-'Model (SC)'!J50</f>
        <v>0</v>
      </c>
      <c r="K53" s="91">
        <f>'Model (SN)'!K50-'Model (SC)'!K50</f>
        <v>0</v>
      </c>
      <c r="L53" s="91">
        <f>'Model (SN)'!L50-'Model (SC)'!L50</f>
        <v>0</v>
      </c>
      <c r="M53" s="91">
        <f>'Model (SN)'!M50-'Model (SC)'!M50</f>
        <v>0</v>
      </c>
      <c r="N53" s="91">
        <f>'Model (SN)'!N50-'Model (SC)'!N50</f>
        <v>0</v>
      </c>
      <c r="O53" s="91">
        <f>'Model (SN)'!O50-'Model (SC)'!O50</f>
        <v>0</v>
      </c>
      <c r="P53" s="91">
        <f>'Model (SN)'!P50-'Model (SC)'!P50</f>
        <v>0</v>
      </c>
      <c r="Q53" s="91">
        <f>'Model (SN)'!Q50-'Model (SC)'!Q50</f>
        <v>0</v>
      </c>
      <c r="R53" s="91">
        <f>'Model (SN)'!R50-'Model (SC)'!R50</f>
        <v>0</v>
      </c>
      <c r="S53" s="91">
        <f>'Model (SN)'!S50-'Model (SC)'!S50</f>
        <v>0</v>
      </c>
      <c r="T53" s="91">
        <f>'Model (SN)'!T50-'Model (SC)'!T50</f>
        <v>0</v>
      </c>
      <c r="U53" s="91">
        <f>'Model (SN)'!U50-'Model (SC)'!U50</f>
        <v>0</v>
      </c>
      <c r="V53" s="91">
        <f>'Model (SN)'!V50-'Model (SC)'!V50</f>
        <v>0</v>
      </c>
    </row>
    <row r="54" spans="1:22" x14ac:dyDescent="0.25">
      <c r="A54" s="82"/>
      <c r="B54" s="63" t="s">
        <v>137</v>
      </c>
      <c r="C54" s="90">
        <f>'Model (SN)'!C51-'Model (SC)'!C51</f>
        <v>0</v>
      </c>
      <c r="D54" s="91">
        <f>'Model (SN)'!D51-'Model (SC)'!D51</f>
        <v>0</v>
      </c>
      <c r="E54" s="91">
        <f>'Model (SN)'!E51-'Model (SC)'!E51</f>
        <v>0</v>
      </c>
      <c r="F54" s="91">
        <f>'Model (SN)'!F51-'Model (SC)'!F51</f>
        <v>0</v>
      </c>
      <c r="G54" s="91">
        <f>'Model (SN)'!G51-'Model (SC)'!G51</f>
        <v>0</v>
      </c>
      <c r="H54" s="91">
        <f>'Model (SN)'!H51-'Model (SC)'!H51</f>
        <v>0</v>
      </c>
      <c r="I54" s="91">
        <f>'Model (SN)'!I51-'Model (SC)'!I51</f>
        <v>0</v>
      </c>
      <c r="J54" s="91">
        <f>'Model (SN)'!J51-'Model (SC)'!J51</f>
        <v>0</v>
      </c>
      <c r="K54" s="91">
        <f>'Model (SN)'!K51-'Model (SC)'!K51</f>
        <v>0</v>
      </c>
      <c r="L54" s="91">
        <f>'Model (SN)'!L51-'Model (SC)'!L51</f>
        <v>0</v>
      </c>
      <c r="M54" s="91">
        <f>'Model (SN)'!M51-'Model (SC)'!M51</f>
        <v>0</v>
      </c>
      <c r="N54" s="91">
        <f>'Model (SN)'!N51-'Model (SC)'!N51</f>
        <v>0</v>
      </c>
      <c r="O54" s="91">
        <f>'Model (SN)'!O51-'Model (SC)'!O51</f>
        <v>0</v>
      </c>
      <c r="P54" s="91">
        <f>'Model (SN)'!P51-'Model (SC)'!P51</f>
        <v>0</v>
      </c>
      <c r="Q54" s="91">
        <f>'Model (SN)'!Q51-'Model (SC)'!Q51</f>
        <v>0</v>
      </c>
      <c r="R54" s="91">
        <f>'Model (SN)'!R51-'Model (SC)'!R51</f>
        <v>0</v>
      </c>
      <c r="S54" s="91">
        <f>'Model (SN)'!S51-'Model (SC)'!S51</f>
        <v>0</v>
      </c>
      <c r="T54" s="91">
        <f>'Model (SN)'!T51-'Model (SC)'!T51</f>
        <v>0</v>
      </c>
      <c r="U54" s="91">
        <f>'Model (SN)'!U51-'Model (SC)'!U51</f>
        <v>0</v>
      </c>
      <c r="V54" s="91">
        <f>'Model (SN)'!V51-'Model (SC)'!V51</f>
        <v>0</v>
      </c>
    </row>
    <row r="55" spans="1:22" x14ac:dyDescent="0.25">
      <c r="A55" s="82"/>
      <c r="B55" s="63" t="s">
        <v>138</v>
      </c>
      <c r="C55" s="90">
        <f>'Model (SN)'!C52-'Model (SC)'!C52</f>
        <v>0</v>
      </c>
      <c r="D55" s="91">
        <f>'Model (SN)'!D52-'Model (SC)'!D52</f>
        <v>0</v>
      </c>
      <c r="E55" s="91">
        <f>'Model (SN)'!E52-'Model (SC)'!E52</f>
        <v>0</v>
      </c>
      <c r="F55" s="91">
        <f>'Model (SN)'!F52-'Model (SC)'!F52</f>
        <v>0</v>
      </c>
      <c r="G55" s="91">
        <f>'Model (SN)'!G52-'Model (SC)'!G52</f>
        <v>0</v>
      </c>
      <c r="H55" s="91">
        <f>'Model (SN)'!H52-'Model (SC)'!H52</f>
        <v>0</v>
      </c>
      <c r="I55" s="91">
        <f>'Model (SN)'!I52-'Model (SC)'!I52</f>
        <v>0</v>
      </c>
      <c r="J55" s="91">
        <f>'Model (SN)'!J52-'Model (SC)'!J52</f>
        <v>0</v>
      </c>
      <c r="K55" s="91">
        <f>'Model (SN)'!K52-'Model (SC)'!K52</f>
        <v>0</v>
      </c>
      <c r="L55" s="91">
        <f>'Model (SN)'!L52-'Model (SC)'!L52</f>
        <v>0</v>
      </c>
      <c r="M55" s="91">
        <f>'Model (SN)'!M52-'Model (SC)'!M52</f>
        <v>-2.0367076793796741</v>
      </c>
      <c r="N55" s="91">
        <f>'Model (SN)'!N52-'Model (SC)'!N52</f>
        <v>-2.7161618688783165</v>
      </c>
      <c r="O55" s="91">
        <f>'Model (SN)'!O52-'Model (SC)'!O52</f>
        <v>-3.2807887369702939</v>
      </c>
      <c r="P55" s="91">
        <f>'Model (SN)'!P52-'Model (SC)'!P52</f>
        <v>-3.844738519024304</v>
      </c>
      <c r="Q55" s="91">
        <f>'Model (SN)'!Q52-'Model (SC)'!Q52</f>
        <v>-4.4174781514440156</v>
      </c>
      <c r="R55" s="91">
        <f>'Model (SN)'!R52-'Model (SC)'!R52</f>
        <v>-4.9947282548913563</v>
      </c>
      <c r="S55" s="91">
        <f>'Model (SN)'!S52-'Model (SC)'!S52</f>
        <v>-5.5722101763016099</v>
      </c>
      <c r="T55" s="91">
        <f>'Model (SN)'!T52-'Model (SC)'!T52</f>
        <v>-6.1466741999182659</v>
      </c>
      <c r="U55" s="91">
        <f>'Model (SN)'!U52-'Model (SC)'!U52</f>
        <v>-6.715636498236222</v>
      </c>
      <c r="V55" s="91">
        <f>'Model (SN)'!V52-'Model (SC)'!V52</f>
        <v>-7.2771521223075979</v>
      </c>
    </row>
    <row r="56" spans="1:22" x14ac:dyDescent="0.25">
      <c r="A56" s="82"/>
      <c r="B56" s="63" t="s">
        <v>139</v>
      </c>
      <c r="C56" s="90">
        <f>'Model (SN)'!C53-'Model (SC)'!C53</f>
        <v>0</v>
      </c>
      <c r="D56" s="91">
        <f>'Model (SN)'!D53-'Model (SC)'!D53</f>
        <v>0</v>
      </c>
      <c r="E56" s="91">
        <f>'Model (SN)'!E53-'Model (SC)'!E53</f>
        <v>0</v>
      </c>
      <c r="F56" s="91">
        <f>'Model (SN)'!F53-'Model (SC)'!F53</f>
        <v>0</v>
      </c>
      <c r="G56" s="91">
        <f>'Model (SN)'!G53-'Model (SC)'!G53</f>
        <v>0</v>
      </c>
      <c r="H56" s="91">
        <f>'Model (SN)'!H53-'Model (SC)'!H53</f>
        <v>0</v>
      </c>
      <c r="I56" s="91">
        <f>'Model (SN)'!I53-'Model (SC)'!I53</f>
        <v>0</v>
      </c>
      <c r="J56" s="91">
        <f>'Model (SN)'!J53-'Model (SC)'!J53</f>
        <v>0</v>
      </c>
      <c r="K56" s="91">
        <f>'Model (SN)'!K53-'Model (SC)'!K53</f>
        <v>0</v>
      </c>
      <c r="L56" s="91">
        <f>'Model (SN)'!L53-'Model (SC)'!L53</f>
        <v>0</v>
      </c>
      <c r="M56" s="91">
        <f>'Model (SN)'!M53-'Model (SC)'!M53</f>
        <v>-2.0367076793795604</v>
      </c>
      <c r="N56" s="91">
        <f>'Model (SN)'!N53-'Model (SC)'!N53</f>
        <v>-2.7161618688783165</v>
      </c>
      <c r="O56" s="91">
        <f>'Model (SN)'!O53-'Model (SC)'!O53</f>
        <v>-3.2807887369701803</v>
      </c>
      <c r="P56" s="91">
        <f>'Model (SN)'!P53-'Model (SC)'!P53</f>
        <v>-3.844738519024304</v>
      </c>
      <c r="Q56" s="91">
        <f>'Model (SN)'!Q53-'Model (SC)'!Q53</f>
        <v>-4.4174781514441293</v>
      </c>
      <c r="R56" s="91">
        <f>'Model (SN)'!R53-'Model (SC)'!R53</f>
        <v>-4.9947282548912426</v>
      </c>
      <c r="S56" s="91">
        <f>'Model (SN)'!S53-'Model (SC)'!S53</f>
        <v>-5.5722101763014962</v>
      </c>
      <c r="T56" s="91">
        <f>'Model (SN)'!T53-'Model (SC)'!T53</f>
        <v>-6.1466741999181522</v>
      </c>
      <c r="U56" s="91">
        <f>'Model (SN)'!U53-'Model (SC)'!U53</f>
        <v>-6.7156364982363357</v>
      </c>
      <c r="V56" s="91">
        <f>'Model (SN)'!V53-'Model (SC)'!V53</f>
        <v>-7.2771521223075979</v>
      </c>
    </row>
    <row r="57" spans="1:22" x14ac:dyDescent="0.25">
      <c r="A57" s="82"/>
      <c r="B57" s="63" t="s">
        <v>127</v>
      </c>
      <c r="C57" s="90">
        <f>'Model (SN)'!C54-'Model (SC)'!C54</f>
        <v>0</v>
      </c>
      <c r="D57" s="91">
        <f>'Model (SN)'!D54-'Model (SC)'!D54</f>
        <v>0</v>
      </c>
      <c r="E57" s="91">
        <f>'Model (SN)'!E54-'Model (SC)'!E54</f>
        <v>0</v>
      </c>
      <c r="F57" s="91">
        <f>'Model (SN)'!F54-'Model (SC)'!F54</f>
        <v>0</v>
      </c>
      <c r="G57" s="91">
        <f>'Model (SN)'!G54-'Model (SC)'!G54</f>
        <v>0</v>
      </c>
      <c r="H57" s="91">
        <f>'Model (SN)'!H54-'Model (SC)'!H54</f>
        <v>0</v>
      </c>
      <c r="I57" s="91">
        <f>'Model (SN)'!I54-'Model (SC)'!I54</f>
        <v>0</v>
      </c>
      <c r="J57" s="91">
        <f>'Model (SN)'!J54-'Model (SC)'!J54</f>
        <v>0</v>
      </c>
      <c r="K57" s="91">
        <f>'Model (SN)'!K54-'Model (SC)'!K54</f>
        <v>0</v>
      </c>
      <c r="L57" s="91">
        <f>'Model (SN)'!L54-'Model (SC)'!L54</f>
        <v>0</v>
      </c>
      <c r="M57" s="91">
        <f>'Model (SN)'!M54-'Model (SC)'!M54</f>
        <v>0</v>
      </c>
      <c r="N57" s="91">
        <f>'Model (SN)'!N54-'Model (SC)'!N54</f>
        <v>0</v>
      </c>
      <c r="O57" s="91">
        <f>'Model (SN)'!O54-'Model (SC)'!O54</f>
        <v>0</v>
      </c>
      <c r="P57" s="91">
        <f>'Model (SN)'!P54-'Model (SC)'!P54</f>
        <v>0</v>
      </c>
      <c r="Q57" s="91">
        <f>'Model (SN)'!Q54-'Model (SC)'!Q54</f>
        <v>0</v>
      </c>
      <c r="R57" s="91">
        <f>'Model (SN)'!R54-'Model (SC)'!R54</f>
        <v>0</v>
      </c>
      <c r="S57" s="91">
        <f>'Model (SN)'!S54-'Model (SC)'!S54</f>
        <v>0</v>
      </c>
      <c r="T57" s="91">
        <f>'Model (SN)'!T54-'Model (SC)'!T54</f>
        <v>0</v>
      </c>
      <c r="U57" s="91">
        <f>'Model (SN)'!U54-'Model (SC)'!U54</f>
        <v>0</v>
      </c>
      <c r="V57" s="91">
        <f>'Model (SN)'!V54-'Model (SC)'!V54</f>
        <v>0</v>
      </c>
    </row>
    <row r="58" spans="1:22" x14ac:dyDescent="0.25">
      <c r="A58" s="82"/>
      <c r="B58" s="63" t="s">
        <v>128</v>
      </c>
      <c r="C58" s="90">
        <f>'Model (SN)'!C55-'Model (SC)'!C55</f>
        <v>0</v>
      </c>
      <c r="D58" s="91">
        <f>'Model (SN)'!D55-'Model (SC)'!D55</f>
        <v>0</v>
      </c>
      <c r="E58" s="91">
        <f>'Model (SN)'!E55-'Model (SC)'!E55</f>
        <v>0</v>
      </c>
      <c r="F58" s="91">
        <f>'Model (SN)'!F55-'Model (SC)'!F55</f>
        <v>0</v>
      </c>
      <c r="G58" s="91">
        <f>'Model (SN)'!G55-'Model (SC)'!G55</f>
        <v>0</v>
      </c>
      <c r="H58" s="91">
        <f>'Model (SN)'!H55-'Model (SC)'!H55</f>
        <v>0</v>
      </c>
      <c r="I58" s="91">
        <f>'Model (SN)'!I55-'Model (SC)'!I55</f>
        <v>0</v>
      </c>
      <c r="J58" s="91">
        <f>'Model (SN)'!J55-'Model (SC)'!J55</f>
        <v>0</v>
      </c>
      <c r="K58" s="91">
        <f>'Model (SN)'!K55-'Model (SC)'!K55</f>
        <v>0</v>
      </c>
      <c r="L58" s="91">
        <f>'Model (SN)'!L55-'Model (SC)'!L55</f>
        <v>0</v>
      </c>
      <c r="M58" s="91">
        <f>'Model (SN)'!M55-'Model (SC)'!M55</f>
        <v>0</v>
      </c>
      <c r="N58" s="91">
        <f>'Model (SN)'!N55-'Model (SC)'!N55</f>
        <v>0</v>
      </c>
      <c r="O58" s="91">
        <f>'Model (SN)'!O55-'Model (SC)'!O55</f>
        <v>0</v>
      </c>
      <c r="P58" s="91">
        <f>'Model (SN)'!P55-'Model (SC)'!P55</f>
        <v>0</v>
      </c>
      <c r="Q58" s="91">
        <f>'Model (SN)'!Q55-'Model (SC)'!Q55</f>
        <v>0</v>
      </c>
      <c r="R58" s="91">
        <f>'Model (SN)'!R55-'Model (SC)'!R55</f>
        <v>0</v>
      </c>
      <c r="S58" s="91">
        <f>'Model (SN)'!S55-'Model (SC)'!S55</f>
        <v>0</v>
      </c>
      <c r="T58" s="91">
        <f>'Model (SN)'!T55-'Model (SC)'!T55</f>
        <v>0</v>
      </c>
      <c r="U58" s="91">
        <f>'Model (SN)'!U55-'Model (SC)'!U55</f>
        <v>0</v>
      </c>
      <c r="V58" s="91">
        <f>'Model (SN)'!V55-'Model (SC)'!V55</f>
        <v>0</v>
      </c>
    </row>
    <row r="59" spans="1:22" x14ac:dyDescent="0.25">
      <c r="A59" s="82"/>
      <c r="B59" s="63" t="s">
        <v>151</v>
      </c>
      <c r="C59" s="90">
        <f>'Model (SN)'!C56-'Model (SC)'!C56</f>
        <v>0</v>
      </c>
      <c r="D59" s="91">
        <f>'Model (SN)'!D56-'Model (SC)'!D56</f>
        <v>0</v>
      </c>
      <c r="E59" s="91">
        <f>'Model (SN)'!E56-'Model (SC)'!E56</f>
        <v>0</v>
      </c>
      <c r="F59" s="91">
        <f>'Model (SN)'!F56-'Model (SC)'!F56</f>
        <v>0</v>
      </c>
      <c r="G59" s="91">
        <f>'Model (SN)'!G56-'Model (SC)'!G56</f>
        <v>0</v>
      </c>
      <c r="H59" s="91">
        <f>'Model (SN)'!H56-'Model (SC)'!H56</f>
        <v>0</v>
      </c>
      <c r="I59" s="91">
        <f>'Model (SN)'!I56-'Model (SC)'!I56</f>
        <v>0</v>
      </c>
      <c r="J59" s="91">
        <f>'Model (SN)'!J56-'Model (SC)'!J56</f>
        <v>0</v>
      </c>
      <c r="K59" s="91">
        <f>'Model (SN)'!K56-'Model (SC)'!K56</f>
        <v>0</v>
      </c>
      <c r="L59" s="91">
        <f>'Model (SN)'!L56-'Model (SC)'!L56</f>
        <v>0</v>
      </c>
      <c r="M59" s="91">
        <f>'Model (SN)'!M56-'Model (SC)'!M56</f>
        <v>0</v>
      </c>
      <c r="N59" s="91">
        <f>'Model (SN)'!N56-'Model (SC)'!N56</f>
        <v>0</v>
      </c>
      <c r="O59" s="91">
        <f>'Model (SN)'!O56-'Model (SC)'!O56</f>
        <v>0</v>
      </c>
      <c r="P59" s="91">
        <f>'Model (SN)'!P56-'Model (SC)'!P56</f>
        <v>0</v>
      </c>
      <c r="Q59" s="91">
        <f>'Model (SN)'!Q56-'Model (SC)'!Q56</f>
        <v>0</v>
      </c>
      <c r="R59" s="91">
        <f>'Model (SN)'!R56-'Model (SC)'!R56</f>
        <v>0</v>
      </c>
      <c r="S59" s="91">
        <f>'Model (SN)'!S56-'Model (SC)'!S56</f>
        <v>0</v>
      </c>
      <c r="T59" s="91">
        <f>'Model (SN)'!T56-'Model (SC)'!T56</f>
        <v>0</v>
      </c>
      <c r="U59" s="91">
        <f>'Model (SN)'!U56-'Model (SC)'!U56</f>
        <v>0</v>
      </c>
      <c r="V59" s="91">
        <f>'Model (SN)'!V56-'Model (SC)'!V56</f>
        <v>0</v>
      </c>
    </row>
    <row r="60" spans="1:22" x14ac:dyDescent="0.25">
      <c r="A60" s="82"/>
      <c r="B60" s="63" t="s">
        <v>152</v>
      </c>
      <c r="C60" s="90">
        <f>'Model (SN)'!C57-'Model (SC)'!C57</f>
        <v>0</v>
      </c>
      <c r="D60" s="91">
        <f>'Model (SN)'!D57-'Model (SC)'!D57</f>
        <v>0</v>
      </c>
      <c r="E60" s="91">
        <f>'Model (SN)'!E57-'Model (SC)'!E57</f>
        <v>0</v>
      </c>
      <c r="F60" s="91">
        <f>'Model (SN)'!F57-'Model (SC)'!F57</f>
        <v>0</v>
      </c>
      <c r="G60" s="91">
        <f>'Model (SN)'!G57-'Model (SC)'!G57</f>
        <v>0</v>
      </c>
      <c r="H60" s="91">
        <f>'Model (SN)'!H57-'Model (SC)'!H57</f>
        <v>0</v>
      </c>
      <c r="I60" s="91">
        <f>'Model (SN)'!I57-'Model (SC)'!I57</f>
        <v>0</v>
      </c>
      <c r="J60" s="91">
        <f>'Model (SN)'!J57-'Model (SC)'!J57</f>
        <v>0</v>
      </c>
      <c r="K60" s="91">
        <f>'Model (SN)'!K57-'Model (SC)'!K57</f>
        <v>0</v>
      </c>
      <c r="L60" s="91">
        <f>'Model (SN)'!L57-'Model (SC)'!L57</f>
        <v>0</v>
      </c>
      <c r="M60" s="91">
        <f>'Model (SN)'!M57-'Model (SC)'!M57</f>
        <v>-9.4947972287375251</v>
      </c>
      <c r="N60" s="91">
        <f>'Model (SN)'!N57-'Model (SC)'!N57</f>
        <v>-8.63162904600307</v>
      </c>
      <c r="O60" s="91">
        <f>'Model (SN)'!O57-'Model (SC)'!O57</f>
        <v>-8.3036371097226152</v>
      </c>
      <c r="P60" s="91">
        <f>'Model (SN)'!P57-'Model (SC)'!P57</f>
        <v>-8.1303548167650774</v>
      </c>
      <c r="Q60" s="91">
        <f>'Model (SN)'!Q57-'Model (SC)'!Q57</f>
        <v>-8.061097460896633</v>
      </c>
      <c r="R60" s="91">
        <f>'Model (SN)'!R57-'Model (SC)'!R57</f>
        <v>-8.0569490683172944</v>
      </c>
      <c r="S60" s="91">
        <f>'Model (SN)'!S57-'Model (SC)'!S57</f>
        <v>-8.0949526941633394</v>
      </c>
      <c r="T60" s="91">
        <f>'Model (SN)'!T57-'Model (SC)'!T57</f>
        <v>-8.1605501644985452</v>
      </c>
      <c r="U60" s="91">
        <f>'Model (SN)'!U57-'Model (SC)'!U57</f>
        <v>-8.2439693331480157</v>
      </c>
      <c r="V60" s="91">
        <f>'Model (SN)'!V57-'Model (SC)'!V57</f>
        <v>-8.3384534738426623</v>
      </c>
    </row>
    <row r="61" spans="1:22" x14ac:dyDescent="0.25">
      <c r="A61" s="82"/>
      <c r="B61" s="63" t="s">
        <v>153</v>
      </c>
      <c r="C61" s="90">
        <f>'Model (SN)'!C58-'Model (SC)'!C58</f>
        <v>0</v>
      </c>
      <c r="D61" s="91">
        <f>'Model (SN)'!D58-'Model (SC)'!D58</f>
        <v>0</v>
      </c>
      <c r="E61" s="91">
        <f>'Model (SN)'!E58-'Model (SC)'!E58</f>
        <v>0</v>
      </c>
      <c r="F61" s="91">
        <f>'Model (SN)'!F58-'Model (SC)'!F58</f>
        <v>0</v>
      </c>
      <c r="G61" s="91">
        <f>'Model (SN)'!G58-'Model (SC)'!G58</f>
        <v>0</v>
      </c>
      <c r="H61" s="91">
        <f>'Model (SN)'!H58-'Model (SC)'!H58</f>
        <v>0</v>
      </c>
      <c r="I61" s="91">
        <f>'Model (SN)'!I58-'Model (SC)'!I58</f>
        <v>0</v>
      </c>
      <c r="J61" s="91">
        <f>'Model (SN)'!J58-'Model (SC)'!J58</f>
        <v>0</v>
      </c>
      <c r="K61" s="91">
        <f>'Model (SN)'!K58-'Model (SC)'!K58</f>
        <v>0</v>
      </c>
      <c r="L61" s="91">
        <f>'Model (SN)'!L58-'Model (SC)'!L58</f>
        <v>0</v>
      </c>
      <c r="M61" s="91">
        <f>'Model (SN)'!M58-'Model (SC)'!M58</f>
        <v>0</v>
      </c>
      <c r="N61" s="91">
        <f>'Model (SN)'!N58-'Model (SC)'!N58</f>
        <v>-1.3574844680540537</v>
      </c>
      <c r="O61" s="91">
        <f>'Model (SN)'!O58-'Model (SC)'!O58</f>
        <v>-2.5004098706687046</v>
      </c>
      <c r="P61" s="91">
        <f>'Model (SN)'!P58-'Model (SC)'!P58</f>
        <v>-3.5196980546389796</v>
      </c>
      <c r="Q61" s="91">
        <f>'Model (SN)'!Q58-'Model (SC)'!Q58</f>
        <v>-4.4457699146880714</v>
      </c>
      <c r="R61" s="91">
        <f>'Model (SN)'!R58-'Model (SC)'!R58</f>
        <v>-5.2997572171556158</v>
      </c>
      <c r="S61" s="91">
        <f>'Model (SN)'!S58-'Model (SC)'!S58</f>
        <v>-6.0958089271581457</v>
      </c>
      <c r="T61" s="91">
        <f>'Model (SN)'!T58-'Model (SC)'!T58</f>
        <v>-6.8438417658882145</v>
      </c>
      <c r="U61" s="91">
        <f>'Model (SN)'!U58-'Model (SC)'!U58</f>
        <v>-7.5510251761855898</v>
      </c>
      <c r="V61" s="91">
        <f>'Model (SN)'!V58-'Model (SC)'!V58</f>
        <v>-8.2226500585079521</v>
      </c>
    </row>
    <row r="62" spans="1:22" x14ac:dyDescent="0.25">
      <c r="A62" s="82"/>
      <c r="B62" s="63" t="s">
        <v>142</v>
      </c>
      <c r="C62" s="90">
        <f>'Model (SN)'!C59-'Model (SC)'!C59</f>
        <v>0</v>
      </c>
      <c r="D62" s="91">
        <f>'Model (SN)'!D59-'Model (SC)'!D59</f>
        <v>0</v>
      </c>
      <c r="E62" s="91">
        <f>'Model (SN)'!E59-'Model (SC)'!E59</f>
        <v>0</v>
      </c>
      <c r="F62" s="91">
        <f>'Model (SN)'!F59-'Model (SC)'!F59</f>
        <v>0</v>
      </c>
      <c r="G62" s="91">
        <f>'Model (SN)'!G59-'Model (SC)'!G59</f>
        <v>0</v>
      </c>
      <c r="H62" s="91">
        <f>'Model (SN)'!H59-'Model (SC)'!H59</f>
        <v>0</v>
      </c>
      <c r="I62" s="91">
        <f>'Model (SN)'!I59-'Model (SC)'!I59</f>
        <v>0</v>
      </c>
      <c r="J62" s="91">
        <f>'Model (SN)'!J59-'Model (SC)'!J59</f>
        <v>0</v>
      </c>
      <c r="K62" s="91">
        <f>'Model (SN)'!K59-'Model (SC)'!K59</f>
        <v>0</v>
      </c>
      <c r="L62" s="91">
        <f>'Model (SN)'!L59-'Model (SC)'!L59</f>
        <v>0</v>
      </c>
      <c r="M62" s="91">
        <f>'Model (SN)'!M59-'Model (SC)'!M59</f>
        <v>0</v>
      </c>
      <c r="N62" s="91">
        <f>'Model (SN)'!N59-'Model (SC)'!N59</f>
        <v>0</v>
      </c>
      <c r="O62" s="91">
        <f>'Model (SN)'!O59-'Model (SC)'!O59</f>
        <v>-0.19649343172488898</v>
      </c>
      <c r="P62" s="91">
        <f>'Model (SN)'!P59-'Model (SC)'!P59</f>
        <v>-0.51185930192855267</v>
      </c>
      <c r="Q62" s="91">
        <f>'Model (SN)'!Q59-'Model (SC)'!Q59</f>
        <v>-0.91528622890484712</v>
      </c>
      <c r="R62" s="91">
        <f>'Model (SN)'!R59-'Model (SC)'!R59</f>
        <v>-1.3856139941336778</v>
      </c>
      <c r="S62" s="91">
        <f>'Model (SN)'!S59-'Model (SC)'!S59</f>
        <v>-1.9068287858267468</v>
      </c>
      <c r="T62" s="91">
        <f>'Model (SN)'!T59-'Model (SC)'!T59</f>
        <v>-2.4663547903887775</v>
      </c>
      <c r="U62" s="91">
        <f>'Model (SN)'!U59-'Model (SC)'!U59</f>
        <v>-3.0541623076530868</v>
      </c>
      <c r="V62" s="91">
        <f>'Model (SN)'!V59-'Model (SC)'!V59</f>
        <v>-3.6621730599509874</v>
      </c>
    </row>
    <row r="63" spans="1:22" x14ac:dyDescent="0.25">
      <c r="A63" s="82"/>
      <c r="B63" s="64" t="s">
        <v>130</v>
      </c>
      <c r="C63" s="90">
        <f>'Model (SN)'!C60-'Model (SC)'!C60</f>
        <v>0</v>
      </c>
      <c r="D63" s="91">
        <f>'Model (SN)'!D60-'Model (SC)'!D60</f>
        <v>0</v>
      </c>
      <c r="E63" s="91">
        <f>'Model (SN)'!E60-'Model (SC)'!E60</f>
        <v>0</v>
      </c>
      <c r="F63" s="91">
        <f>'Model (SN)'!F60-'Model (SC)'!F60</f>
        <v>0</v>
      </c>
      <c r="G63" s="91">
        <f>'Model (SN)'!G60-'Model (SC)'!G60</f>
        <v>0</v>
      </c>
      <c r="H63" s="91">
        <f>'Model (SN)'!H60-'Model (SC)'!H60</f>
        <v>0</v>
      </c>
      <c r="I63" s="91">
        <f>'Model (SN)'!I60-'Model (SC)'!I60</f>
        <v>0</v>
      </c>
      <c r="J63" s="91">
        <f>'Model (SN)'!J60-'Model (SC)'!J60</f>
        <v>0</v>
      </c>
      <c r="K63" s="91">
        <f>'Model (SN)'!K60-'Model (SC)'!K60</f>
        <v>0</v>
      </c>
      <c r="L63" s="91">
        <f>'Model (SN)'!L60-'Model (SC)'!L60</f>
        <v>0</v>
      </c>
      <c r="M63" s="91">
        <f>'Model (SN)'!M60-'Model (SC)'!M60</f>
        <v>0</v>
      </c>
      <c r="N63" s="91">
        <f>'Model (SN)'!N60-'Model (SC)'!N60</f>
        <v>0</v>
      </c>
      <c r="O63" s="91">
        <f>'Model (SN)'!O60-'Model (SC)'!O60</f>
        <v>0</v>
      </c>
      <c r="P63" s="91">
        <f>'Model (SN)'!P60-'Model (SC)'!P60</f>
        <v>0</v>
      </c>
      <c r="Q63" s="91">
        <f>'Model (SN)'!Q60-'Model (SC)'!Q60</f>
        <v>0</v>
      </c>
      <c r="R63" s="91">
        <f>'Model (SN)'!R60-'Model (SC)'!R60</f>
        <v>0</v>
      </c>
      <c r="S63" s="91">
        <f>'Model (SN)'!S60-'Model (SC)'!S60</f>
        <v>0</v>
      </c>
      <c r="T63" s="91">
        <f>'Model (SN)'!T60-'Model (SC)'!T60</f>
        <v>0</v>
      </c>
      <c r="U63" s="91">
        <f>'Model (SN)'!U60-'Model (SC)'!U60</f>
        <v>0</v>
      </c>
      <c r="V63" s="91">
        <f>'Model (SN)'!V60-'Model (SC)'!V60</f>
        <v>0</v>
      </c>
    </row>
    <row r="64" spans="1:22" x14ac:dyDescent="0.25">
      <c r="A64" s="82"/>
      <c r="B64" s="63" t="s">
        <v>143</v>
      </c>
      <c r="C64" s="90">
        <f>'Model (SN)'!C61-'Model (SC)'!C61</f>
        <v>0</v>
      </c>
      <c r="D64" s="91">
        <f>'Model (SN)'!D61-'Model (SC)'!D61</f>
        <v>0</v>
      </c>
      <c r="E64" s="91">
        <f>'Model (SN)'!E61-'Model (SC)'!E61</f>
        <v>0</v>
      </c>
      <c r="F64" s="91">
        <f>'Model (SN)'!F61-'Model (SC)'!F61</f>
        <v>0</v>
      </c>
      <c r="G64" s="91">
        <f>'Model (SN)'!G61-'Model (SC)'!G61</f>
        <v>0</v>
      </c>
      <c r="H64" s="91">
        <f>'Model (SN)'!H61-'Model (SC)'!H61</f>
        <v>0</v>
      </c>
      <c r="I64" s="91">
        <f>'Model (SN)'!I61-'Model (SC)'!I61</f>
        <v>0</v>
      </c>
      <c r="J64" s="91">
        <f>'Model (SN)'!J61-'Model (SC)'!J61</f>
        <v>0</v>
      </c>
      <c r="K64" s="91">
        <f>'Model (SN)'!K61-'Model (SC)'!K61</f>
        <v>0</v>
      </c>
      <c r="L64" s="91">
        <f>'Model (SN)'!L61-'Model (SC)'!L61</f>
        <v>0</v>
      </c>
      <c r="M64" s="91">
        <f>'Model (SN)'!M61-'Model (SC)'!M61</f>
        <v>0</v>
      </c>
      <c r="N64" s="91">
        <f>'Model (SN)'!N61-'Model (SC)'!N61</f>
        <v>0</v>
      </c>
      <c r="O64" s="91">
        <f>'Model (SN)'!O61-'Model (SC)'!O61</f>
        <v>0</v>
      </c>
      <c r="P64" s="91">
        <f>'Model (SN)'!P61-'Model (SC)'!P61</f>
        <v>0</v>
      </c>
      <c r="Q64" s="91">
        <f>'Model (SN)'!Q61-'Model (SC)'!Q61</f>
        <v>0</v>
      </c>
      <c r="R64" s="91">
        <f>'Model (SN)'!R61-'Model (SC)'!R61</f>
        <v>0</v>
      </c>
      <c r="S64" s="91">
        <f>'Model (SN)'!S61-'Model (SC)'!S61</f>
        <v>0</v>
      </c>
      <c r="T64" s="91">
        <f>'Model (SN)'!T61-'Model (SC)'!T61</f>
        <v>0</v>
      </c>
      <c r="U64" s="91">
        <f>'Model (SN)'!U61-'Model (SC)'!U61</f>
        <v>0</v>
      </c>
      <c r="V64" s="91">
        <f>'Model (SN)'!V61-'Model (SC)'!V61</f>
        <v>0</v>
      </c>
    </row>
    <row r="65" spans="1:22" x14ac:dyDescent="0.25">
      <c r="A65" s="82"/>
      <c r="B65" s="63" t="s">
        <v>735</v>
      </c>
      <c r="C65" s="90">
        <f>'Model (SN)'!C62-'Model (SC)'!C62</f>
        <v>0</v>
      </c>
      <c r="D65" s="91">
        <f>'Model (SN)'!D62-'Model (SC)'!D62</f>
        <v>0</v>
      </c>
      <c r="E65" s="91">
        <f>'Model (SN)'!E62-'Model (SC)'!E62</f>
        <v>0</v>
      </c>
      <c r="F65" s="91">
        <f>'Model (SN)'!F62-'Model (SC)'!F62</f>
        <v>0</v>
      </c>
      <c r="G65" s="91">
        <f>'Model (SN)'!G62-'Model (SC)'!G62</f>
        <v>0</v>
      </c>
      <c r="H65" s="91">
        <f>'Model (SN)'!H62-'Model (SC)'!H62</f>
        <v>0</v>
      </c>
      <c r="I65" s="91">
        <f>'Model (SN)'!I62-'Model (SC)'!I62</f>
        <v>0</v>
      </c>
      <c r="J65" s="91">
        <f>'Model (SN)'!J62-'Model (SC)'!J62</f>
        <v>0</v>
      </c>
      <c r="K65" s="91">
        <f>'Model (SN)'!K62-'Model (SC)'!K62</f>
        <v>0</v>
      </c>
      <c r="L65" s="91">
        <f>'Model (SN)'!L62-'Model (SC)'!L62</f>
        <v>0</v>
      </c>
      <c r="M65" s="91">
        <f>'Model (SN)'!M62-'Model (SC)'!M62</f>
        <v>0</v>
      </c>
      <c r="N65" s="91">
        <f>'Model (SN)'!N62-'Model (SC)'!N62</f>
        <v>0</v>
      </c>
      <c r="O65" s="91">
        <f>'Model (SN)'!O62-'Model (SC)'!O62</f>
        <v>0</v>
      </c>
      <c r="P65" s="91">
        <f>'Model (SN)'!P62-'Model (SC)'!P62</f>
        <v>0</v>
      </c>
      <c r="Q65" s="91">
        <f>'Model (SN)'!Q62-'Model (SC)'!Q62</f>
        <v>0</v>
      </c>
      <c r="R65" s="91">
        <f>'Model (SN)'!R62-'Model (SC)'!R62</f>
        <v>0</v>
      </c>
      <c r="S65" s="91">
        <f>'Model (SN)'!S62-'Model (SC)'!S62</f>
        <v>0</v>
      </c>
      <c r="T65" s="91">
        <f>'Model (SN)'!T62-'Model (SC)'!T62</f>
        <v>0</v>
      </c>
      <c r="U65" s="91">
        <f>'Model (SN)'!U62-'Model (SC)'!U62</f>
        <v>0</v>
      </c>
      <c r="V65" s="91">
        <f>'Model (SN)'!V62-'Model (SC)'!V62</f>
        <v>0</v>
      </c>
    </row>
    <row r="66" spans="1:22" x14ac:dyDescent="0.25">
      <c r="A66" s="82"/>
      <c r="B66" s="63" t="s">
        <v>736</v>
      </c>
      <c r="C66" s="90">
        <f>'Model (SN)'!C63-'Model (SC)'!C63</f>
        <v>0</v>
      </c>
      <c r="D66" s="91">
        <f>'Model (SN)'!D63-'Model (SC)'!D63</f>
        <v>0</v>
      </c>
      <c r="E66" s="91">
        <f>'Model (SN)'!E63-'Model (SC)'!E63</f>
        <v>0</v>
      </c>
      <c r="F66" s="91">
        <f>'Model (SN)'!F63-'Model (SC)'!F63</f>
        <v>0</v>
      </c>
      <c r="G66" s="91">
        <f>'Model (SN)'!G63-'Model (SC)'!G63</f>
        <v>0</v>
      </c>
      <c r="H66" s="91">
        <f>'Model (SN)'!H63-'Model (SC)'!H63</f>
        <v>0</v>
      </c>
      <c r="I66" s="91">
        <f>'Model (SN)'!I63-'Model (SC)'!I63</f>
        <v>0</v>
      </c>
      <c r="J66" s="91">
        <f>'Model (SN)'!J63-'Model (SC)'!J63</f>
        <v>0</v>
      </c>
      <c r="K66" s="91">
        <f>'Model (SN)'!K63-'Model (SC)'!K63</f>
        <v>0</v>
      </c>
      <c r="L66" s="91">
        <f>'Model (SN)'!L63-'Model (SC)'!L63</f>
        <v>0</v>
      </c>
      <c r="M66" s="91">
        <f>'Model (SN)'!M63-'Model (SC)'!M63</f>
        <v>0</v>
      </c>
      <c r="N66" s="91">
        <f>'Model (SN)'!N63-'Model (SC)'!N63</f>
        <v>0</v>
      </c>
      <c r="O66" s="91">
        <f>'Model (SN)'!O63-'Model (SC)'!O63</f>
        <v>0</v>
      </c>
      <c r="P66" s="91">
        <f>'Model (SN)'!P63-'Model (SC)'!P63</f>
        <v>0</v>
      </c>
      <c r="Q66" s="91">
        <f>'Model (SN)'!Q63-'Model (SC)'!Q63</f>
        <v>0</v>
      </c>
      <c r="R66" s="91">
        <f>'Model (SN)'!R63-'Model (SC)'!R63</f>
        <v>0</v>
      </c>
      <c r="S66" s="91">
        <f>'Model (SN)'!S63-'Model (SC)'!S63</f>
        <v>0</v>
      </c>
      <c r="T66" s="91">
        <f>'Model (SN)'!T63-'Model (SC)'!T63</f>
        <v>0</v>
      </c>
      <c r="U66" s="91">
        <f>'Model (SN)'!U63-'Model (SC)'!U63</f>
        <v>0</v>
      </c>
      <c r="V66" s="91">
        <f>'Model (SN)'!V63-'Model (SC)'!V63</f>
        <v>0</v>
      </c>
    </row>
    <row r="67" spans="1:22" x14ac:dyDescent="0.25">
      <c r="A67" s="82"/>
      <c r="B67" s="63" t="s">
        <v>154</v>
      </c>
      <c r="C67" s="90">
        <f>'Model (SN)'!C64-'Model (SC)'!C64</f>
        <v>0</v>
      </c>
      <c r="D67" s="91">
        <f>'Model (SN)'!D64-'Model (SC)'!D64</f>
        <v>0</v>
      </c>
      <c r="E67" s="91">
        <f>'Model (SN)'!E64-'Model (SC)'!E64</f>
        <v>0</v>
      </c>
      <c r="F67" s="91">
        <f>'Model (SN)'!F64-'Model (SC)'!F64</f>
        <v>0</v>
      </c>
      <c r="G67" s="91">
        <f>'Model (SN)'!G64-'Model (SC)'!G64</f>
        <v>0</v>
      </c>
      <c r="H67" s="91">
        <f>'Model (SN)'!H64-'Model (SC)'!H64</f>
        <v>0</v>
      </c>
      <c r="I67" s="91">
        <f>'Model (SN)'!I64-'Model (SC)'!I64</f>
        <v>0</v>
      </c>
      <c r="J67" s="91">
        <f>'Model (SN)'!J64-'Model (SC)'!J64</f>
        <v>0</v>
      </c>
      <c r="K67" s="91">
        <f>'Model (SN)'!K64-'Model (SC)'!K64</f>
        <v>0</v>
      </c>
      <c r="L67" s="91">
        <f>'Model (SN)'!L64-'Model (SC)'!L64</f>
        <v>0</v>
      </c>
      <c r="M67" s="91">
        <f>'Model (SN)'!M64-'Model (SC)'!M64</f>
        <v>0</v>
      </c>
      <c r="N67" s="91">
        <f>'Model (SN)'!N64-'Model (SC)'!N64</f>
        <v>-0.83609851999993623</v>
      </c>
      <c r="O67" s="91">
        <f>'Model (SN)'!O64-'Model (SC)'!O64</f>
        <v>-0.88139471368319278</v>
      </c>
      <c r="P67" s="91">
        <f>'Model (SN)'!P64-'Model (SC)'!P64</f>
        <v>-0.85908401415686342</v>
      </c>
      <c r="Q67" s="91">
        <f>'Model (SN)'!Q64-'Model (SC)'!Q64</f>
        <v>-0.84058806492507188</v>
      </c>
      <c r="R67" s="91">
        <f>'Model (SN)'!R64-'Model (SC)'!R64</f>
        <v>-0.83180586972088832</v>
      </c>
      <c r="S67" s="91">
        <f>'Model (SN)'!S64-'Model (SC)'!S64</f>
        <v>-0.83016640100226624</v>
      </c>
      <c r="T67" s="91">
        <f>'Model (SN)'!T64-'Model (SC)'!T64</f>
        <v>-0.8332750842160408</v>
      </c>
      <c r="U67" s="91">
        <f>'Model (SN)'!U64-'Model (SC)'!U64</f>
        <v>-0.83950252951903082</v>
      </c>
      <c r="V67" s="91">
        <f>'Model (SN)'!V64-'Model (SC)'!V64</f>
        <v>-0.84775181498044105</v>
      </c>
    </row>
    <row r="68" spans="1:22" x14ac:dyDescent="0.25">
      <c r="A68" s="82"/>
      <c r="B68" s="63" t="s">
        <v>155</v>
      </c>
      <c r="C68" s="90">
        <f>'Model (SN)'!C65-'Model (SC)'!C65</f>
        <v>0</v>
      </c>
      <c r="D68" s="91">
        <f>'Model (SN)'!D65-'Model (SC)'!D65</f>
        <v>0</v>
      </c>
      <c r="E68" s="91">
        <f>'Model (SN)'!E65-'Model (SC)'!E65</f>
        <v>0</v>
      </c>
      <c r="F68" s="91">
        <f>'Model (SN)'!F65-'Model (SC)'!F65</f>
        <v>0</v>
      </c>
      <c r="G68" s="91">
        <f>'Model (SN)'!G65-'Model (SC)'!G65</f>
        <v>0</v>
      </c>
      <c r="H68" s="91">
        <f>'Model (SN)'!H65-'Model (SC)'!H65</f>
        <v>0</v>
      </c>
      <c r="I68" s="91">
        <f>'Model (SN)'!I65-'Model (SC)'!I65</f>
        <v>0</v>
      </c>
      <c r="J68" s="91">
        <f>'Model (SN)'!J65-'Model (SC)'!J65</f>
        <v>0</v>
      </c>
      <c r="K68" s="91">
        <f>'Model (SN)'!K65-'Model (SC)'!K65</f>
        <v>0</v>
      </c>
      <c r="L68" s="91">
        <f>'Model (SN)'!L65-'Model (SC)'!L65</f>
        <v>0</v>
      </c>
      <c r="M68" s="91">
        <f>'Model (SN)'!M65-'Model (SC)'!M65</f>
        <v>0</v>
      </c>
      <c r="N68" s="91">
        <f>'Model (SN)'!N65-'Model (SC)'!N65</f>
        <v>0</v>
      </c>
      <c r="O68" s="91">
        <f>'Model (SN)'!O65-'Model (SC)'!O65</f>
        <v>-0.23362976510750855</v>
      </c>
      <c r="P68" s="91">
        <f>'Model (SN)'!P65-'Model (SC)'!P65</f>
        <v>-0.46422909355824515</v>
      </c>
      <c r="Q68" s="91">
        <f>'Model (SN)'!Q65-'Model (SC)'!Q65</f>
        <v>-0.6731101758398097</v>
      </c>
      <c r="R68" s="91">
        <f>'Model (SN)'!R65-'Model (SC)'!R65</f>
        <v>-0.86279727208031431</v>
      </c>
      <c r="S68" s="91">
        <f>'Model (SN)'!S65-'Model (SC)'!S65</f>
        <v>-1.0372934963217801</v>
      </c>
      <c r="T68" s="91">
        <f>'Model (SN)'!T65-'Model (SC)'!T65</f>
        <v>-1.1996147480192008</v>
      </c>
      <c r="U68" s="91">
        <f>'Model (SN)'!U65-'Model (SC)'!U65</f>
        <v>-1.3519053063100159</v>
      </c>
      <c r="V68" s="91">
        <f>'Model (SN)'!V65-'Model (SC)'!V65</f>
        <v>-1.4957101709296126</v>
      </c>
    </row>
    <row r="69" spans="1:22" x14ac:dyDescent="0.25">
      <c r="A69" s="82"/>
      <c r="B69" s="63" t="s">
        <v>737</v>
      </c>
      <c r="C69" s="90">
        <f>'Model (SN)'!C66-'Model (SC)'!C66</f>
        <v>0</v>
      </c>
      <c r="D69" s="91">
        <f>'Model (SN)'!D66-'Model (SC)'!D66</f>
        <v>0</v>
      </c>
      <c r="E69" s="91">
        <f>'Model (SN)'!E66-'Model (SC)'!E66</f>
        <v>0</v>
      </c>
      <c r="F69" s="91">
        <f>'Model (SN)'!F66-'Model (SC)'!F66</f>
        <v>0</v>
      </c>
      <c r="G69" s="91">
        <f>'Model (SN)'!G66-'Model (SC)'!G66</f>
        <v>0</v>
      </c>
      <c r="H69" s="91">
        <f>'Model (SN)'!H66-'Model (SC)'!H66</f>
        <v>0</v>
      </c>
      <c r="I69" s="91">
        <f>'Model (SN)'!I66-'Model (SC)'!I66</f>
        <v>0</v>
      </c>
      <c r="J69" s="91">
        <f>'Model (SN)'!J66-'Model (SC)'!J66</f>
        <v>0</v>
      </c>
      <c r="K69" s="91">
        <f>'Model (SN)'!K66-'Model (SC)'!K66</f>
        <v>0</v>
      </c>
      <c r="L69" s="91">
        <f>'Model (SN)'!L66-'Model (SC)'!L66</f>
        <v>0</v>
      </c>
      <c r="M69" s="91">
        <f>'Model (SN)'!M66-'Model (SC)'!M66</f>
        <v>0</v>
      </c>
      <c r="N69" s="91">
        <f>'Model (SN)'!N66-'Model (SC)'!N66</f>
        <v>0</v>
      </c>
      <c r="O69" s="91">
        <f>'Model (SN)'!O66-'Model (SC)'!O66</f>
        <v>0</v>
      </c>
      <c r="P69" s="91">
        <f>'Model (SN)'!P66-'Model (SC)'!P66</f>
        <v>0</v>
      </c>
      <c r="Q69" s="91">
        <f>'Model (SN)'!Q66-'Model (SC)'!Q66</f>
        <v>0</v>
      </c>
      <c r="R69" s="91">
        <f>'Model (SN)'!R66-'Model (SC)'!R66</f>
        <v>0</v>
      </c>
      <c r="S69" s="91">
        <f>'Model (SN)'!S66-'Model (SC)'!S66</f>
        <v>0</v>
      </c>
      <c r="T69" s="91">
        <f>'Model (SN)'!T66-'Model (SC)'!T66</f>
        <v>0</v>
      </c>
      <c r="U69" s="91">
        <f>'Model (SN)'!U66-'Model (SC)'!U66</f>
        <v>0</v>
      </c>
      <c r="V69" s="91">
        <f>'Model (SN)'!V66-'Model (SC)'!V66</f>
        <v>0</v>
      </c>
    </row>
    <row r="70" spans="1:22" x14ac:dyDescent="0.25">
      <c r="A70" s="82"/>
      <c r="B70" s="63" t="s">
        <v>145</v>
      </c>
      <c r="C70" s="90">
        <f>'Model (SN)'!C67-'Model (SC)'!C67</f>
        <v>0</v>
      </c>
      <c r="D70" s="91">
        <f>'Model (SN)'!D67-'Model (SC)'!D67</f>
        <v>0</v>
      </c>
      <c r="E70" s="91">
        <f>'Model (SN)'!E67-'Model (SC)'!E67</f>
        <v>0</v>
      </c>
      <c r="F70" s="91">
        <f>'Model (SN)'!F67-'Model (SC)'!F67</f>
        <v>0</v>
      </c>
      <c r="G70" s="91">
        <f>'Model (SN)'!G67-'Model (SC)'!G67</f>
        <v>0</v>
      </c>
      <c r="H70" s="91">
        <f>'Model (SN)'!H67-'Model (SC)'!H67</f>
        <v>0</v>
      </c>
      <c r="I70" s="91">
        <f>'Model (SN)'!I67-'Model (SC)'!I67</f>
        <v>0</v>
      </c>
      <c r="J70" s="91">
        <f>'Model (SN)'!J67-'Model (SC)'!J67</f>
        <v>0</v>
      </c>
      <c r="K70" s="91">
        <f>'Model (SN)'!K67-'Model (SC)'!K67</f>
        <v>0</v>
      </c>
      <c r="L70" s="91">
        <f>'Model (SN)'!L67-'Model (SC)'!L67</f>
        <v>0</v>
      </c>
      <c r="M70" s="91">
        <f>'Model (SN)'!M67-'Model (SC)'!M67</f>
        <v>0</v>
      </c>
      <c r="N70" s="91">
        <f>'Model (SN)'!N67-'Model (SC)'!N67</f>
        <v>0</v>
      </c>
      <c r="O70" s="91">
        <f>'Model (SN)'!O67-'Model (SC)'!O67</f>
        <v>0</v>
      </c>
      <c r="P70" s="91">
        <f>'Model (SN)'!P67-'Model (SC)'!P67</f>
        <v>-2.3499022069159992E-2</v>
      </c>
      <c r="Q70" s="91">
        <f>'Model (SN)'!Q67-'Model (SC)'!Q67</f>
        <v>-6.4623586215290629E-2</v>
      </c>
      <c r="R70" s="91">
        <f>'Model (SN)'!R67-'Model (SC)'!R67</f>
        <v>-0.11883674549736156</v>
      </c>
      <c r="S70" s="91">
        <f>'Model (SN)'!S67-'Model (SC)'!S67</f>
        <v>-0.18294966512658561</v>
      </c>
      <c r="T70" s="91">
        <f>'Model (SN)'!T67-'Model (SC)'!T67</f>
        <v>-0.25458457005768764</v>
      </c>
      <c r="U70" s="91">
        <f>'Model (SN)'!U67-'Model (SC)'!U67</f>
        <v>-0.33189251478333404</v>
      </c>
      <c r="V70" s="91">
        <f>'Model (SN)'!V67-'Model (SC)'!V67</f>
        <v>-0.4134057737005179</v>
      </c>
    </row>
    <row r="71" spans="1:22" x14ac:dyDescent="0.25">
      <c r="A71" s="82"/>
      <c r="B71" s="63" t="s">
        <v>738</v>
      </c>
      <c r="C71" s="90">
        <f>'Model (SN)'!C68-'Model (SC)'!C68</f>
        <v>0</v>
      </c>
      <c r="D71" s="91">
        <f>'Model (SN)'!D68-'Model (SC)'!D68</f>
        <v>0</v>
      </c>
      <c r="E71" s="91">
        <f>'Model (SN)'!E68-'Model (SC)'!E68</f>
        <v>0</v>
      </c>
      <c r="F71" s="91">
        <f>'Model (SN)'!F68-'Model (SC)'!F68</f>
        <v>0</v>
      </c>
      <c r="G71" s="91">
        <f>'Model (SN)'!G68-'Model (SC)'!G68</f>
        <v>0</v>
      </c>
      <c r="H71" s="91">
        <f>'Model (SN)'!H68-'Model (SC)'!H68</f>
        <v>0</v>
      </c>
      <c r="I71" s="91">
        <f>'Model (SN)'!I68-'Model (SC)'!I68</f>
        <v>0</v>
      </c>
      <c r="J71" s="91">
        <f>'Model (SN)'!J68-'Model (SC)'!J68</f>
        <v>0</v>
      </c>
      <c r="K71" s="91">
        <f>'Model (SN)'!K68-'Model (SC)'!K68</f>
        <v>0</v>
      </c>
      <c r="L71" s="91">
        <f>'Model (SN)'!L68-'Model (SC)'!L68</f>
        <v>0</v>
      </c>
      <c r="M71" s="91">
        <f>'Model (SN)'!M68-'Model (SC)'!M68</f>
        <v>0</v>
      </c>
      <c r="N71" s="91">
        <f>'Model (SN)'!N68-'Model (SC)'!N68</f>
        <v>0</v>
      </c>
      <c r="O71" s="91">
        <f>'Model (SN)'!O68-'Model (SC)'!O68</f>
        <v>0</v>
      </c>
      <c r="P71" s="91">
        <f>'Model (SN)'!P68-'Model (SC)'!P68</f>
        <v>0</v>
      </c>
      <c r="Q71" s="91">
        <f>'Model (SN)'!Q68-'Model (SC)'!Q68</f>
        <v>0</v>
      </c>
      <c r="R71" s="91">
        <f>'Model (SN)'!R68-'Model (SC)'!R68</f>
        <v>0</v>
      </c>
      <c r="S71" s="91">
        <f>'Model (SN)'!S68-'Model (SC)'!S68</f>
        <v>0</v>
      </c>
      <c r="T71" s="91">
        <f>'Model (SN)'!T68-'Model (SC)'!T68</f>
        <v>0</v>
      </c>
      <c r="U71" s="91">
        <f>'Model (SN)'!U68-'Model (SC)'!U68</f>
        <v>0</v>
      </c>
      <c r="V71" s="91">
        <f>'Model (SN)'!V68-'Model (SC)'!V68</f>
        <v>0</v>
      </c>
    </row>
    <row r="72" spans="1:22" x14ac:dyDescent="0.25">
      <c r="A72" s="82"/>
      <c r="B72" s="64" t="s">
        <v>146</v>
      </c>
      <c r="C72" s="90">
        <f>'Model (SN)'!C69-'Model (SC)'!C69</f>
        <v>0</v>
      </c>
      <c r="D72" s="91">
        <f>'Model (SN)'!D69-'Model (SC)'!D69</f>
        <v>0</v>
      </c>
      <c r="E72" s="91">
        <f>'Model (SN)'!E69-'Model (SC)'!E69</f>
        <v>0</v>
      </c>
      <c r="F72" s="91">
        <f>'Model (SN)'!F69-'Model (SC)'!F69</f>
        <v>0</v>
      </c>
      <c r="G72" s="91">
        <f>'Model (SN)'!G69-'Model (SC)'!G69</f>
        <v>0</v>
      </c>
      <c r="H72" s="91">
        <f>'Model (SN)'!H69-'Model (SC)'!H69</f>
        <v>0</v>
      </c>
      <c r="I72" s="91">
        <f>'Model (SN)'!I69-'Model (SC)'!I69</f>
        <v>0</v>
      </c>
      <c r="J72" s="91">
        <f>'Model (SN)'!J69-'Model (SC)'!J69</f>
        <v>0</v>
      </c>
      <c r="K72" s="91">
        <f>'Model (SN)'!K69-'Model (SC)'!K69</f>
        <v>0</v>
      </c>
      <c r="L72" s="91">
        <f>'Model (SN)'!L69-'Model (SC)'!L69</f>
        <v>0</v>
      </c>
      <c r="M72" s="91">
        <f>'Model (SN)'!M69-'Model (SC)'!M69</f>
        <v>0</v>
      </c>
      <c r="N72" s="91">
        <f>'Model (SN)'!N69-'Model (SC)'!N69</f>
        <v>-0.83609851999983675</v>
      </c>
      <c r="O72" s="91">
        <f>'Model (SN)'!O69-'Model (SC)'!O69</f>
        <v>-1.1150244787907013</v>
      </c>
      <c r="P72" s="91">
        <f>'Model (SN)'!P69-'Model (SC)'!P69</f>
        <v>-1.3468121297842117</v>
      </c>
      <c r="Q72" s="91">
        <f>'Model (SN)'!Q69-'Model (SC)'!Q69</f>
        <v>-1.5783218269800727</v>
      </c>
      <c r="R72" s="91">
        <f>'Model (SN)'!R69-'Model (SC)'!R69</f>
        <v>-1.8134398872985003</v>
      </c>
      <c r="S72" s="91">
        <f>'Model (SN)'!S69-'Model (SC)'!S69</f>
        <v>-2.050409562450568</v>
      </c>
      <c r="T72" s="91">
        <f>'Model (SN)'!T69-'Model (SC)'!T69</f>
        <v>-2.2874744022929008</v>
      </c>
      <c r="U72" s="91">
        <f>'Model (SN)'!U69-'Model (SC)'!U69</f>
        <v>-2.5233003506124305</v>
      </c>
      <c r="V72" s="91">
        <f>'Model (SN)'!V69-'Model (SC)'!V69</f>
        <v>-2.7568677596105999</v>
      </c>
    </row>
    <row r="73" spans="1:22" x14ac:dyDescent="0.25">
      <c r="A73" s="82"/>
      <c r="B73" s="98" t="s">
        <v>131</v>
      </c>
      <c r="C73" s="90">
        <f>'Model (SN)'!C70-'Model (SC)'!C70</f>
        <v>0</v>
      </c>
      <c r="D73" s="100">
        <f>'Model (SN)'!D70-'Model (SC)'!D70</f>
        <v>0</v>
      </c>
      <c r="E73" s="100">
        <f>'Model (SN)'!E70-'Model (SC)'!E70</f>
        <v>0</v>
      </c>
      <c r="F73" s="100">
        <f>'Model (SN)'!F70-'Model (SC)'!F70</f>
        <v>0</v>
      </c>
      <c r="G73" s="100">
        <f>'Model (SN)'!G70-'Model (SC)'!G70</f>
        <v>0</v>
      </c>
      <c r="H73" s="100">
        <f>'Model (SN)'!H70-'Model (SC)'!H70</f>
        <v>0</v>
      </c>
      <c r="I73" s="100">
        <f>'Model (SN)'!I70-'Model (SC)'!I70</f>
        <v>0</v>
      </c>
      <c r="J73" s="100">
        <f>'Model (SN)'!J70-'Model (SC)'!J70</f>
        <v>0</v>
      </c>
      <c r="K73" s="100">
        <f>'Model (SN)'!K70-'Model (SC)'!K70</f>
        <v>0</v>
      </c>
      <c r="L73" s="100">
        <f>'Model (SN)'!L70-'Model (SC)'!L70</f>
        <v>0</v>
      </c>
      <c r="M73" s="100">
        <f>'Model (SN)'!M70-'Model (SC)'!M70</f>
        <v>-9.4947972287372977</v>
      </c>
      <c r="N73" s="100">
        <f>'Model (SN)'!N70-'Model (SC)'!N70</f>
        <v>-10.825212034056676</v>
      </c>
      <c r="O73" s="100">
        <f>'Model (SN)'!O70-'Model (SC)'!O70</f>
        <v>-12.115564890906171</v>
      </c>
      <c r="P73" s="100">
        <f>'Model (SN)'!P70-'Model (SC)'!P70</f>
        <v>-13.50872430311756</v>
      </c>
      <c r="Q73" s="100">
        <f>'Model (SN)'!Q70-'Model (SC)'!Q70</f>
        <v>-15.000475431470477</v>
      </c>
      <c r="R73" s="100">
        <f>'Model (SN)'!R70-'Model (SC)'!R70</f>
        <v>-16.555760166906111</v>
      </c>
      <c r="S73" s="100">
        <f>'Model (SN)'!S70-'Model (SC)'!S70</f>
        <v>-18.147999969598459</v>
      </c>
      <c r="T73" s="100">
        <f>'Model (SN)'!T70-'Model (SC)'!T70</f>
        <v>-19.758221123069234</v>
      </c>
      <c r="U73" s="100">
        <f>'Model (SN)'!U70-'Model (SC)'!U70</f>
        <v>-21.37245716759935</v>
      </c>
      <c r="V73" s="100">
        <f>'Model (SN)'!V70-'Model (SC)'!V70</f>
        <v>-22.980144351911804</v>
      </c>
    </row>
    <row r="74" spans="1:22" s="88" customFormat="1" x14ac:dyDescent="0.25">
      <c r="A74" s="89"/>
      <c r="C74" s="102"/>
      <c r="D74" s="91"/>
      <c r="E74" s="176"/>
      <c r="F74" s="176"/>
      <c r="G74" s="176"/>
      <c r="H74" s="176"/>
      <c r="I74" s="176"/>
      <c r="J74" s="176"/>
      <c r="K74" s="176"/>
      <c r="L74" s="176"/>
      <c r="M74" s="176"/>
      <c r="N74" s="176"/>
      <c r="O74" s="176"/>
      <c r="P74" s="176"/>
      <c r="Q74" s="176"/>
      <c r="R74" s="176"/>
      <c r="S74" s="176"/>
      <c r="T74" s="64"/>
      <c r="U74" s="64"/>
      <c r="V74" s="64"/>
    </row>
    <row r="75" spans="1:22" s="64" customFormat="1" x14ac:dyDescent="0.25">
      <c r="A75" s="82"/>
      <c r="B75" s="105"/>
      <c r="C75" s="106"/>
      <c r="D75" s="91"/>
      <c r="E75" s="176"/>
      <c r="F75" s="176"/>
      <c r="G75" s="176"/>
      <c r="H75" s="176"/>
      <c r="I75" s="176"/>
      <c r="J75" s="176"/>
      <c r="K75" s="176"/>
      <c r="L75" s="176"/>
      <c r="M75" s="176"/>
      <c r="N75" s="176"/>
      <c r="O75" s="176"/>
      <c r="P75" s="176"/>
      <c r="Q75" s="176"/>
      <c r="R75" s="176"/>
      <c r="S75" s="176"/>
    </row>
    <row r="76" spans="1:22" s="64" customFormat="1" x14ac:dyDescent="0.25">
      <c r="A76" s="82"/>
      <c r="B76" s="107" t="s">
        <v>156</v>
      </c>
      <c r="C76" s="93">
        <f t="shared" ref="C76:V76" si="0">ROUNDDOWN(SUM(C6:C8)+SUM(C15:C18)+C26+SUM(C40:C44)+C56,0)</f>
        <v>0</v>
      </c>
      <c r="D76" s="108">
        <f t="shared" si="0"/>
        <v>0</v>
      </c>
      <c r="E76" s="108">
        <f t="shared" si="0"/>
        <v>0</v>
      </c>
      <c r="F76" s="108">
        <f t="shared" si="0"/>
        <v>0</v>
      </c>
      <c r="G76" s="108">
        <f t="shared" si="0"/>
        <v>0</v>
      </c>
      <c r="H76" s="108">
        <f t="shared" si="0"/>
        <v>0</v>
      </c>
      <c r="I76" s="108">
        <f t="shared" si="0"/>
        <v>0</v>
      </c>
      <c r="J76" s="109">
        <f t="shared" si="0"/>
        <v>0</v>
      </c>
      <c r="K76" s="109">
        <f t="shared" si="0"/>
        <v>0</v>
      </c>
      <c r="L76" s="108">
        <f t="shared" si="0"/>
        <v>-64</v>
      </c>
      <c r="M76" s="109">
        <f t="shared" si="0"/>
        <v>-113</v>
      </c>
      <c r="N76" s="108">
        <f t="shared" si="0"/>
        <v>-158</v>
      </c>
      <c r="O76" s="108">
        <f t="shared" si="0"/>
        <v>-200</v>
      </c>
      <c r="P76" s="108">
        <f t="shared" si="0"/>
        <v>-240</v>
      </c>
      <c r="Q76" s="108">
        <f t="shared" si="0"/>
        <v>-279</v>
      </c>
      <c r="R76" s="108">
        <f t="shared" si="0"/>
        <v>-316</v>
      </c>
      <c r="S76" s="108">
        <f t="shared" si="0"/>
        <v>-352</v>
      </c>
      <c r="T76" s="108">
        <f t="shared" si="0"/>
        <v>-387</v>
      </c>
      <c r="U76" s="108">
        <f t="shared" si="0"/>
        <v>-421</v>
      </c>
      <c r="V76" s="108">
        <f t="shared" si="0"/>
        <v>-453</v>
      </c>
    </row>
    <row r="77" spans="1:22" s="64" customFormat="1" x14ac:dyDescent="0.25">
      <c r="A77" s="82"/>
      <c r="B77" s="107" t="s">
        <v>157</v>
      </c>
      <c r="C77" s="110">
        <f>9257096*0.57</f>
        <v>5276544.72</v>
      </c>
      <c r="D77" s="111">
        <f>9409991*0.58</f>
        <v>5457794.7799999993</v>
      </c>
      <c r="E77" s="111">
        <f>9564449*0.58</f>
        <v>5547380.4199999999</v>
      </c>
      <c r="F77" s="111">
        <f>9720086*0.59</f>
        <v>5734850.7399999993</v>
      </c>
      <c r="G77" s="111">
        <f>9876402*0.59</f>
        <v>5827077.1799999997</v>
      </c>
      <c r="H77" s="111">
        <f>10032619*0.58</f>
        <v>5818919.0199999996</v>
      </c>
      <c r="I77" s="111">
        <f>9958000*0.59</f>
        <v>5875220</v>
      </c>
      <c r="J77" s="111">
        <f>9958000*0.59</f>
        <v>5875220</v>
      </c>
      <c r="K77" s="111">
        <f>9958000*0.59</f>
        <v>5875220</v>
      </c>
      <c r="L77" s="111">
        <f>9958000*0.59</f>
        <v>5875220</v>
      </c>
      <c r="M77" s="111">
        <f>9958000*0.59</f>
        <v>5875220</v>
      </c>
      <c r="N77" s="111">
        <f>10702000*0.619</f>
        <v>6624538</v>
      </c>
      <c r="O77" s="111">
        <v>6624538</v>
      </c>
      <c r="P77" s="111">
        <v>6624538</v>
      </c>
      <c r="Q77" s="111">
        <v>6624538</v>
      </c>
      <c r="R77" s="111">
        <v>6624538</v>
      </c>
      <c r="S77" s="111">
        <v>6624538</v>
      </c>
      <c r="T77" s="111">
        <v>6624538</v>
      </c>
      <c r="U77" s="111">
        <v>6624538</v>
      </c>
      <c r="V77" s="111">
        <v>6624538</v>
      </c>
    </row>
    <row r="78" spans="1:22" s="116" customFormat="1" x14ac:dyDescent="0.25">
      <c r="A78" s="112"/>
      <c r="B78" s="113" t="s">
        <v>158</v>
      </c>
      <c r="C78" s="114">
        <f t="shared" ref="C78:Q78" si="1">C76/C77</f>
        <v>0</v>
      </c>
      <c r="D78" s="115">
        <f t="shared" si="1"/>
        <v>0</v>
      </c>
      <c r="E78" s="115">
        <f t="shared" si="1"/>
        <v>0</v>
      </c>
      <c r="F78" s="115">
        <f t="shared" si="1"/>
        <v>0</v>
      </c>
      <c r="G78" s="115">
        <f t="shared" si="1"/>
        <v>0</v>
      </c>
      <c r="H78" s="115">
        <f t="shared" si="1"/>
        <v>0</v>
      </c>
      <c r="I78" s="115">
        <f t="shared" si="1"/>
        <v>0</v>
      </c>
      <c r="J78" s="115">
        <f t="shared" si="1"/>
        <v>0</v>
      </c>
      <c r="K78" s="115">
        <f t="shared" si="1"/>
        <v>0</v>
      </c>
      <c r="L78" s="115">
        <f t="shared" si="1"/>
        <v>-1.0893209105361162E-5</v>
      </c>
      <c r="M78" s="115">
        <f t="shared" si="1"/>
        <v>-1.92333223266533E-5</v>
      </c>
      <c r="N78" s="115">
        <f t="shared" si="1"/>
        <v>-2.3850719853973214E-5</v>
      </c>
      <c r="O78" s="115">
        <f t="shared" si="1"/>
        <v>-3.0190784625282549E-5</v>
      </c>
      <c r="P78" s="115">
        <f t="shared" si="1"/>
        <v>-3.6228941550339058E-5</v>
      </c>
      <c r="Q78" s="115">
        <f t="shared" si="1"/>
        <v>-4.2116144552269156E-5</v>
      </c>
      <c r="R78" s="115">
        <f>R76/R77</f>
        <v>-4.7701439707946428E-5</v>
      </c>
      <c r="S78" s="115">
        <f>S76/S77</f>
        <v>-5.3135780940497286E-5</v>
      </c>
      <c r="T78" s="115">
        <f t="shared" ref="T78:V78" si="2">T76/T77</f>
        <v>-5.841916824992173E-5</v>
      </c>
      <c r="U78" s="115">
        <f t="shared" si="2"/>
        <v>-6.3551601636219768E-5</v>
      </c>
      <c r="V78" s="115">
        <f t="shared" si="2"/>
        <v>-6.8382127176264972E-5</v>
      </c>
    </row>
    <row r="79" spans="1:22" x14ac:dyDescent="0.25">
      <c r="C79" s="87"/>
      <c r="D79" s="203"/>
      <c r="E79" s="203"/>
      <c r="F79" s="203"/>
      <c r="G79" s="203"/>
      <c r="H79" s="176"/>
      <c r="I79" s="176"/>
      <c r="J79" s="176"/>
      <c r="K79" s="176"/>
      <c r="L79" s="176"/>
      <c r="M79" s="104"/>
      <c r="N79" s="176"/>
      <c r="O79" s="176"/>
      <c r="P79" s="176"/>
      <c r="Q79" s="104"/>
      <c r="R79" s="104"/>
    </row>
    <row r="80" spans="1:22" x14ac:dyDescent="0.25">
      <c r="A80" s="127" t="s">
        <v>159</v>
      </c>
      <c r="C80" s="117"/>
      <c r="D80" s="203"/>
      <c r="E80" s="203"/>
      <c r="F80" s="203"/>
      <c r="G80" s="203"/>
      <c r="H80" s="176"/>
      <c r="I80" s="176"/>
      <c r="J80" s="176"/>
      <c r="K80" s="176"/>
      <c r="L80" s="176"/>
      <c r="M80" s="176"/>
      <c r="N80" s="176"/>
      <c r="O80" s="176"/>
      <c r="P80" s="176"/>
      <c r="Q80" s="176"/>
      <c r="R80" s="176"/>
    </row>
    <row r="81" spans="1:18" x14ac:dyDescent="0.25">
      <c r="A81" s="118" t="s">
        <v>160</v>
      </c>
      <c r="C81" s="117"/>
      <c r="D81" s="203"/>
      <c r="E81" s="203"/>
      <c r="F81" s="203"/>
      <c r="G81" s="203"/>
      <c r="H81" s="176"/>
      <c r="I81" s="176"/>
      <c r="J81" s="176"/>
      <c r="K81" s="176"/>
      <c r="L81" s="176"/>
      <c r="M81" s="176"/>
      <c r="N81" s="176"/>
      <c r="O81" s="176"/>
      <c r="P81" s="176"/>
      <c r="Q81" s="176"/>
      <c r="R81" s="176"/>
    </row>
    <row r="82" spans="1:18" x14ac:dyDescent="0.25">
      <c r="C82" s="117"/>
      <c r="D82" s="203"/>
      <c r="E82" s="203"/>
      <c r="F82" s="203"/>
      <c r="G82" s="203"/>
      <c r="H82" s="176"/>
      <c r="I82" s="176"/>
      <c r="J82" s="176"/>
      <c r="K82" s="176"/>
      <c r="L82" s="176"/>
      <c r="M82" s="176"/>
      <c r="N82" s="176"/>
      <c r="O82" s="176"/>
      <c r="P82" s="176"/>
      <c r="Q82" s="176"/>
      <c r="R82" s="176"/>
    </row>
    <row r="83" spans="1:18" x14ac:dyDescent="0.25">
      <c r="A83" s="128" t="s">
        <v>161</v>
      </c>
      <c r="B83" s="203"/>
      <c r="C83" s="119"/>
      <c r="D83" s="203"/>
      <c r="E83" s="203"/>
      <c r="F83" s="203"/>
      <c r="G83" s="203"/>
      <c r="H83" s="176"/>
      <c r="I83" s="176"/>
      <c r="J83" s="176"/>
      <c r="K83" s="176"/>
      <c r="L83" s="176"/>
      <c r="M83" s="176"/>
      <c r="N83" s="176"/>
      <c r="O83" s="176"/>
      <c r="P83" s="176"/>
      <c r="Q83" s="176"/>
      <c r="R83" s="176"/>
    </row>
    <row r="84" spans="1:18" x14ac:dyDescent="0.25">
      <c r="A84" s="120"/>
      <c r="B84" s="121" t="s">
        <v>162</v>
      </c>
      <c r="C84" s="117"/>
      <c r="D84" s="203"/>
      <c r="E84" s="203"/>
      <c r="F84" s="203"/>
      <c r="G84" s="203"/>
      <c r="H84" s="176"/>
      <c r="I84" s="176"/>
      <c r="J84" s="176"/>
      <c r="K84" s="176"/>
      <c r="L84" s="176"/>
      <c r="M84" s="176"/>
      <c r="N84" s="176"/>
      <c r="O84" s="176"/>
      <c r="P84" s="176"/>
      <c r="Q84" s="176"/>
      <c r="R84" s="176"/>
    </row>
  </sheetData>
  <mergeCells count="2">
    <mergeCell ref="C2:K2"/>
    <mergeCell ref="L2:V2"/>
  </mergeCells>
  <printOptions horizontalCentered="1"/>
  <pageMargins left="0.5" right="0.5" top="0.75" bottom="0.75" header="0.3" footer="0.3"/>
  <pageSetup scale="77"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V84"/>
  <sheetViews>
    <sheetView zoomScaleNormal="100" workbookViewId="0">
      <pane xSplit="2" ySplit="4" topLeftCell="C28" activePane="bottomRight" state="frozen"/>
      <selection pane="topRight" activeCell="C1" sqref="C1"/>
      <selection pane="bottomLeft" activeCell="A3" sqref="A3"/>
      <selection pane="bottomRight" activeCell="A42" sqref="A42"/>
    </sheetView>
  </sheetViews>
  <sheetFormatPr defaultColWidth="9.140625" defaultRowHeight="15" x14ac:dyDescent="0.25"/>
  <cols>
    <col min="1" max="1" width="2.7109375" style="127" customWidth="1"/>
    <col min="2" max="2" width="53.5703125" style="127" customWidth="1"/>
    <col min="3" max="3" width="10.42578125" style="226" customWidth="1"/>
    <col min="4" max="4" width="10.42578125" style="127" customWidth="1"/>
    <col min="5" max="7" width="12.140625" style="127" customWidth="1"/>
    <col min="8" max="8" width="12.140625" style="64" customWidth="1"/>
    <col min="9" max="9" width="12" style="127" customWidth="1"/>
    <col min="10" max="12" width="10.42578125" style="127" customWidth="1"/>
    <col min="13" max="13" width="10.42578125" style="64" customWidth="1"/>
    <col min="14" max="14" width="11.5703125" style="64" customWidth="1"/>
    <col min="15" max="17" width="11.5703125" style="127" customWidth="1"/>
    <col min="18" max="18" width="11.5703125" style="64" customWidth="1"/>
    <col min="19" max="19" width="10.42578125" style="127" customWidth="1"/>
    <col min="20" max="16384" width="9.140625" style="127"/>
  </cols>
  <sheetData>
    <row r="1" spans="1:22" s="5" customFormat="1" x14ac:dyDescent="0.25">
      <c r="A1" s="74" t="s">
        <v>104</v>
      </c>
      <c r="B1" s="75"/>
      <c r="C1" s="76"/>
      <c r="D1" s="75"/>
      <c r="E1" s="75"/>
      <c r="F1" s="75"/>
      <c r="G1" s="75"/>
      <c r="H1" s="75"/>
      <c r="I1" s="75"/>
      <c r="J1" s="75"/>
      <c r="K1" s="75"/>
      <c r="L1" s="75"/>
      <c r="M1" s="75"/>
      <c r="N1" s="75"/>
      <c r="O1" s="75"/>
      <c r="P1" s="75"/>
      <c r="Q1" s="75"/>
      <c r="R1" s="75"/>
    </row>
    <row r="2" spans="1:22" s="13" customFormat="1" x14ac:dyDescent="0.25">
      <c r="A2" s="78"/>
      <c r="B2" s="123" t="s">
        <v>887</v>
      </c>
      <c r="C2" s="352" t="s">
        <v>105</v>
      </c>
      <c r="D2" s="353"/>
      <c r="E2" s="353"/>
      <c r="F2" s="353"/>
      <c r="G2" s="353"/>
      <c r="H2" s="353"/>
      <c r="I2" s="353"/>
      <c r="J2" s="353"/>
      <c r="K2" s="353"/>
      <c r="L2" s="354" t="s">
        <v>106</v>
      </c>
      <c r="M2" s="355"/>
      <c r="N2" s="355"/>
      <c r="O2" s="355"/>
      <c r="P2" s="355"/>
      <c r="Q2" s="355"/>
      <c r="R2" s="355"/>
      <c r="S2" s="355"/>
      <c r="T2" s="355"/>
      <c r="U2" s="355"/>
      <c r="V2" s="355"/>
    </row>
    <row r="3" spans="1:22" s="137" customFormat="1" x14ac:dyDescent="0.25">
      <c r="A3" s="134"/>
      <c r="B3" s="135"/>
      <c r="C3" s="79">
        <v>2004</v>
      </c>
      <c r="D3" s="80">
        <v>2005</v>
      </c>
      <c r="E3" s="80">
        <v>2006</v>
      </c>
      <c r="F3" s="80">
        <v>2007</v>
      </c>
      <c r="G3" s="80">
        <v>2008</v>
      </c>
      <c r="H3" s="80">
        <v>2009</v>
      </c>
      <c r="I3" s="80">
        <v>2010</v>
      </c>
      <c r="J3" s="80">
        <v>2011</v>
      </c>
      <c r="K3" s="80">
        <v>2012</v>
      </c>
      <c r="L3" s="80">
        <v>2013</v>
      </c>
      <c r="M3" s="80">
        <v>2014</v>
      </c>
      <c r="N3" s="80">
        <v>2015</v>
      </c>
      <c r="O3" s="80">
        <v>2016</v>
      </c>
      <c r="P3" s="80">
        <v>2017</v>
      </c>
      <c r="Q3" s="80">
        <v>2018</v>
      </c>
      <c r="R3" s="80">
        <v>2019</v>
      </c>
      <c r="S3" s="80">
        <v>2020</v>
      </c>
      <c r="T3" s="80">
        <v>2021</v>
      </c>
      <c r="U3" s="80">
        <v>2022</v>
      </c>
      <c r="V3" s="80">
        <v>2023</v>
      </c>
    </row>
    <row r="4" spans="1:22" x14ac:dyDescent="0.25">
      <c r="A4" s="82"/>
      <c r="B4" s="64"/>
      <c r="C4" s="83" t="s">
        <v>107</v>
      </c>
      <c r="D4" s="84" t="s">
        <v>108</v>
      </c>
      <c r="E4" s="84" t="s">
        <v>109</v>
      </c>
      <c r="F4" s="84" t="s">
        <v>110</v>
      </c>
      <c r="G4" s="84" t="s">
        <v>111</v>
      </c>
      <c r="H4" s="84" t="s">
        <v>112</v>
      </c>
      <c r="I4" s="84" t="s">
        <v>113</v>
      </c>
      <c r="J4" s="84" t="s">
        <v>114</v>
      </c>
      <c r="K4" s="84" t="s">
        <v>115</v>
      </c>
      <c r="L4" s="84" t="s">
        <v>116</v>
      </c>
      <c r="M4" s="84" t="s">
        <v>117</v>
      </c>
      <c r="N4" s="205" t="s">
        <v>118</v>
      </c>
      <c r="O4" s="205" t="s">
        <v>119</v>
      </c>
      <c r="P4" s="84" t="s">
        <v>120</v>
      </c>
      <c r="Q4" s="84" t="s">
        <v>121</v>
      </c>
      <c r="R4" s="84" t="s">
        <v>122</v>
      </c>
      <c r="S4" s="84" t="s">
        <v>123</v>
      </c>
      <c r="T4" s="84" t="s">
        <v>450</v>
      </c>
      <c r="U4" s="84" t="s">
        <v>451</v>
      </c>
      <c r="V4" s="84" t="s">
        <v>452</v>
      </c>
    </row>
    <row r="5" spans="1:22" x14ac:dyDescent="0.25">
      <c r="A5" s="86" t="s">
        <v>313</v>
      </c>
      <c r="B5" s="64"/>
      <c r="C5" s="87"/>
      <c r="D5" s="88"/>
      <c r="E5" s="88"/>
      <c r="F5" s="88"/>
      <c r="G5" s="88"/>
      <c r="H5" s="88"/>
      <c r="I5" s="64"/>
      <c r="J5" s="88"/>
      <c r="K5" s="88"/>
      <c r="L5" s="88"/>
      <c r="M5" s="88"/>
      <c r="O5" s="64"/>
      <c r="P5" s="88"/>
      <c r="Q5" s="88"/>
      <c r="R5" s="88"/>
      <c r="S5" s="88"/>
      <c r="T5" s="64"/>
      <c r="V5" s="64"/>
    </row>
    <row r="6" spans="1:22" x14ac:dyDescent="0.25">
      <c r="A6" s="82"/>
      <c r="B6" s="64" t="s">
        <v>124</v>
      </c>
      <c r="C6" s="90">
        <f>'Model (Matrix)'!C3-'Model (SN)'!C3</f>
        <v>0</v>
      </c>
      <c r="D6" s="91">
        <f>'Model (Matrix)'!D3-'Model (SN)'!D3</f>
        <v>0</v>
      </c>
      <c r="E6" s="91">
        <f>'Model (Matrix)'!E3-'Model (SN)'!E3</f>
        <v>0</v>
      </c>
      <c r="F6" s="91">
        <f>'Model (Matrix)'!F3-'Model (SN)'!F3</f>
        <v>0</v>
      </c>
      <c r="G6" s="91">
        <f>'Model (Matrix)'!G3-'Model (SN)'!G3</f>
        <v>0</v>
      </c>
      <c r="H6" s="91">
        <f>'Model (Matrix)'!H3-'Model (SN)'!H3</f>
        <v>0</v>
      </c>
      <c r="I6" s="91">
        <f>'Model (Matrix)'!I3-'Model (SN)'!I3</f>
        <v>0</v>
      </c>
      <c r="J6" s="91">
        <f>'Model (Matrix)'!J3-'Model (SN)'!J3</f>
        <v>0</v>
      </c>
      <c r="K6" s="91">
        <f>'Model (Matrix)'!K3-'Model (SN)'!K3</f>
        <v>0</v>
      </c>
      <c r="L6" s="91">
        <f>'Model (Matrix)'!L3-'Model (SN)'!L3</f>
        <v>0</v>
      </c>
      <c r="M6" s="91">
        <f>'Model (Matrix)'!M3-'Model (SN)'!M3</f>
        <v>0</v>
      </c>
      <c r="N6" s="91">
        <f>'Model (Matrix)'!N3-'Model (SN)'!N3</f>
        <v>0</v>
      </c>
      <c r="O6" s="91">
        <f>'Model (Matrix)'!O3-'Model (SN)'!O3</f>
        <v>0</v>
      </c>
      <c r="P6" s="91">
        <f>'Model (Matrix)'!P3-'Model (SN)'!P3</f>
        <v>0</v>
      </c>
      <c r="Q6" s="91">
        <f>'Model (Matrix)'!Q3-'Model (SN)'!Q3</f>
        <v>0</v>
      </c>
      <c r="R6" s="91">
        <f>'Model (Matrix)'!R3-'Model (SN)'!R3</f>
        <v>0</v>
      </c>
      <c r="S6" s="91">
        <f>'Model (Matrix)'!S3-'Model (SN)'!S3</f>
        <v>0</v>
      </c>
      <c r="T6" s="91">
        <f>'Model (Matrix)'!T3-'Model (SN)'!T3</f>
        <v>0</v>
      </c>
      <c r="U6" s="91">
        <f>'Model (Matrix)'!U3-'Model (SN)'!U3</f>
        <v>0</v>
      </c>
      <c r="V6" s="91">
        <f>'Model (Matrix)'!V3-'Model (SN)'!V3</f>
        <v>0</v>
      </c>
    </row>
    <row r="7" spans="1:22" x14ac:dyDescent="0.25">
      <c r="A7" s="82"/>
      <c r="B7" s="64" t="s">
        <v>125</v>
      </c>
      <c r="C7" s="90">
        <f>'Model (Matrix)'!C4-'Model (SN)'!C4</f>
        <v>0</v>
      </c>
      <c r="D7" s="91">
        <f>'Model (Matrix)'!D4-'Model (SN)'!D4</f>
        <v>0</v>
      </c>
      <c r="E7" s="91">
        <f>'Model (Matrix)'!E4-'Model (SN)'!E4</f>
        <v>0</v>
      </c>
      <c r="F7" s="91">
        <f>'Model (Matrix)'!F4-'Model (SN)'!F4</f>
        <v>0</v>
      </c>
      <c r="G7" s="91">
        <f>'Model (Matrix)'!G4-'Model (SN)'!G4</f>
        <v>0</v>
      </c>
      <c r="H7" s="91">
        <f>'Model (Matrix)'!H4-'Model (SN)'!H4</f>
        <v>0</v>
      </c>
      <c r="I7" s="91">
        <f>'Model (Matrix)'!I4-'Model (SN)'!I4</f>
        <v>0</v>
      </c>
      <c r="J7" s="91">
        <f>'Model (Matrix)'!J4-'Model (SN)'!J4</f>
        <v>0</v>
      </c>
      <c r="K7" s="91">
        <f>'Model (Matrix)'!K4-'Model (SN)'!K4</f>
        <v>0</v>
      </c>
      <c r="L7" s="91">
        <f>'Model (Matrix)'!L4-'Model (SN)'!L4</f>
        <v>0</v>
      </c>
      <c r="M7" s="91">
        <f>'Model (Matrix)'!M4-'Model (SN)'!M4</f>
        <v>0</v>
      </c>
      <c r="N7" s="91">
        <f>'Model (Matrix)'!N4-'Model (SN)'!N4</f>
        <v>0</v>
      </c>
      <c r="O7" s="91">
        <f>'Model (Matrix)'!O4-'Model (SN)'!O4</f>
        <v>0</v>
      </c>
      <c r="P7" s="91">
        <f>'Model (Matrix)'!P4-'Model (SN)'!P4</f>
        <v>0</v>
      </c>
      <c r="Q7" s="91">
        <f>'Model (Matrix)'!Q4-'Model (SN)'!Q4</f>
        <v>0</v>
      </c>
      <c r="R7" s="91">
        <f>'Model (Matrix)'!R4-'Model (SN)'!R4</f>
        <v>0</v>
      </c>
      <c r="S7" s="91">
        <f>'Model (Matrix)'!S4-'Model (SN)'!S4</f>
        <v>0</v>
      </c>
      <c r="T7" s="91">
        <f>'Model (Matrix)'!T4-'Model (SN)'!T4</f>
        <v>0</v>
      </c>
      <c r="U7" s="91">
        <f>'Model (Matrix)'!U4-'Model (SN)'!U4</f>
        <v>0</v>
      </c>
      <c r="V7" s="91">
        <f>'Model (Matrix)'!V4-'Model (SN)'!V4</f>
        <v>0</v>
      </c>
    </row>
    <row r="8" spans="1:22" x14ac:dyDescent="0.25">
      <c r="A8" s="82"/>
      <c r="B8" s="64" t="s">
        <v>126</v>
      </c>
      <c r="C8" s="90">
        <f>'Model (Matrix)'!C5-'Model (SN)'!C5</f>
        <v>0</v>
      </c>
      <c r="D8" s="91">
        <f>'Model (Matrix)'!D5-'Model (SN)'!D5</f>
        <v>0</v>
      </c>
      <c r="E8" s="91">
        <f>'Model (Matrix)'!E5-'Model (SN)'!E5</f>
        <v>0</v>
      </c>
      <c r="F8" s="91">
        <f>'Model (Matrix)'!F5-'Model (SN)'!F5</f>
        <v>0</v>
      </c>
      <c r="G8" s="91">
        <f>'Model (Matrix)'!G5-'Model (SN)'!G5</f>
        <v>0</v>
      </c>
      <c r="H8" s="91">
        <f>'Model (Matrix)'!H5-'Model (SN)'!H5</f>
        <v>0</v>
      </c>
      <c r="I8" s="91">
        <f>'Model (Matrix)'!I5-'Model (SN)'!I5</f>
        <v>0</v>
      </c>
      <c r="J8" s="91">
        <f>'Model (Matrix)'!J5-'Model (SN)'!J5</f>
        <v>0</v>
      </c>
      <c r="K8" s="91">
        <f>'Model (Matrix)'!K5-'Model (SN)'!K5</f>
        <v>0</v>
      </c>
      <c r="L8" s="91">
        <f>'Model (Matrix)'!L5-'Model (SN)'!L5</f>
        <v>0</v>
      </c>
      <c r="M8" s="91">
        <f>'Model (Matrix)'!M5-'Model (SN)'!M5</f>
        <v>0</v>
      </c>
      <c r="N8" s="91">
        <f>'Model (Matrix)'!N5-'Model (SN)'!N5</f>
        <v>0</v>
      </c>
      <c r="O8" s="91">
        <f>'Model (Matrix)'!O5-'Model (SN)'!O5</f>
        <v>0</v>
      </c>
      <c r="P8" s="91">
        <f>'Model (Matrix)'!P5-'Model (SN)'!P5</f>
        <v>0</v>
      </c>
      <c r="Q8" s="91">
        <f>'Model (Matrix)'!Q5-'Model (SN)'!Q5</f>
        <v>0</v>
      </c>
      <c r="R8" s="91">
        <f>'Model (Matrix)'!R5-'Model (SN)'!R5</f>
        <v>0</v>
      </c>
      <c r="S8" s="91">
        <f>'Model (Matrix)'!S5-'Model (SN)'!S5</f>
        <v>0</v>
      </c>
      <c r="T8" s="91">
        <f>'Model (Matrix)'!T5-'Model (SN)'!T5</f>
        <v>0</v>
      </c>
      <c r="U8" s="91">
        <f>'Model (Matrix)'!U5-'Model (SN)'!U5</f>
        <v>0</v>
      </c>
      <c r="V8" s="91">
        <f>'Model (Matrix)'!V5-'Model (SN)'!V5</f>
        <v>0</v>
      </c>
    </row>
    <row r="9" spans="1:22" x14ac:dyDescent="0.25">
      <c r="A9" s="82"/>
      <c r="B9" s="64" t="s">
        <v>127</v>
      </c>
      <c r="C9" s="90">
        <f>'Model (Matrix)'!C6-'Model (SN)'!C6</f>
        <v>0</v>
      </c>
      <c r="D9" s="91">
        <f>'Model (Matrix)'!D6-'Model (SN)'!D6</f>
        <v>0</v>
      </c>
      <c r="E9" s="91">
        <f>'Model (Matrix)'!E6-'Model (SN)'!E6</f>
        <v>0</v>
      </c>
      <c r="F9" s="91">
        <f>'Model (Matrix)'!F6-'Model (SN)'!F6</f>
        <v>0</v>
      </c>
      <c r="G9" s="91">
        <f>'Model (Matrix)'!G6-'Model (SN)'!G6</f>
        <v>0</v>
      </c>
      <c r="H9" s="91">
        <f>'Model (Matrix)'!H6-'Model (SN)'!H6</f>
        <v>0</v>
      </c>
      <c r="I9" s="91">
        <f>'Model (Matrix)'!I6-'Model (SN)'!I6</f>
        <v>0</v>
      </c>
      <c r="J9" s="91">
        <f>'Model (Matrix)'!J6-'Model (SN)'!J6</f>
        <v>0</v>
      </c>
      <c r="K9" s="91">
        <f>'Model (Matrix)'!K6-'Model (SN)'!K6</f>
        <v>0</v>
      </c>
      <c r="L9" s="91">
        <f>'Model (Matrix)'!L6-'Model (SN)'!L6</f>
        <v>0</v>
      </c>
      <c r="M9" s="91">
        <f>'Model (Matrix)'!M6-'Model (SN)'!M6</f>
        <v>0</v>
      </c>
      <c r="N9" s="91">
        <f>'Model (Matrix)'!N6-'Model (SN)'!N6</f>
        <v>0</v>
      </c>
      <c r="O9" s="91">
        <f>'Model (Matrix)'!O6-'Model (SN)'!O6</f>
        <v>0</v>
      </c>
      <c r="P9" s="91">
        <f>'Model (Matrix)'!P6-'Model (SN)'!P6</f>
        <v>0</v>
      </c>
      <c r="Q9" s="91">
        <f>'Model (Matrix)'!Q6-'Model (SN)'!Q6</f>
        <v>0</v>
      </c>
      <c r="R9" s="91">
        <f>'Model (Matrix)'!R6-'Model (SN)'!R6</f>
        <v>0</v>
      </c>
      <c r="S9" s="91">
        <f>'Model (Matrix)'!S6-'Model (SN)'!S6</f>
        <v>0</v>
      </c>
      <c r="T9" s="91">
        <f>'Model (Matrix)'!T6-'Model (SN)'!T6</f>
        <v>0</v>
      </c>
      <c r="U9" s="91">
        <f>'Model (Matrix)'!U6-'Model (SN)'!U6</f>
        <v>0</v>
      </c>
      <c r="V9" s="91">
        <f>'Model (Matrix)'!V6-'Model (SN)'!V6</f>
        <v>0</v>
      </c>
    </row>
    <row r="10" spans="1:22" x14ac:dyDescent="0.25">
      <c r="A10" s="82"/>
      <c r="B10" s="63" t="s">
        <v>128</v>
      </c>
      <c r="C10" s="141"/>
      <c r="D10" s="91">
        <f>'Model (Matrix)'!D7-'Model (SN)'!D7</f>
        <v>0</v>
      </c>
      <c r="E10" s="91">
        <f>'Model (Matrix)'!E7-'Model (SN)'!E7</f>
        <v>0</v>
      </c>
      <c r="F10" s="91">
        <f>'Model (Matrix)'!F7-'Model (SN)'!F7</f>
        <v>0</v>
      </c>
      <c r="G10" s="91">
        <f>'Model (Matrix)'!G7-'Model (SN)'!G7</f>
        <v>0</v>
      </c>
      <c r="H10" s="91">
        <f>'Model (Matrix)'!H7-'Model (SN)'!H7</f>
        <v>0</v>
      </c>
      <c r="I10" s="91">
        <f>'Model (Matrix)'!I7-'Model (SN)'!I7</f>
        <v>0</v>
      </c>
      <c r="J10" s="91">
        <f>'Model (Matrix)'!J7-'Model (SN)'!J7</f>
        <v>0</v>
      </c>
      <c r="K10" s="91">
        <f>'Model (Matrix)'!K7-'Model (SN)'!K7</f>
        <v>0</v>
      </c>
      <c r="L10" s="91">
        <f>'Model (Matrix)'!L7-'Model (SN)'!L7</f>
        <v>0</v>
      </c>
      <c r="M10" s="91">
        <f>'Model (Matrix)'!M7-'Model (SN)'!M7</f>
        <v>0</v>
      </c>
      <c r="N10" s="91">
        <f>'Model (Matrix)'!N7-'Model (SN)'!N7</f>
        <v>0</v>
      </c>
      <c r="O10" s="91">
        <f>'Model (Matrix)'!O7-'Model (SN)'!O7</f>
        <v>0</v>
      </c>
      <c r="P10" s="91">
        <f>'Model (Matrix)'!P7-'Model (SN)'!P7</f>
        <v>0</v>
      </c>
      <c r="Q10" s="91">
        <f>'Model (Matrix)'!Q7-'Model (SN)'!Q7</f>
        <v>0</v>
      </c>
      <c r="R10" s="91">
        <f>'Model (Matrix)'!R7-'Model (SN)'!R7</f>
        <v>0</v>
      </c>
      <c r="S10" s="91">
        <f>'Model (Matrix)'!S7-'Model (SN)'!S7</f>
        <v>0</v>
      </c>
      <c r="T10" s="91">
        <f>'Model (Matrix)'!T7-'Model (SN)'!T7</f>
        <v>0</v>
      </c>
      <c r="U10" s="91">
        <f>'Model (Matrix)'!U7-'Model (SN)'!U7</f>
        <v>0</v>
      </c>
      <c r="V10" s="91">
        <f>'Model (Matrix)'!V7-'Model (SN)'!V7</f>
        <v>0</v>
      </c>
    </row>
    <row r="11" spans="1:22" x14ac:dyDescent="0.25">
      <c r="A11" s="82"/>
      <c r="B11" s="63" t="s">
        <v>129</v>
      </c>
      <c r="C11" s="141"/>
      <c r="D11" s="91">
        <f>'Model (Matrix)'!D8-'Model (SN)'!D8</f>
        <v>0</v>
      </c>
      <c r="E11" s="91">
        <f>'Model (Matrix)'!E8-'Model (SN)'!E8</f>
        <v>0</v>
      </c>
      <c r="F11" s="91">
        <f>'Model (Matrix)'!F8-'Model (SN)'!F8</f>
        <v>0</v>
      </c>
      <c r="G11" s="91">
        <f>'Model (Matrix)'!G8-'Model (SN)'!G8</f>
        <v>0</v>
      </c>
      <c r="H11" s="91">
        <f>'Model (Matrix)'!H8-'Model (SN)'!H8</f>
        <v>0</v>
      </c>
      <c r="I11" s="91">
        <f>'Model (Matrix)'!I8-'Model (SN)'!I8</f>
        <v>0</v>
      </c>
      <c r="J11" s="91">
        <f>'Model (Matrix)'!J8-'Model (SN)'!J8</f>
        <v>0</v>
      </c>
      <c r="K11" s="91">
        <f>'Model (Matrix)'!K8-'Model (SN)'!K8</f>
        <v>0</v>
      </c>
      <c r="L11" s="91">
        <f>'Model (Matrix)'!L8-'Model (SN)'!L8</f>
        <v>0</v>
      </c>
      <c r="M11" s="91">
        <f>'Model (Matrix)'!M8-'Model (SN)'!M8</f>
        <v>0</v>
      </c>
      <c r="N11" s="91">
        <f>'Model (Matrix)'!N8-'Model (SN)'!N8</f>
        <v>0</v>
      </c>
      <c r="O11" s="91">
        <f>'Model (Matrix)'!O8-'Model (SN)'!O8</f>
        <v>0</v>
      </c>
      <c r="P11" s="91">
        <f>'Model (Matrix)'!P8-'Model (SN)'!P8</f>
        <v>0</v>
      </c>
      <c r="Q11" s="91">
        <f>'Model (Matrix)'!Q8-'Model (SN)'!Q8</f>
        <v>0</v>
      </c>
      <c r="R11" s="91">
        <f>'Model (Matrix)'!R8-'Model (SN)'!R8</f>
        <v>0</v>
      </c>
      <c r="S11" s="91">
        <f>'Model (Matrix)'!S8-'Model (SN)'!S8</f>
        <v>0</v>
      </c>
      <c r="T11" s="91">
        <f>'Model (Matrix)'!T8-'Model (SN)'!T8</f>
        <v>0</v>
      </c>
      <c r="U11" s="91">
        <f>'Model (Matrix)'!U8-'Model (SN)'!U8</f>
        <v>0</v>
      </c>
      <c r="V11" s="91">
        <f>'Model (Matrix)'!V8-'Model (SN)'!V8</f>
        <v>0</v>
      </c>
    </row>
    <row r="12" spans="1:22" x14ac:dyDescent="0.25">
      <c r="A12" s="82"/>
      <c r="B12" s="63" t="s">
        <v>130</v>
      </c>
      <c r="C12" s="141"/>
      <c r="D12" s="91">
        <f>'Model (Matrix)'!D9-'Model (SN)'!D9</f>
        <v>0</v>
      </c>
      <c r="E12" s="91">
        <f>'Model (Matrix)'!E9-'Model (SN)'!E9</f>
        <v>0</v>
      </c>
      <c r="F12" s="91">
        <f>'Model (Matrix)'!F9-'Model (SN)'!F9</f>
        <v>0</v>
      </c>
      <c r="G12" s="91">
        <f>'Model (Matrix)'!G9-'Model (SN)'!G9</f>
        <v>0</v>
      </c>
      <c r="H12" s="91">
        <f>'Model (Matrix)'!H9-'Model (SN)'!H9</f>
        <v>0</v>
      </c>
      <c r="I12" s="91">
        <f>'Model (Matrix)'!I9-'Model (SN)'!I9</f>
        <v>0</v>
      </c>
      <c r="J12" s="91">
        <f>'Model (Matrix)'!J9-'Model (SN)'!J9</f>
        <v>0</v>
      </c>
      <c r="K12" s="91">
        <f>'Model (Matrix)'!K9-'Model (SN)'!K9</f>
        <v>0</v>
      </c>
      <c r="L12" s="91">
        <f>'Model (Matrix)'!L9-'Model (SN)'!L9</f>
        <v>0</v>
      </c>
      <c r="M12" s="91">
        <f>'Model (Matrix)'!M9-'Model (SN)'!M9</f>
        <v>0</v>
      </c>
      <c r="N12" s="91">
        <f>'Model (Matrix)'!N9-'Model (SN)'!N9</f>
        <v>0</v>
      </c>
      <c r="O12" s="91">
        <f>'Model (Matrix)'!O9-'Model (SN)'!O9</f>
        <v>0</v>
      </c>
      <c r="P12" s="91">
        <f>'Model (Matrix)'!P9-'Model (SN)'!P9</f>
        <v>0</v>
      </c>
      <c r="Q12" s="91">
        <f>'Model (Matrix)'!Q9-'Model (SN)'!Q9</f>
        <v>0</v>
      </c>
      <c r="R12" s="91">
        <f>'Model (Matrix)'!R9-'Model (SN)'!R9</f>
        <v>0</v>
      </c>
      <c r="S12" s="91">
        <f>'Model (Matrix)'!S9-'Model (SN)'!S9</f>
        <v>0</v>
      </c>
      <c r="T12" s="91">
        <f>'Model (Matrix)'!T9-'Model (SN)'!T9</f>
        <v>0</v>
      </c>
      <c r="U12" s="91">
        <f>'Model (Matrix)'!U9-'Model (SN)'!U9</f>
        <v>0</v>
      </c>
      <c r="V12" s="91">
        <f>'Model (Matrix)'!V9-'Model (SN)'!V9</f>
        <v>0</v>
      </c>
    </row>
    <row r="13" spans="1:22" x14ac:dyDescent="0.25">
      <c r="A13" s="82"/>
      <c r="B13" s="63" t="s">
        <v>131</v>
      </c>
      <c r="C13" s="141"/>
      <c r="D13" s="91">
        <f>'Model (Matrix)'!D10-'Model (SN)'!D10</f>
        <v>0</v>
      </c>
      <c r="E13" s="91">
        <f>'Model (Matrix)'!E10-'Model (SN)'!E10</f>
        <v>0</v>
      </c>
      <c r="F13" s="91">
        <f>'Model (Matrix)'!F10-'Model (SN)'!F10</f>
        <v>0</v>
      </c>
      <c r="G13" s="91">
        <f>'Model (Matrix)'!G10-'Model (SN)'!G10</f>
        <v>0</v>
      </c>
      <c r="H13" s="91">
        <f>'Model (Matrix)'!H10-'Model (SN)'!H10</f>
        <v>0</v>
      </c>
      <c r="I13" s="91">
        <f>'Model (Matrix)'!I10-'Model (SN)'!I10</f>
        <v>0</v>
      </c>
      <c r="J13" s="91">
        <f>'Model (Matrix)'!J10-'Model (SN)'!J10</f>
        <v>0</v>
      </c>
      <c r="K13" s="91">
        <f>'Model (Matrix)'!K10-'Model (SN)'!K10</f>
        <v>0</v>
      </c>
      <c r="L13" s="91">
        <f>'Model (Matrix)'!L10-'Model (SN)'!L10</f>
        <v>0</v>
      </c>
      <c r="M13" s="91">
        <f>'Model (Matrix)'!M10-'Model (SN)'!M10</f>
        <v>0</v>
      </c>
      <c r="N13" s="91">
        <f>'Model (Matrix)'!N10-'Model (SN)'!N10</f>
        <v>0</v>
      </c>
      <c r="O13" s="91">
        <f>'Model (Matrix)'!O10-'Model (SN)'!O10</f>
        <v>0</v>
      </c>
      <c r="P13" s="91">
        <f>'Model (Matrix)'!P10-'Model (SN)'!P10</f>
        <v>0</v>
      </c>
      <c r="Q13" s="91">
        <f>'Model (Matrix)'!Q10-'Model (SN)'!Q10</f>
        <v>0</v>
      </c>
      <c r="R13" s="91">
        <f>'Model (Matrix)'!R10-'Model (SN)'!R10</f>
        <v>0</v>
      </c>
      <c r="S13" s="91">
        <f>'Model (Matrix)'!S10-'Model (SN)'!S10</f>
        <v>0</v>
      </c>
      <c r="T13" s="91">
        <f>'Model (Matrix)'!T10-'Model (SN)'!T10</f>
        <v>0</v>
      </c>
      <c r="U13" s="91">
        <f>'Model (Matrix)'!U10-'Model (SN)'!U10</f>
        <v>0</v>
      </c>
      <c r="V13" s="91">
        <f>'Model (Matrix)'!V10-'Model (SN)'!V10</f>
        <v>0</v>
      </c>
    </row>
    <row r="14" spans="1:22" x14ac:dyDescent="0.25">
      <c r="A14" s="86" t="s">
        <v>314</v>
      </c>
      <c r="B14" s="64"/>
      <c r="C14" s="117"/>
      <c r="D14" s="91"/>
      <c r="E14" s="91"/>
      <c r="F14" s="91"/>
      <c r="G14" s="91"/>
      <c r="H14" s="91"/>
      <c r="I14" s="91"/>
      <c r="J14" s="91"/>
      <c r="K14" s="91"/>
      <c r="L14" s="91"/>
      <c r="M14" s="91"/>
      <c r="N14" s="91"/>
      <c r="O14" s="91"/>
      <c r="P14" s="91"/>
      <c r="Q14" s="91"/>
      <c r="R14" s="91"/>
      <c r="S14" s="91"/>
      <c r="T14" s="91"/>
      <c r="U14" s="91"/>
      <c r="V14" s="91"/>
    </row>
    <row r="15" spans="1:22" x14ac:dyDescent="0.25">
      <c r="A15" s="82"/>
      <c r="B15" s="64" t="s">
        <v>124</v>
      </c>
      <c r="C15" s="90">
        <f>'Model (Matrix)'!C12-'Model (SN)'!C12</f>
        <v>0</v>
      </c>
      <c r="D15" s="91">
        <f>'Model (Matrix)'!D12-'Model (SN)'!D12</f>
        <v>0</v>
      </c>
      <c r="E15" s="91">
        <f>'Model (Matrix)'!E12-'Model (SN)'!E12</f>
        <v>0</v>
      </c>
      <c r="F15" s="91">
        <f>'Model (Matrix)'!F12-'Model (SN)'!F12</f>
        <v>0</v>
      </c>
      <c r="G15" s="91">
        <f>'Model (Matrix)'!G12-'Model (SN)'!G12</f>
        <v>0</v>
      </c>
      <c r="H15" s="91">
        <f>'Model (Matrix)'!H12-'Model (SN)'!H12</f>
        <v>0</v>
      </c>
      <c r="I15" s="91">
        <f>'Model (Matrix)'!I12-'Model (SN)'!I12</f>
        <v>0</v>
      </c>
      <c r="J15" s="91">
        <f>'Model (Matrix)'!J12-'Model (SN)'!J12</f>
        <v>0</v>
      </c>
      <c r="K15" s="91">
        <f>'Model (Matrix)'!K12-'Model (SN)'!K12</f>
        <v>0</v>
      </c>
      <c r="L15" s="91">
        <f>'Model (Matrix)'!L12-'Model (SN)'!L12</f>
        <v>0</v>
      </c>
      <c r="M15" s="91">
        <f>'Model (Matrix)'!M12-'Model (SN)'!M12</f>
        <v>0</v>
      </c>
      <c r="N15" s="91">
        <f>'Model (Matrix)'!N12-'Model (SN)'!N12</f>
        <v>0</v>
      </c>
      <c r="O15" s="91">
        <f>'Model (Matrix)'!O12-'Model (SN)'!O12</f>
        <v>0</v>
      </c>
      <c r="P15" s="91">
        <f>'Model (Matrix)'!P12-'Model (SN)'!P12</f>
        <v>0</v>
      </c>
      <c r="Q15" s="91">
        <f>'Model (Matrix)'!Q12-'Model (SN)'!Q12</f>
        <v>0</v>
      </c>
      <c r="R15" s="91">
        <f>'Model (Matrix)'!R12-'Model (SN)'!R12</f>
        <v>0</v>
      </c>
      <c r="S15" s="91">
        <f>'Model (Matrix)'!S12-'Model (SN)'!S12</f>
        <v>0</v>
      </c>
      <c r="T15" s="91">
        <f>'Model (Matrix)'!T12-'Model (SN)'!T12</f>
        <v>0</v>
      </c>
      <c r="U15" s="91">
        <f>'Model (Matrix)'!U12-'Model (SN)'!U12</f>
        <v>0</v>
      </c>
      <c r="V15" s="91">
        <f>'Model (Matrix)'!V12-'Model (SN)'!V12</f>
        <v>0</v>
      </c>
    </row>
    <row r="16" spans="1:22" x14ac:dyDescent="0.25">
      <c r="A16" s="82"/>
      <c r="B16" s="64" t="s">
        <v>125</v>
      </c>
      <c r="C16" s="90">
        <f>'Model (Matrix)'!C13-'Model (SN)'!C13</f>
        <v>0</v>
      </c>
      <c r="D16" s="91">
        <f>'Model (Matrix)'!D13-'Model (SN)'!D13</f>
        <v>0</v>
      </c>
      <c r="E16" s="91">
        <f>'Model (Matrix)'!E13-'Model (SN)'!E13</f>
        <v>0</v>
      </c>
      <c r="F16" s="91">
        <f>'Model (Matrix)'!F13-'Model (SN)'!F13</f>
        <v>0</v>
      </c>
      <c r="G16" s="91">
        <f>'Model (Matrix)'!G13-'Model (SN)'!G13</f>
        <v>0</v>
      </c>
      <c r="H16" s="91">
        <f>'Model (Matrix)'!H13-'Model (SN)'!H13</f>
        <v>0</v>
      </c>
      <c r="I16" s="91">
        <f>'Model (Matrix)'!I13-'Model (SN)'!I13</f>
        <v>0</v>
      </c>
      <c r="J16" s="91">
        <f>'Model (Matrix)'!J13-'Model (SN)'!J13</f>
        <v>0</v>
      </c>
      <c r="K16" s="91">
        <f>'Model (Matrix)'!K13-'Model (SN)'!K13</f>
        <v>0</v>
      </c>
      <c r="L16" s="91">
        <f>'Model (Matrix)'!L13-'Model (SN)'!L13</f>
        <v>0</v>
      </c>
      <c r="M16" s="91">
        <f>'Model (Matrix)'!M13-'Model (SN)'!M13</f>
        <v>0</v>
      </c>
      <c r="N16" s="91">
        <f>'Model (Matrix)'!N13-'Model (SN)'!N13</f>
        <v>0</v>
      </c>
      <c r="O16" s="91">
        <f>'Model (Matrix)'!O13-'Model (SN)'!O13</f>
        <v>0</v>
      </c>
      <c r="P16" s="91">
        <f>'Model (Matrix)'!P13-'Model (SN)'!P13</f>
        <v>0</v>
      </c>
      <c r="Q16" s="91">
        <f>'Model (Matrix)'!Q13-'Model (SN)'!Q13</f>
        <v>0</v>
      </c>
      <c r="R16" s="91">
        <f>'Model (Matrix)'!R13-'Model (SN)'!R13</f>
        <v>0</v>
      </c>
      <c r="S16" s="91">
        <f>'Model (Matrix)'!S13-'Model (SN)'!S13</f>
        <v>0</v>
      </c>
      <c r="T16" s="91">
        <f>'Model (Matrix)'!T13-'Model (SN)'!T13</f>
        <v>0</v>
      </c>
      <c r="U16" s="91">
        <f>'Model (Matrix)'!U13-'Model (SN)'!U13</f>
        <v>0</v>
      </c>
      <c r="V16" s="91">
        <f>'Model (Matrix)'!V13-'Model (SN)'!V13</f>
        <v>0</v>
      </c>
    </row>
    <row r="17" spans="1:22" x14ac:dyDescent="0.25">
      <c r="A17" s="82"/>
      <c r="B17" s="64" t="s">
        <v>132</v>
      </c>
      <c r="C17" s="90">
        <f>'Model (Matrix)'!C14-'Model (SN)'!C14</f>
        <v>0</v>
      </c>
      <c r="D17" s="91">
        <f>'Model (Matrix)'!D14-'Model (SN)'!D14</f>
        <v>0</v>
      </c>
      <c r="E17" s="91">
        <f>'Model (Matrix)'!E14-'Model (SN)'!E14</f>
        <v>0</v>
      </c>
      <c r="F17" s="91">
        <f>'Model (Matrix)'!F14-'Model (SN)'!F14</f>
        <v>0</v>
      </c>
      <c r="G17" s="91">
        <f>'Model (Matrix)'!G14-'Model (SN)'!G14</f>
        <v>0</v>
      </c>
      <c r="H17" s="91">
        <f>'Model (Matrix)'!H14-'Model (SN)'!H14</f>
        <v>0</v>
      </c>
      <c r="I17" s="91">
        <f>'Model (Matrix)'!I14-'Model (SN)'!I14</f>
        <v>0</v>
      </c>
      <c r="J17" s="91">
        <f>'Model (Matrix)'!J14-'Model (SN)'!J14</f>
        <v>0</v>
      </c>
      <c r="K17" s="91">
        <f>'Model (Matrix)'!K14-'Model (SN)'!K14</f>
        <v>0</v>
      </c>
      <c r="L17" s="91">
        <f>'Model (Matrix)'!L14-'Model (SN)'!L14</f>
        <v>0</v>
      </c>
      <c r="M17" s="91">
        <f>'Model (Matrix)'!M14-'Model (SN)'!M14</f>
        <v>0</v>
      </c>
      <c r="N17" s="91">
        <f>'Model (Matrix)'!N14-'Model (SN)'!N14</f>
        <v>0</v>
      </c>
      <c r="O17" s="91">
        <f>'Model (Matrix)'!O14-'Model (SN)'!O14</f>
        <v>0</v>
      </c>
      <c r="P17" s="91">
        <f>'Model (Matrix)'!P14-'Model (SN)'!P14</f>
        <v>0</v>
      </c>
      <c r="Q17" s="91">
        <f>'Model (Matrix)'!Q14-'Model (SN)'!Q14</f>
        <v>0</v>
      </c>
      <c r="R17" s="91">
        <f>'Model (Matrix)'!R14-'Model (SN)'!R14</f>
        <v>0</v>
      </c>
      <c r="S17" s="91">
        <f>'Model (Matrix)'!S14-'Model (SN)'!S14</f>
        <v>0</v>
      </c>
      <c r="T17" s="91">
        <f>'Model (Matrix)'!T14-'Model (SN)'!T14</f>
        <v>0</v>
      </c>
      <c r="U17" s="91">
        <f>'Model (Matrix)'!U14-'Model (SN)'!U14</f>
        <v>0</v>
      </c>
      <c r="V17" s="91">
        <f>'Model (Matrix)'!V14-'Model (SN)'!V14</f>
        <v>0</v>
      </c>
    </row>
    <row r="18" spans="1:22" x14ac:dyDescent="0.25">
      <c r="A18" s="82"/>
      <c r="B18" s="64" t="s">
        <v>133</v>
      </c>
      <c r="C18" s="95"/>
      <c r="D18" s="91">
        <f>'Model (Matrix)'!D15-'Model (SN)'!D15</f>
        <v>0</v>
      </c>
      <c r="E18" s="91">
        <f>'Model (Matrix)'!E15-'Model (SN)'!E15</f>
        <v>0</v>
      </c>
      <c r="F18" s="91">
        <f>'Model (Matrix)'!F15-'Model (SN)'!F15</f>
        <v>0</v>
      </c>
      <c r="G18" s="91">
        <f>'Model (Matrix)'!G15-'Model (SN)'!G15</f>
        <v>0</v>
      </c>
      <c r="H18" s="91">
        <f>'Model (Matrix)'!H15-'Model (SN)'!H15</f>
        <v>0</v>
      </c>
      <c r="I18" s="91">
        <f>'Model (Matrix)'!I15-'Model (SN)'!I15</f>
        <v>0</v>
      </c>
      <c r="J18" s="91">
        <f>'Model (Matrix)'!J15-'Model (SN)'!J15</f>
        <v>0</v>
      </c>
      <c r="K18" s="91">
        <f>'Model (Matrix)'!K15-'Model (SN)'!K15</f>
        <v>0</v>
      </c>
      <c r="L18" s="91">
        <f>'Model (Matrix)'!L15-'Model (SN)'!L15</f>
        <v>0</v>
      </c>
      <c r="M18" s="91">
        <f>'Model (Matrix)'!M15-'Model (SN)'!M15</f>
        <v>0</v>
      </c>
      <c r="N18" s="91">
        <f>'Model (Matrix)'!N15-'Model (SN)'!N15</f>
        <v>0</v>
      </c>
      <c r="O18" s="91">
        <f>'Model (Matrix)'!O15-'Model (SN)'!O15</f>
        <v>0</v>
      </c>
      <c r="P18" s="91">
        <f>'Model (Matrix)'!P15-'Model (SN)'!P15</f>
        <v>0</v>
      </c>
      <c r="Q18" s="91">
        <f>'Model (Matrix)'!Q15-'Model (SN)'!Q15</f>
        <v>0</v>
      </c>
      <c r="R18" s="91">
        <f>'Model (Matrix)'!R15-'Model (SN)'!R15</f>
        <v>0</v>
      </c>
      <c r="S18" s="91">
        <f>'Model (Matrix)'!S15-'Model (SN)'!S15</f>
        <v>0</v>
      </c>
      <c r="T18" s="91">
        <f>'Model (Matrix)'!T15-'Model (SN)'!T15</f>
        <v>0</v>
      </c>
      <c r="U18" s="91">
        <f>'Model (Matrix)'!U15-'Model (SN)'!U15</f>
        <v>0</v>
      </c>
      <c r="V18" s="91">
        <f>'Model (Matrix)'!V15-'Model (SN)'!V15</f>
        <v>0</v>
      </c>
    </row>
    <row r="19" spans="1:22" x14ac:dyDescent="0.25">
      <c r="A19" s="82"/>
      <c r="B19" s="64" t="s">
        <v>126</v>
      </c>
      <c r="C19" s="90"/>
      <c r="D19" s="91"/>
      <c r="E19" s="91"/>
      <c r="F19" s="91"/>
      <c r="G19" s="91"/>
      <c r="H19" s="91"/>
      <c r="I19" s="91"/>
      <c r="J19" s="91"/>
      <c r="K19" s="91"/>
      <c r="L19" s="91"/>
      <c r="M19" s="91"/>
      <c r="N19" s="91"/>
      <c r="O19" s="91"/>
      <c r="P19" s="91"/>
      <c r="Q19" s="91"/>
      <c r="R19" s="91"/>
      <c r="S19" s="91"/>
      <c r="T19" s="91"/>
      <c r="U19" s="91"/>
      <c r="V19" s="91"/>
    </row>
    <row r="20" spans="1:22" x14ac:dyDescent="0.25">
      <c r="A20" s="82"/>
      <c r="B20" s="63" t="s">
        <v>134</v>
      </c>
      <c r="C20" s="90">
        <f>'Model (Matrix)'!C17-'Model (SN)'!C17</f>
        <v>0</v>
      </c>
      <c r="D20" s="91">
        <f>'Model (Matrix)'!D17-'Model (SN)'!D17</f>
        <v>0</v>
      </c>
      <c r="E20" s="91">
        <f>'Model (Matrix)'!E17-'Model (SN)'!E17</f>
        <v>0</v>
      </c>
      <c r="F20" s="91">
        <f>'Model (Matrix)'!F17-'Model (SN)'!F17</f>
        <v>0</v>
      </c>
      <c r="G20" s="91">
        <f>'Model (Matrix)'!G17-'Model (SN)'!G17</f>
        <v>0</v>
      </c>
      <c r="H20" s="91">
        <f>'Model (Matrix)'!H17-'Model (SN)'!H17</f>
        <v>0</v>
      </c>
      <c r="I20" s="91">
        <f>'Model (Matrix)'!I17-'Model (SN)'!I17</f>
        <v>0</v>
      </c>
      <c r="J20" s="91">
        <f>'Model (Matrix)'!J17-'Model (SN)'!J17</f>
        <v>0</v>
      </c>
      <c r="K20" s="91">
        <f>'Model (Matrix)'!K17-'Model (SN)'!K17</f>
        <v>0</v>
      </c>
      <c r="L20" s="91">
        <f>'Model (Matrix)'!L17-'Model (SN)'!L17</f>
        <v>0</v>
      </c>
      <c r="M20" s="91">
        <f>'Model (Matrix)'!M17-'Model (SN)'!M17</f>
        <v>0</v>
      </c>
      <c r="N20" s="91">
        <f>'Model (Matrix)'!N17-'Model (SN)'!N17</f>
        <v>0</v>
      </c>
      <c r="O20" s="91">
        <f>'Model (Matrix)'!O17-'Model (SN)'!O17</f>
        <v>0</v>
      </c>
      <c r="P20" s="91">
        <f>'Model (Matrix)'!P17-'Model (SN)'!P17</f>
        <v>0</v>
      </c>
      <c r="Q20" s="91">
        <f>'Model (Matrix)'!Q17-'Model (SN)'!Q17</f>
        <v>0</v>
      </c>
      <c r="R20" s="91">
        <f>'Model (Matrix)'!R17-'Model (SN)'!R17</f>
        <v>0</v>
      </c>
      <c r="S20" s="91">
        <f>'Model (Matrix)'!S17-'Model (SN)'!S17</f>
        <v>0</v>
      </c>
      <c r="T20" s="91">
        <f>'Model (Matrix)'!T17-'Model (SN)'!T17</f>
        <v>0</v>
      </c>
      <c r="U20" s="91">
        <f>'Model (Matrix)'!U17-'Model (SN)'!U17</f>
        <v>0</v>
      </c>
      <c r="V20" s="91">
        <f>'Model (Matrix)'!V17-'Model (SN)'!V17</f>
        <v>0</v>
      </c>
    </row>
    <row r="21" spans="1:22" x14ac:dyDescent="0.25">
      <c r="A21" s="82"/>
      <c r="B21" s="63" t="s">
        <v>615</v>
      </c>
      <c r="C21" s="95"/>
      <c r="D21" s="91">
        <f>'Model (Matrix)'!D18-'Model (SN)'!D18</f>
        <v>0</v>
      </c>
      <c r="E21" s="91">
        <f>'Model (Matrix)'!E18-'Model (SN)'!E18</f>
        <v>0</v>
      </c>
      <c r="F21" s="91">
        <f>'Model (Matrix)'!F18-'Model (SN)'!F18</f>
        <v>0</v>
      </c>
      <c r="G21" s="91">
        <f>'Model (Matrix)'!G18-'Model (SN)'!G18</f>
        <v>0</v>
      </c>
      <c r="H21" s="91">
        <f>'Model (Matrix)'!H18-'Model (SN)'!H18</f>
        <v>0</v>
      </c>
      <c r="I21" s="91">
        <f>'Model (Matrix)'!I18-'Model (SN)'!I18</f>
        <v>0</v>
      </c>
      <c r="J21" s="91">
        <f>'Model (Matrix)'!J18-'Model (SN)'!J18</f>
        <v>0</v>
      </c>
      <c r="K21" s="91">
        <f>'Model (Matrix)'!K18-'Model (SN)'!K18</f>
        <v>0</v>
      </c>
      <c r="L21" s="91">
        <f>'Model (Matrix)'!L18-'Model (SN)'!L18</f>
        <v>0</v>
      </c>
      <c r="M21" s="91">
        <f>'Model (Matrix)'!M18-'Model (SN)'!M18</f>
        <v>0</v>
      </c>
      <c r="N21" s="91">
        <f>'Model (Matrix)'!N18-'Model (SN)'!N18</f>
        <v>0</v>
      </c>
      <c r="O21" s="91">
        <f>'Model (Matrix)'!O18-'Model (SN)'!O18</f>
        <v>0</v>
      </c>
      <c r="P21" s="91">
        <f>'Model (Matrix)'!P18-'Model (SN)'!P18</f>
        <v>0</v>
      </c>
      <c r="Q21" s="91">
        <f>'Model (Matrix)'!Q18-'Model (SN)'!Q18</f>
        <v>0</v>
      </c>
      <c r="R21" s="91">
        <f>'Model (Matrix)'!R18-'Model (SN)'!R18</f>
        <v>0</v>
      </c>
      <c r="S21" s="91">
        <f>'Model (Matrix)'!S18-'Model (SN)'!S18</f>
        <v>0</v>
      </c>
      <c r="T21" s="91">
        <f>'Model (Matrix)'!T18-'Model (SN)'!T18</f>
        <v>0</v>
      </c>
      <c r="U21" s="91">
        <f>'Model (Matrix)'!U18-'Model (SN)'!U18</f>
        <v>0</v>
      </c>
      <c r="V21" s="91">
        <f>'Model (Matrix)'!V18-'Model (SN)'!V18</f>
        <v>0</v>
      </c>
    </row>
    <row r="22" spans="1:22" x14ac:dyDescent="0.25">
      <c r="A22" s="82"/>
      <c r="B22" s="63" t="s">
        <v>135</v>
      </c>
      <c r="C22" s="95"/>
      <c r="D22" s="91">
        <f>'Model (Matrix)'!D19-'Model (SN)'!D19</f>
        <v>0</v>
      </c>
      <c r="E22" s="91">
        <f>'Model (Matrix)'!E19-'Model (SN)'!E19</f>
        <v>0</v>
      </c>
      <c r="F22" s="91">
        <f>'Model (Matrix)'!F19-'Model (SN)'!F19</f>
        <v>0</v>
      </c>
      <c r="G22" s="91">
        <f>'Model (Matrix)'!G19-'Model (SN)'!G19</f>
        <v>0</v>
      </c>
      <c r="H22" s="91">
        <f>'Model (Matrix)'!H19-'Model (SN)'!H19</f>
        <v>0</v>
      </c>
      <c r="I22" s="91">
        <f>'Model (Matrix)'!I19-'Model (SN)'!I19</f>
        <v>0</v>
      </c>
      <c r="J22" s="91">
        <f>'Model (Matrix)'!J19-'Model (SN)'!J19</f>
        <v>0</v>
      </c>
      <c r="K22" s="91">
        <f>'Model (Matrix)'!K19-'Model (SN)'!K19</f>
        <v>0</v>
      </c>
      <c r="L22" s="91">
        <f>'Model (Matrix)'!L19-'Model (SN)'!L19</f>
        <v>0</v>
      </c>
      <c r="M22" s="91">
        <f>'Model (Matrix)'!M19-'Model (SN)'!M19</f>
        <v>0</v>
      </c>
      <c r="N22" s="91">
        <f>'Model (Matrix)'!N19-'Model (SN)'!N19</f>
        <v>0</v>
      </c>
      <c r="O22" s="91">
        <f>'Model (Matrix)'!O19-'Model (SN)'!O19</f>
        <v>0</v>
      </c>
      <c r="P22" s="91">
        <f>'Model (Matrix)'!P19-'Model (SN)'!P19</f>
        <v>0</v>
      </c>
      <c r="Q22" s="91">
        <f>'Model (Matrix)'!Q19-'Model (SN)'!Q19</f>
        <v>0</v>
      </c>
      <c r="R22" s="91">
        <f>'Model (Matrix)'!R19-'Model (SN)'!R19</f>
        <v>0</v>
      </c>
      <c r="S22" s="91">
        <f>'Model (Matrix)'!S19-'Model (SN)'!S19</f>
        <v>0</v>
      </c>
      <c r="T22" s="91">
        <f>'Model (Matrix)'!T19-'Model (SN)'!T19</f>
        <v>0</v>
      </c>
      <c r="U22" s="91">
        <f>'Model (Matrix)'!U19-'Model (SN)'!U19</f>
        <v>0</v>
      </c>
      <c r="V22" s="91">
        <f>'Model (Matrix)'!V19-'Model (SN)'!V19</f>
        <v>0</v>
      </c>
    </row>
    <row r="23" spans="1:22" x14ac:dyDescent="0.25">
      <c r="A23" s="82"/>
      <c r="B23" s="63" t="s">
        <v>136</v>
      </c>
      <c r="C23" s="95"/>
      <c r="D23" s="91">
        <f>'Model (Matrix)'!D20-'Model (SN)'!D20</f>
        <v>0</v>
      </c>
      <c r="E23" s="91">
        <f>'Model (Matrix)'!E20-'Model (SN)'!E20</f>
        <v>0</v>
      </c>
      <c r="F23" s="91">
        <f>'Model (Matrix)'!F20-'Model (SN)'!F20</f>
        <v>0</v>
      </c>
      <c r="G23" s="91">
        <f>'Model (Matrix)'!G20-'Model (SN)'!G20</f>
        <v>0</v>
      </c>
      <c r="H23" s="91">
        <f>'Model (Matrix)'!H20-'Model (SN)'!H20</f>
        <v>0</v>
      </c>
      <c r="I23" s="91">
        <f>'Model (Matrix)'!I20-'Model (SN)'!I20</f>
        <v>0</v>
      </c>
      <c r="J23" s="91">
        <f>'Model (Matrix)'!J20-'Model (SN)'!J20</f>
        <v>0</v>
      </c>
      <c r="K23" s="91">
        <f>'Model (Matrix)'!K20-'Model (SN)'!K20</f>
        <v>0</v>
      </c>
      <c r="L23" s="91">
        <f>'Model (Matrix)'!L20-'Model (SN)'!L20</f>
        <v>0</v>
      </c>
      <c r="M23" s="91">
        <f>'Model (Matrix)'!M20-'Model (SN)'!M20</f>
        <v>0</v>
      </c>
      <c r="N23" s="91">
        <f>'Model (Matrix)'!N20-'Model (SN)'!N20</f>
        <v>0</v>
      </c>
      <c r="O23" s="91">
        <f>'Model (Matrix)'!O20-'Model (SN)'!O20</f>
        <v>0</v>
      </c>
      <c r="P23" s="91">
        <f>'Model (Matrix)'!P20-'Model (SN)'!P20</f>
        <v>0</v>
      </c>
      <c r="Q23" s="91">
        <f>'Model (Matrix)'!Q20-'Model (SN)'!Q20</f>
        <v>0</v>
      </c>
      <c r="R23" s="91">
        <f>'Model (Matrix)'!R20-'Model (SN)'!R20</f>
        <v>0</v>
      </c>
      <c r="S23" s="91">
        <f>'Model (Matrix)'!S20-'Model (SN)'!S20</f>
        <v>0</v>
      </c>
      <c r="T23" s="91">
        <f>'Model (Matrix)'!T20-'Model (SN)'!T20</f>
        <v>0</v>
      </c>
      <c r="U23" s="91">
        <f>'Model (Matrix)'!U20-'Model (SN)'!U20</f>
        <v>0</v>
      </c>
      <c r="V23" s="91">
        <f>'Model (Matrix)'!V20-'Model (SN)'!V20</f>
        <v>0</v>
      </c>
    </row>
    <row r="24" spans="1:22" x14ac:dyDescent="0.25">
      <c r="A24" s="82"/>
      <c r="B24" s="63" t="s">
        <v>137</v>
      </c>
      <c r="C24" s="94">
        <f>'Model (Matrix)'!C21-'Model (SN)'!C21</f>
        <v>0</v>
      </c>
      <c r="D24" s="91">
        <f>'Model (Matrix)'!D21-'Model (SN)'!D21</f>
        <v>0</v>
      </c>
      <c r="E24" s="91">
        <f>'Model (Matrix)'!E21-'Model (SN)'!E21</f>
        <v>0</v>
      </c>
      <c r="F24" s="91">
        <f>'Model (Matrix)'!F21-'Model (SN)'!F21</f>
        <v>0</v>
      </c>
      <c r="G24" s="91">
        <f>'Model (Matrix)'!G21-'Model (SN)'!G21</f>
        <v>0</v>
      </c>
      <c r="H24" s="91">
        <f>'Model (Matrix)'!H21-'Model (SN)'!H21</f>
        <v>0</v>
      </c>
      <c r="I24" s="91">
        <f>'Model (Matrix)'!I21-'Model (SN)'!I21</f>
        <v>0</v>
      </c>
      <c r="J24" s="91">
        <f>'Model (Matrix)'!J21-'Model (SN)'!J21</f>
        <v>0</v>
      </c>
      <c r="K24" s="91">
        <f>'Model (Matrix)'!K21-'Model (SN)'!K21</f>
        <v>0</v>
      </c>
      <c r="L24" s="91">
        <f>'Model (Matrix)'!L21-'Model (SN)'!L21</f>
        <v>0</v>
      </c>
      <c r="M24" s="91">
        <f>'Model (Matrix)'!M21-'Model (SN)'!M21</f>
        <v>0</v>
      </c>
      <c r="N24" s="91">
        <f>'Model (Matrix)'!N21-'Model (SN)'!N21</f>
        <v>0</v>
      </c>
      <c r="O24" s="91">
        <f>'Model (Matrix)'!O21-'Model (SN)'!O21</f>
        <v>0</v>
      </c>
      <c r="P24" s="91">
        <f>'Model (Matrix)'!P21-'Model (SN)'!P21</f>
        <v>0</v>
      </c>
      <c r="Q24" s="91">
        <f>'Model (Matrix)'!Q21-'Model (SN)'!Q21</f>
        <v>0</v>
      </c>
      <c r="R24" s="91">
        <f>'Model (Matrix)'!R21-'Model (SN)'!R21</f>
        <v>0</v>
      </c>
      <c r="S24" s="91">
        <f>'Model (Matrix)'!S21-'Model (SN)'!S21</f>
        <v>0</v>
      </c>
      <c r="T24" s="91">
        <f>'Model (Matrix)'!T21-'Model (SN)'!T21</f>
        <v>0</v>
      </c>
      <c r="U24" s="91">
        <f>'Model (Matrix)'!U21-'Model (SN)'!U21</f>
        <v>0</v>
      </c>
      <c r="V24" s="91">
        <f>'Model (Matrix)'!V21-'Model (SN)'!V21</f>
        <v>0</v>
      </c>
    </row>
    <row r="25" spans="1:22" x14ac:dyDescent="0.25">
      <c r="A25" s="82"/>
      <c r="B25" s="63" t="s">
        <v>138</v>
      </c>
      <c r="C25" s="94">
        <f>'Model (Matrix)'!C22-'Model (SN)'!C22</f>
        <v>0</v>
      </c>
      <c r="D25" s="91">
        <f>'Model (Matrix)'!D22-'Model (SN)'!D22</f>
        <v>0</v>
      </c>
      <c r="E25" s="91">
        <f>'Model (Matrix)'!E22-'Model (SN)'!E22</f>
        <v>0</v>
      </c>
      <c r="F25" s="91">
        <f>'Model (Matrix)'!F22-'Model (SN)'!F22</f>
        <v>0</v>
      </c>
      <c r="G25" s="91">
        <f>'Model (Matrix)'!G22-'Model (SN)'!G22</f>
        <v>0</v>
      </c>
      <c r="H25" s="91">
        <f>'Model (Matrix)'!H22-'Model (SN)'!H22</f>
        <v>0</v>
      </c>
      <c r="I25" s="91">
        <f>'Model (Matrix)'!I22-'Model (SN)'!I22</f>
        <v>0</v>
      </c>
      <c r="J25" s="91">
        <f>'Model (Matrix)'!J22-'Model (SN)'!J22</f>
        <v>0</v>
      </c>
      <c r="K25" s="91">
        <f>'Model (Matrix)'!K22-'Model (SN)'!K22</f>
        <v>0</v>
      </c>
      <c r="L25" s="91">
        <f>'Model (Matrix)'!L22-'Model (SN)'!L22</f>
        <v>0</v>
      </c>
      <c r="M25" s="91">
        <f>'Model (Matrix)'!M22-'Model (SN)'!M22</f>
        <v>0</v>
      </c>
      <c r="N25" s="91">
        <f>'Model (Matrix)'!N22-'Model (SN)'!N22</f>
        <v>0</v>
      </c>
      <c r="O25" s="91">
        <f>'Model (Matrix)'!O22-'Model (SN)'!O22</f>
        <v>0</v>
      </c>
      <c r="P25" s="91">
        <f>'Model (Matrix)'!P22-'Model (SN)'!P22</f>
        <v>0</v>
      </c>
      <c r="Q25" s="91">
        <f>'Model (Matrix)'!Q22-'Model (SN)'!Q22</f>
        <v>0</v>
      </c>
      <c r="R25" s="91">
        <f>'Model (Matrix)'!R22-'Model (SN)'!R22</f>
        <v>0</v>
      </c>
      <c r="S25" s="91">
        <f>'Model (Matrix)'!S22-'Model (SN)'!S22</f>
        <v>0</v>
      </c>
      <c r="T25" s="91">
        <f>'Model (Matrix)'!T22-'Model (SN)'!T22</f>
        <v>0</v>
      </c>
      <c r="U25" s="91">
        <f>'Model (Matrix)'!U22-'Model (SN)'!U22</f>
        <v>0</v>
      </c>
      <c r="V25" s="91">
        <f>'Model (Matrix)'!V22-'Model (SN)'!V22</f>
        <v>0</v>
      </c>
    </row>
    <row r="26" spans="1:22" x14ac:dyDescent="0.25">
      <c r="A26" s="82"/>
      <c r="B26" s="63" t="s">
        <v>139</v>
      </c>
      <c r="C26" s="94">
        <f>'Model (Matrix)'!C23-'Model (SN)'!C23</f>
        <v>0</v>
      </c>
      <c r="D26" s="91">
        <f>'Model (Matrix)'!D23-'Model (SN)'!D23</f>
        <v>0</v>
      </c>
      <c r="E26" s="91">
        <f>'Model (Matrix)'!E23-'Model (SN)'!E23</f>
        <v>0</v>
      </c>
      <c r="F26" s="91">
        <f>'Model (Matrix)'!F23-'Model (SN)'!F23</f>
        <v>0</v>
      </c>
      <c r="G26" s="91">
        <f>'Model (Matrix)'!G23-'Model (SN)'!G23</f>
        <v>0</v>
      </c>
      <c r="H26" s="91">
        <f>'Model (Matrix)'!H23-'Model (SN)'!H23</f>
        <v>0</v>
      </c>
      <c r="I26" s="91">
        <f>'Model (Matrix)'!I23-'Model (SN)'!I23</f>
        <v>0</v>
      </c>
      <c r="J26" s="91">
        <f>'Model (Matrix)'!J23-'Model (SN)'!J23</f>
        <v>0</v>
      </c>
      <c r="K26" s="91">
        <f>'Model (Matrix)'!K23-'Model (SN)'!K23</f>
        <v>0</v>
      </c>
      <c r="L26" s="91">
        <f>'Model (Matrix)'!L23-'Model (SN)'!L23</f>
        <v>0</v>
      </c>
      <c r="M26" s="91">
        <f>'Model (Matrix)'!M23-'Model (SN)'!M23</f>
        <v>0</v>
      </c>
      <c r="N26" s="91">
        <f>'Model (Matrix)'!N23-'Model (SN)'!N23</f>
        <v>0</v>
      </c>
      <c r="O26" s="91">
        <f>'Model (Matrix)'!O23-'Model (SN)'!O23</f>
        <v>0</v>
      </c>
      <c r="P26" s="91">
        <f>'Model (Matrix)'!P23-'Model (SN)'!P23</f>
        <v>0</v>
      </c>
      <c r="Q26" s="91">
        <f>'Model (Matrix)'!Q23-'Model (SN)'!Q23</f>
        <v>0</v>
      </c>
      <c r="R26" s="91">
        <f>'Model (Matrix)'!R23-'Model (SN)'!R23</f>
        <v>0</v>
      </c>
      <c r="S26" s="91">
        <f>'Model (Matrix)'!S23-'Model (SN)'!S23</f>
        <v>0</v>
      </c>
      <c r="T26" s="91">
        <f>'Model (Matrix)'!T23-'Model (SN)'!T23</f>
        <v>0</v>
      </c>
      <c r="U26" s="91">
        <f>'Model (Matrix)'!U23-'Model (SN)'!U23</f>
        <v>0</v>
      </c>
      <c r="V26" s="91">
        <f>'Model (Matrix)'!V23-'Model (SN)'!V23</f>
        <v>0</v>
      </c>
    </row>
    <row r="27" spans="1:22" x14ac:dyDescent="0.25">
      <c r="A27" s="82"/>
      <c r="B27" s="63" t="s">
        <v>127</v>
      </c>
      <c r="C27" s="90"/>
      <c r="D27" s="91"/>
      <c r="E27" s="91"/>
      <c r="F27" s="91"/>
      <c r="G27" s="91"/>
      <c r="H27" s="91"/>
      <c r="I27" s="91"/>
      <c r="J27" s="91"/>
      <c r="K27" s="91"/>
      <c r="L27" s="91"/>
      <c r="M27" s="91"/>
      <c r="N27" s="91"/>
      <c r="O27" s="91"/>
      <c r="P27" s="91"/>
      <c r="Q27" s="91"/>
      <c r="R27" s="91"/>
      <c r="S27" s="91"/>
      <c r="T27" s="91"/>
      <c r="U27" s="91"/>
      <c r="V27" s="91"/>
    </row>
    <row r="28" spans="1:22" x14ac:dyDescent="0.25">
      <c r="A28" s="82"/>
      <c r="B28" s="63" t="s">
        <v>128</v>
      </c>
      <c r="C28" s="95"/>
      <c r="D28" s="91">
        <f>'Model (Matrix)'!D25-'Model (SN)'!D25</f>
        <v>0</v>
      </c>
      <c r="E28" s="91">
        <f>'Model (Matrix)'!E25-'Model (SN)'!E25</f>
        <v>0</v>
      </c>
      <c r="F28" s="91">
        <f>'Model (Matrix)'!F25-'Model (SN)'!F25</f>
        <v>0</v>
      </c>
      <c r="G28" s="91">
        <f>'Model (Matrix)'!G25-'Model (SN)'!G25</f>
        <v>0</v>
      </c>
      <c r="H28" s="91">
        <f>'Model (Matrix)'!H25-'Model (SN)'!H25</f>
        <v>0</v>
      </c>
      <c r="I28" s="91">
        <f>'Model (Matrix)'!I25-'Model (SN)'!I25</f>
        <v>0</v>
      </c>
      <c r="J28" s="91">
        <f>'Model (Matrix)'!J25-'Model (SN)'!J25</f>
        <v>0</v>
      </c>
      <c r="K28" s="91">
        <f>'Model (Matrix)'!K25-'Model (SN)'!K25</f>
        <v>0</v>
      </c>
      <c r="L28" s="91">
        <f>'Model (Matrix)'!L25-'Model (SN)'!L25</f>
        <v>0</v>
      </c>
      <c r="M28" s="91">
        <f>'Model (Matrix)'!M25-'Model (SN)'!M25</f>
        <v>0</v>
      </c>
      <c r="N28" s="91">
        <f>'Model (Matrix)'!N25-'Model (SN)'!N25</f>
        <v>0</v>
      </c>
      <c r="O28" s="91">
        <f>'Model (Matrix)'!O25-'Model (SN)'!O25</f>
        <v>0</v>
      </c>
      <c r="P28" s="91">
        <f>'Model (Matrix)'!P25-'Model (SN)'!P25</f>
        <v>0</v>
      </c>
      <c r="Q28" s="91">
        <f>'Model (Matrix)'!Q25-'Model (SN)'!Q25</f>
        <v>0</v>
      </c>
      <c r="R28" s="91">
        <f>'Model (Matrix)'!R25-'Model (SN)'!R25</f>
        <v>0</v>
      </c>
      <c r="S28" s="91">
        <f>'Model (Matrix)'!S25-'Model (SN)'!S25</f>
        <v>0</v>
      </c>
      <c r="T28" s="91">
        <f>'Model (Matrix)'!T25-'Model (SN)'!T25</f>
        <v>0</v>
      </c>
      <c r="U28" s="91">
        <f>'Model (Matrix)'!U25-'Model (SN)'!U25</f>
        <v>0</v>
      </c>
      <c r="V28" s="91">
        <f>'Model (Matrix)'!V25-'Model (SN)'!V25</f>
        <v>0</v>
      </c>
    </row>
    <row r="29" spans="1:22" x14ac:dyDescent="0.25">
      <c r="A29" s="82"/>
      <c r="B29" s="63" t="s">
        <v>140</v>
      </c>
      <c r="C29" s="95"/>
      <c r="D29" s="91">
        <f>'Model (Matrix)'!D26-'Model (SN)'!D26</f>
        <v>0</v>
      </c>
      <c r="E29" s="91">
        <f>'Model (Matrix)'!E26-'Model (SN)'!E26</f>
        <v>0</v>
      </c>
      <c r="F29" s="91">
        <f>'Model (Matrix)'!F26-'Model (SN)'!F26</f>
        <v>0</v>
      </c>
      <c r="G29" s="91">
        <f>'Model (Matrix)'!G26-'Model (SN)'!G26</f>
        <v>0</v>
      </c>
      <c r="H29" s="91">
        <f>'Model (Matrix)'!H26-'Model (SN)'!H26</f>
        <v>0</v>
      </c>
      <c r="I29" s="91">
        <f>'Model (Matrix)'!I26-'Model (SN)'!I26</f>
        <v>0</v>
      </c>
      <c r="J29" s="91">
        <f>'Model (Matrix)'!J26-'Model (SN)'!J26</f>
        <v>0</v>
      </c>
      <c r="K29" s="91">
        <f>'Model (Matrix)'!K26-'Model (SN)'!K26</f>
        <v>0</v>
      </c>
      <c r="L29" s="91">
        <f>'Model (Matrix)'!L26-'Model (SN)'!L26</f>
        <v>0</v>
      </c>
      <c r="M29" s="91">
        <f>'Model (Matrix)'!M26-'Model (SN)'!M26</f>
        <v>0</v>
      </c>
      <c r="N29" s="91">
        <f>'Model (Matrix)'!N26-'Model (SN)'!N26</f>
        <v>0</v>
      </c>
      <c r="O29" s="91">
        <f>'Model (Matrix)'!O26-'Model (SN)'!O26</f>
        <v>0</v>
      </c>
      <c r="P29" s="91">
        <f>'Model (Matrix)'!P26-'Model (SN)'!P26</f>
        <v>0</v>
      </c>
      <c r="Q29" s="91">
        <f>'Model (Matrix)'!Q26-'Model (SN)'!Q26</f>
        <v>0</v>
      </c>
      <c r="R29" s="91">
        <f>'Model (Matrix)'!R26-'Model (SN)'!R26</f>
        <v>0</v>
      </c>
      <c r="S29" s="91">
        <f>'Model (Matrix)'!S26-'Model (SN)'!S26</f>
        <v>0</v>
      </c>
      <c r="T29" s="91">
        <f>'Model (Matrix)'!T26-'Model (SN)'!T26</f>
        <v>0</v>
      </c>
      <c r="U29" s="91">
        <f>'Model (Matrix)'!U26-'Model (SN)'!U26</f>
        <v>0</v>
      </c>
      <c r="V29" s="91">
        <f>'Model (Matrix)'!V26-'Model (SN)'!V26</f>
        <v>0</v>
      </c>
    </row>
    <row r="30" spans="1:22" x14ac:dyDescent="0.25">
      <c r="A30" s="82"/>
      <c r="B30" s="63" t="s">
        <v>141</v>
      </c>
      <c r="C30" s="95"/>
      <c r="D30" s="91">
        <f>'Model (Matrix)'!D27-'Model (SN)'!D27</f>
        <v>0</v>
      </c>
      <c r="E30" s="91">
        <f>'Model (Matrix)'!E27-'Model (SN)'!E27</f>
        <v>0</v>
      </c>
      <c r="F30" s="91">
        <f>'Model (Matrix)'!F27-'Model (SN)'!F27</f>
        <v>0</v>
      </c>
      <c r="G30" s="91">
        <f>'Model (Matrix)'!G27-'Model (SN)'!G27</f>
        <v>0</v>
      </c>
      <c r="H30" s="91">
        <f>'Model (Matrix)'!H27-'Model (SN)'!H27</f>
        <v>0</v>
      </c>
      <c r="I30" s="91">
        <f>'Model (Matrix)'!I27-'Model (SN)'!I27</f>
        <v>0</v>
      </c>
      <c r="J30" s="91">
        <f>'Model (Matrix)'!J27-'Model (SN)'!J27</f>
        <v>0</v>
      </c>
      <c r="K30" s="91">
        <f>'Model (Matrix)'!K27-'Model (SN)'!K27</f>
        <v>0</v>
      </c>
      <c r="L30" s="91">
        <f>'Model (Matrix)'!L27-'Model (SN)'!L27</f>
        <v>0</v>
      </c>
      <c r="M30" s="91">
        <f>'Model (Matrix)'!M27-'Model (SN)'!M27</f>
        <v>0</v>
      </c>
      <c r="N30" s="91">
        <f>'Model (Matrix)'!N27-'Model (SN)'!N27</f>
        <v>0</v>
      </c>
      <c r="O30" s="91">
        <f>'Model (Matrix)'!O27-'Model (SN)'!O27</f>
        <v>0</v>
      </c>
      <c r="P30" s="91">
        <f>'Model (Matrix)'!P27-'Model (SN)'!P27</f>
        <v>0</v>
      </c>
      <c r="Q30" s="91">
        <f>'Model (Matrix)'!Q27-'Model (SN)'!Q27</f>
        <v>0</v>
      </c>
      <c r="R30" s="91">
        <f>'Model (Matrix)'!R27-'Model (SN)'!R27</f>
        <v>0</v>
      </c>
      <c r="S30" s="91">
        <f>'Model (Matrix)'!S27-'Model (SN)'!S27</f>
        <v>0</v>
      </c>
      <c r="T30" s="91">
        <f>'Model (Matrix)'!T27-'Model (SN)'!T27</f>
        <v>0</v>
      </c>
      <c r="U30" s="91">
        <f>'Model (Matrix)'!U27-'Model (SN)'!U27</f>
        <v>0</v>
      </c>
      <c r="V30" s="91">
        <f>'Model (Matrix)'!V27-'Model (SN)'!V27</f>
        <v>0</v>
      </c>
    </row>
    <row r="31" spans="1:22" x14ac:dyDescent="0.25">
      <c r="A31" s="82"/>
      <c r="B31" s="63" t="s">
        <v>142</v>
      </c>
      <c r="C31" s="95"/>
      <c r="D31" s="91">
        <f>'Model (Matrix)'!D28-'Model (SN)'!D28</f>
        <v>0</v>
      </c>
      <c r="E31" s="91">
        <f>'Model (Matrix)'!E28-'Model (SN)'!E28</f>
        <v>0</v>
      </c>
      <c r="F31" s="91">
        <f>'Model (Matrix)'!F28-'Model (SN)'!F28</f>
        <v>0</v>
      </c>
      <c r="G31" s="91">
        <f>'Model (Matrix)'!G28-'Model (SN)'!G28</f>
        <v>0</v>
      </c>
      <c r="H31" s="91">
        <f>'Model (Matrix)'!H28-'Model (SN)'!H28</f>
        <v>0</v>
      </c>
      <c r="I31" s="91">
        <f>'Model (Matrix)'!I28-'Model (SN)'!I28</f>
        <v>0</v>
      </c>
      <c r="J31" s="91">
        <f>'Model (Matrix)'!J28-'Model (SN)'!J28</f>
        <v>0</v>
      </c>
      <c r="K31" s="91">
        <f>'Model (Matrix)'!K28-'Model (SN)'!K28</f>
        <v>0</v>
      </c>
      <c r="L31" s="91">
        <f>'Model (Matrix)'!L28-'Model (SN)'!L28</f>
        <v>0</v>
      </c>
      <c r="M31" s="91">
        <f>'Model (Matrix)'!M28-'Model (SN)'!M28</f>
        <v>0</v>
      </c>
      <c r="N31" s="91">
        <f>'Model (Matrix)'!N28-'Model (SN)'!N28</f>
        <v>0</v>
      </c>
      <c r="O31" s="91">
        <f>'Model (Matrix)'!O28-'Model (SN)'!O28</f>
        <v>0</v>
      </c>
      <c r="P31" s="91">
        <f>'Model (Matrix)'!P28-'Model (SN)'!P28</f>
        <v>0</v>
      </c>
      <c r="Q31" s="91">
        <f>'Model (Matrix)'!Q28-'Model (SN)'!Q28</f>
        <v>0</v>
      </c>
      <c r="R31" s="91">
        <f>'Model (Matrix)'!R28-'Model (SN)'!R28</f>
        <v>0</v>
      </c>
      <c r="S31" s="91">
        <f>'Model (Matrix)'!S28-'Model (SN)'!S28</f>
        <v>0</v>
      </c>
      <c r="T31" s="91">
        <f>'Model (Matrix)'!T28-'Model (SN)'!T28</f>
        <v>0</v>
      </c>
      <c r="U31" s="91">
        <f>'Model (Matrix)'!U28-'Model (SN)'!U28</f>
        <v>0</v>
      </c>
      <c r="V31" s="91">
        <f>'Model (Matrix)'!V28-'Model (SN)'!V28</f>
        <v>0</v>
      </c>
    </row>
    <row r="32" spans="1:22" x14ac:dyDescent="0.25">
      <c r="A32" s="82"/>
      <c r="B32" s="64" t="s">
        <v>130</v>
      </c>
      <c r="C32" s="95"/>
      <c r="D32" s="91">
        <f>'Model (Matrix)'!D29-'Model (SN)'!D29</f>
        <v>0</v>
      </c>
      <c r="E32" s="91">
        <f>'Model (Matrix)'!E29-'Model (SN)'!E29</f>
        <v>0</v>
      </c>
      <c r="F32" s="91">
        <f>'Model (Matrix)'!F29-'Model (SN)'!F29</f>
        <v>0</v>
      </c>
      <c r="G32" s="91">
        <f>'Model (Matrix)'!G29-'Model (SN)'!G29</f>
        <v>0</v>
      </c>
      <c r="H32" s="91">
        <f>'Model (Matrix)'!H29-'Model (SN)'!H29</f>
        <v>0</v>
      </c>
      <c r="I32" s="91">
        <f>'Model (Matrix)'!I29-'Model (SN)'!I29</f>
        <v>0</v>
      </c>
      <c r="J32" s="91">
        <f>'Model (Matrix)'!J29-'Model (SN)'!J29</f>
        <v>0</v>
      </c>
      <c r="K32" s="91">
        <f>'Model (Matrix)'!K29-'Model (SN)'!K29</f>
        <v>0</v>
      </c>
      <c r="L32" s="91">
        <f>'Model (Matrix)'!L29-'Model (SN)'!L29</f>
        <v>0</v>
      </c>
      <c r="M32" s="91">
        <f>'Model (Matrix)'!M29-'Model (SN)'!M29</f>
        <v>0</v>
      </c>
      <c r="N32" s="91">
        <f>'Model (Matrix)'!N29-'Model (SN)'!N29</f>
        <v>0</v>
      </c>
      <c r="O32" s="91">
        <f>'Model (Matrix)'!O29-'Model (SN)'!O29</f>
        <v>0</v>
      </c>
      <c r="P32" s="91">
        <f>'Model (Matrix)'!P29-'Model (SN)'!P29</f>
        <v>0</v>
      </c>
      <c r="Q32" s="91">
        <f>'Model (Matrix)'!Q29-'Model (SN)'!Q29</f>
        <v>0</v>
      </c>
      <c r="R32" s="91">
        <f>'Model (Matrix)'!R29-'Model (SN)'!R29</f>
        <v>0</v>
      </c>
      <c r="S32" s="91">
        <f>'Model (Matrix)'!S29-'Model (SN)'!S29</f>
        <v>0</v>
      </c>
      <c r="T32" s="91">
        <f>'Model (Matrix)'!T29-'Model (SN)'!T29</f>
        <v>0</v>
      </c>
      <c r="U32" s="91">
        <f>'Model (Matrix)'!U29-'Model (SN)'!U29</f>
        <v>0</v>
      </c>
      <c r="V32" s="91">
        <f>'Model (Matrix)'!V29-'Model (SN)'!V29</f>
        <v>0</v>
      </c>
    </row>
    <row r="33" spans="1:22" x14ac:dyDescent="0.25">
      <c r="A33" s="82"/>
      <c r="B33" s="63" t="s">
        <v>143</v>
      </c>
      <c r="C33" s="95"/>
      <c r="D33" s="91">
        <f>'Model (Matrix)'!D30-'Model (SN)'!D30</f>
        <v>0</v>
      </c>
      <c r="E33" s="91">
        <f>'Model (Matrix)'!E30-'Model (SN)'!E30</f>
        <v>0</v>
      </c>
      <c r="F33" s="91">
        <f>'Model (Matrix)'!F30-'Model (SN)'!F30</f>
        <v>0</v>
      </c>
      <c r="G33" s="91">
        <f>'Model (Matrix)'!G30-'Model (SN)'!G30</f>
        <v>0</v>
      </c>
      <c r="H33" s="91">
        <f>'Model (Matrix)'!H30-'Model (SN)'!H30</f>
        <v>0</v>
      </c>
      <c r="I33" s="91">
        <f>'Model (Matrix)'!I30-'Model (SN)'!I30</f>
        <v>0</v>
      </c>
      <c r="J33" s="91">
        <f>'Model (Matrix)'!J30-'Model (SN)'!J30</f>
        <v>0</v>
      </c>
      <c r="K33" s="91">
        <f>'Model (Matrix)'!K30-'Model (SN)'!K30</f>
        <v>0</v>
      </c>
      <c r="L33" s="91">
        <f>'Model (Matrix)'!L30-'Model (SN)'!L30</f>
        <v>0</v>
      </c>
      <c r="M33" s="91">
        <f>'Model (Matrix)'!M30-'Model (SN)'!M30</f>
        <v>0</v>
      </c>
      <c r="N33" s="91">
        <f>'Model (Matrix)'!N30-'Model (SN)'!N30</f>
        <v>0</v>
      </c>
      <c r="O33" s="91">
        <f>'Model (Matrix)'!O30-'Model (SN)'!O30</f>
        <v>0</v>
      </c>
      <c r="P33" s="91">
        <f>'Model (Matrix)'!P30-'Model (SN)'!P30</f>
        <v>0</v>
      </c>
      <c r="Q33" s="91">
        <f>'Model (Matrix)'!Q30-'Model (SN)'!Q30</f>
        <v>0</v>
      </c>
      <c r="R33" s="91">
        <f>'Model (Matrix)'!R30-'Model (SN)'!R30</f>
        <v>0</v>
      </c>
      <c r="S33" s="91">
        <f>'Model (Matrix)'!S30-'Model (SN)'!S30</f>
        <v>0</v>
      </c>
      <c r="T33" s="91">
        <f>'Model (Matrix)'!T30-'Model (SN)'!T30</f>
        <v>0</v>
      </c>
      <c r="U33" s="91">
        <f>'Model (Matrix)'!U30-'Model (SN)'!U30</f>
        <v>0</v>
      </c>
      <c r="V33" s="91">
        <f>'Model (Matrix)'!V30-'Model (SN)'!V30</f>
        <v>0</v>
      </c>
    </row>
    <row r="34" spans="1:22" x14ac:dyDescent="0.25">
      <c r="A34" s="82"/>
      <c r="B34" s="63" t="s">
        <v>616</v>
      </c>
      <c r="C34" s="95"/>
      <c r="D34" s="91">
        <f>'Model (Matrix)'!D31-'Model (SN)'!D31</f>
        <v>0</v>
      </c>
      <c r="E34" s="91">
        <f>'Model (Matrix)'!E31-'Model (SN)'!E31</f>
        <v>0</v>
      </c>
      <c r="F34" s="91">
        <f>'Model (Matrix)'!F31-'Model (SN)'!F31</f>
        <v>0</v>
      </c>
      <c r="G34" s="91">
        <f>'Model (Matrix)'!G31-'Model (SN)'!G31</f>
        <v>0</v>
      </c>
      <c r="H34" s="91">
        <f>'Model (Matrix)'!H31-'Model (SN)'!H31</f>
        <v>0</v>
      </c>
      <c r="I34" s="91">
        <f>'Model (Matrix)'!I31-'Model (SN)'!I31</f>
        <v>0</v>
      </c>
      <c r="J34" s="91">
        <f>'Model (Matrix)'!J31-'Model (SN)'!J31</f>
        <v>0</v>
      </c>
      <c r="K34" s="91">
        <f>'Model (Matrix)'!K31-'Model (SN)'!K31</f>
        <v>0</v>
      </c>
      <c r="L34" s="91">
        <f>'Model (Matrix)'!L31-'Model (SN)'!L31</f>
        <v>0</v>
      </c>
      <c r="M34" s="91">
        <f>'Model (Matrix)'!M31-'Model (SN)'!M31</f>
        <v>0</v>
      </c>
      <c r="N34" s="91">
        <f>'Model (Matrix)'!N31-'Model (SN)'!N31</f>
        <v>0</v>
      </c>
      <c r="O34" s="91">
        <f>'Model (Matrix)'!O31-'Model (SN)'!O31</f>
        <v>0</v>
      </c>
      <c r="P34" s="91">
        <f>'Model (Matrix)'!P31-'Model (SN)'!P31</f>
        <v>0</v>
      </c>
      <c r="Q34" s="91">
        <f>'Model (Matrix)'!Q31-'Model (SN)'!Q31</f>
        <v>0</v>
      </c>
      <c r="R34" s="91">
        <f>'Model (Matrix)'!R31-'Model (SN)'!R31</f>
        <v>0</v>
      </c>
      <c r="S34" s="91">
        <f>'Model (Matrix)'!S31-'Model (SN)'!S31</f>
        <v>0</v>
      </c>
      <c r="T34" s="91">
        <f>'Model (Matrix)'!T31-'Model (SN)'!T31</f>
        <v>0</v>
      </c>
      <c r="U34" s="91">
        <f>'Model (Matrix)'!U31-'Model (SN)'!U31</f>
        <v>0</v>
      </c>
      <c r="V34" s="91">
        <f>'Model (Matrix)'!V31-'Model (SN)'!V31</f>
        <v>0</v>
      </c>
    </row>
    <row r="35" spans="1:22" x14ac:dyDescent="0.25">
      <c r="A35" s="82"/>
      <c r="B35" s="63" t="s">
        <v>144</v>
      </c>
      <c r="C35" s="95"/>
      <c r="D35" s="91">
        <f>'Model (Matrix)'!D32-'Model (SN)'!D32</f>
        <v>0</v>
      </c>
      <c r="E35" s="91">
        <f>'Model (Matrix)'!E32-'Model (SN)'!E32</f>
        <v>0</v>
      </c>
      <c r="F35" s="91">
        <f>'Model (Matrix)'!F32-'Model (SN)'!F32</f>
        <v>0</v>
      </c>
      <c r="G35" s="91">
        <f>'Model (Matrix)'!G32-'Model (SN)'!G32</f>
        <v>0</v>
      </c>
      <c r="H35" s="91">
        <f>'Model (Matrix)'!H32-'Model (SN)'!H32</f>
        <v>0</v>
      </c>
      <c r="I35" s="91">
        <f>'Model (Matrix)'!I32-'Model (SN)'!I32</f>
        <v>0</v>
      </c>
      <c r="J35" s="91">
        <f>'Model (Matrix)'!J32-'Model (SN)'!J32</f>
        <v>0</v>
      </c>
      <c r="K35" s="91">
        <f>'Model (Matrix)'!K32-'Model (SN)'!K32</f>
        <v>0</v>
      </c>
      <c r="L35" s="91">
        <f>'Model (Matrix)'!L32-'Model (SN)'!L32</f>
        <v>0</v>
      </c>
      <c r="M35" s="91">
        <f>'Model (Matrix)'!M32-'Model (SN)'!M32</f>
        <v>0</v>
      </c>
      <c r="N35" s="91">
        <f>'Model (Matrix)'!N32-'Model (SN)'!N32</f>
        <v>0</v>
      </c>
      <c r="O35" s="91">
        <f>'Model (Matrix)'!O32-'Model (SN)'!O32</f>
        <v>0</v>
      </c>
      <c r="P35" s="91">
        <f>'Model (Matrix)'!P32-'Model (SN)'!P32</f>
        <v>0</v>
      </c>
      <c r="Q35" s="91">
        <f>'Model (Matrix)'!Q32-'Model (SN)'!Q32</f>
        <v>0</v>
      </c>
      <c r="R35" s="91">
        <f>'Model (Matrix)'!R32-'Model (SN)'!R32</f>
        <v>0</v>
      </c>
      <c r="S35" s="91">
        <f>'Model (Matrix)'!S32-'Model (SN)'!S32</f>
        <v>0</v>
      </c>
      <c r="T35" s="91">
        <f>'Model (Matrix)'!T32-'Model (SN)'!T32</f>
        <v>0</v>
      </c>
      <c r="U35" s="91">
        <f>'Model (Matrix)'!U32-'Model (SN)'!U32</f>
        <v>0</v>
      </c>
      <c r="V35" s="91">
        <f>'Model (Matrix)'!V32-'Model (SN)'!V32</f>
        <v>0</v>
      </c>
    </row>
    <row r="36" spans="1:22" x14ac:dyDescent="0.25">
      <c r="A36" s="82"/>
      <c r="B36" s="63" t="s">
        <v>145</v>
      </c>
      <c r="C36" s="95"/>
      <c r="D36" s="91">
        <f>'Model (Matrix)'!D33-'Model (SN)'!D33</f>
        <v>0</v>
      </c>
      <c r="E36" s="91">
        <f>'Model (Matrix)'!E33-'Model (SN)'!E33</f>
        <v>0</v>
      </c>
      <c r="F36" s="91">
        <f>'Model (Matrix)'!F33-'Model (SN)'!F33</f>
        <v>0</v>
      </c>
      <c r="G36" s="91">
        <f>'Model (Matrix)'!G33-'Model (SN)'!G33</f>
        <v>0</v>
      </c>
      <c r="H36" s="91">
        <f>'Model (Matrix)'!H33-'Model (SN)'!H33</f>
        <v>0</v>
      </c>
      <c r="I36" s="91">
        <f>'Model (Matrix)'!I33-'Model (SN)'!I33</f>
        <v>0</v>
      </c>
      <c r="J36" s="91">
        <f>'Model (Matrix)'!J33-'Model (SN)'!J33</f>
        <v>0</v>
      </c>
      <c r="K36" s="91">
        <f>'Model (Matrix)'!K33-'Model (SN)'!K33</f>
        <v>0</v>
      </c>
      <c r="L36" s="91">
        <f>'Model (Matrix)'!L33-'Model (SN)'!L33</f>
        <v>0</v>
      </c>
      <c r="M36" s="91">
        <f>'Model (Matrix)'!M33-'Model (SN)'!M33</f>
        <v>0</v>
      </c>
      <c r="N36" s="91">
        <f>'Model (Matrix)'!N33-'Model (SN)'!N33</f>
        <v>0</v>
      </c>
      <c r="O36" s="91">
        <f>'Model (Matrix)'!O33-'Model (SN)'!O33</f>
        <v>0</v>
      </c>
      <c r="P36" s="91">
        <f>'Model (Matrix)'!P33-'Model (SN)'!P33</f>
        <v>0</v>
      </c>
      <c r="Q36" s="91">
        <f>'Model (Matrix)'!Q33-'Model (SN)'!Q33</f>
        <v>0</v>
      </c>
      <c r="R36" s="91">
        <f>'Model (Matrix)'!R33-'Model (SN)'!R33</f>
        <v>0</v>
      </c>
      <c r="S36" s="91">
        <f>'Model (Matrix)'!S33-'Model (SN)'!S33</f>
        <v>0</v>
      </c>
      <c r="T36" s="91">
        <f>'Model (Matrix)'!T33-'Model (SN)'!T33</f>
        <v>0</v>
      </c>
      <c r="U36" s="91">
        <f>'Model (Matrix)'!U33-'Model (SN)'!U33</f>
        <v>0</v>
      </c>
      <c r="V36" s="91">
        <f>'Model (Matrix)'!V33-'Model (SN)'!V33</f>
        <v>0</v>
      </c>
    </row>
    <row r="37" spans="1:22" x14ac:dyDescent="0.25">
      <c r="A37" s="82"/>
      <c r="B37" s="63" t="s">
        <v>146</v>
      </c>
      <c r="C37" s="95"/>
      <c r="D37" s="91">
        <f>'Model (Matrix)'!D34-'Model (SN)'!D34</f>
        <v>0</v>
      </c>
      <c r="E37" s="91">
        <f>'Model (Matrix)'!E34-'Model (SN)'!E34</f>
        <v>0</v>
      </c>
      <c r="F37" s="91">
        <f>'Model (Matrix)'!F34-'Model (SN)'!F34</f>
        <v>0</v>
      </c>
      <c r="G37" s="91">
        <f>'Model (Matrix)'!G34-'Model (SN)'!G34</f>
        <v>0</v>
      </c>
      <c r="H37" s="91">
        <f>'Model (Matrix)'!H34-'Model (SN)'!H34</f>
        <v>0</v>
      </c>
      <c r="I37" s="91">
        <f>'Model (Matrix)'!I34-'Model (SN)'!I34</f>
        <v>0</v>
      </c>
      <c r="J37" s="91">
        <f>'Model (Matrix)'!J34-'Model (SN)'!J34</f>
        <v>0</v>
      </c>
      <c r="K37" s="91">
        <f>'Model (Matrix)'!K34-'Model (SN)'!K34</f>
        <v>0</v>
      </c>
      <c r="L37" s="91">
        <f>'Model (Matrix)'!L34-'Model (SN)'!L34</f>
        <v>0</v>
      </c>
      <c r="M37" s="91">
        <f>'Model (Matrix)'!M34-'Model (SN)'!M34</f>
        <v>0</v>
      </c>
      <c r="N37" s="91">
        <f>'Model (Matrix)'!N34-'Model (SN)'!N34</f>
        <v>0</v>
      </c>
      <c r="O37" s="91">
        <f>'Model (Matrix)'!O34-'Model (SN)'!O34</f>
        <v>0</v>
      </c>
      <c r="P37" s="91">
        <f>'Model (Matrix)'!P34-'Model (SN)'!P34</f>
        <v>0</v>
      </c>
      <c r="Q37" s="91">
        <f>'Model (Matrix)'!Q34-'Model (SN)'!Q34</f>
        <v>0</v>
      </c>
      <c r="R37" s="91">
        <f>'Model (Matrix)'!R34-'Model (SN)'!R34</f>
        <v>0</v>
      </c>
      <c r="S37" s="91">
        <f>'Model (Matrix)'!S34-'Model (SN)'!S34</f>
        <v>0</v>
      </c>
      <c r="T37" s="91">
        <f>'Model (Matrix)'!T34-'Model (SN)'!T34</f>
        <v>0</v>
      </c>
      <c r="U37" s="91">
        <f>'Model (Matrix)'!U34-'Model (SN)'!U34</f>
        <v>0</v>
      </c>
      <c r="V37" s="91">
        <f>'Model (Matrix)'!V34-'Model (SN)'!V34</f>
        <v>0</v>
      </c>
    </row>
    <row r="38" spans="1:22" x14ac:dyDescent="0.25">
      <c r="A38" s="82"/>
      <c r="B38" s="98" t="s">
        <v>131</v>
      </c>
      <c r="C38" s="95"/>
      <c r="D38" s="91">
        <f>'Model (Matrix)'!D35-'Model (SN)'!D35</f>
        <v>0</v>
      </c>
      <c r="E38" s="91">
        <f>'Model (Matrix)'!E35-'Model (SN)'!E35</f>
        <v>0</v>
      </c>
      <c r="F38" s="91">
        <f>'Model (Matrix)'!F35-'Model (SN)'!F35</f>
        <v>0</v>
      </c>
      <c r="G38" s="91">
        <f>'Model (Matrix)'!G35-'Model (SN)'!G35</f>
        <v>0</v>
      </c>
      <c r="H38" s="91">
        <f>'Model (Matrix)'!H35-'Model (SN)'!H35</f>
        <v>0</v>
      </c>
      <c r="I38" s="91">
        <f>'Model (Matrix)'!I35-'Model (SN)'!I35</f>
        <v>0</v>
      </c>
      <c r="J38" s="91">
        <f>'Model (Matrix)'!J35-'Model (SN)'!J35</f>
        <v>0</v>
      </c>
      <c r="K38" s="91">
        <f>'Model (Matrix)'!K35-'Model (SN)'!K35</f>
        <v>0</v>
      </c>
      <c r="L38" s="91">
        <f>'Model (Matrix)'!L35-'Model (SN)'!L35</f>
        <v>0</v>
      </c>
      <c r="M38" s="91">
        <f>'Model (Matrix)'!M35-'Model (SN)'!M35</f>
        <v>0</v>
      </c>
      <c r="N38" s="91">
        <f>'Model (Matrix)'!N35-'Model (SN)'!N35</f>
        <v>0</v>
      </c>
      <c r="O38" s="91">
        <f>'Model (Matrix)'!O35-'Model (SN)'!O35</f>
        <v>0</v>
      </c>
      <c r="P38" s="91">
        <f>'Model (Matrix)'!P35-'Model (SN)'!P35</f>
        <v>0</v>
      </c>
      <c r="Q38" s="91">
        <f>'Model (Matrix)'!Q35-'Model (SN)'!Q35</f>
        <v>0</v>
      </c>
      <c r="R38" s="91">
        <f>'Model (Matrix)'!R35-'Model (SN)'!R35</f>
        <v>0</v>
      </c>
      <c r="S38" s="91">
        <f>'Model (Matrix)'!S35-'Model (SN)'!S35</f>
        <v>0</v>
      </c>
      <c r="T38" s="91">
        <f>'Model (Matrix)'!T35-'Model (SN)'!T35</f>
        <v>0</v>
      </c>
      <c r="U38" s="91">
        <f>'Model (Matrix)'!U35-'Model (SN)'!U35</f>
        <v>0</v>
      </c>
      <c r="V38" s="91">
        <f>'Model (Matrix)'!V35-'Model (SN)'!V35</f>
        <v>0</v>
      </c>
    </row>
    <row r="39" spans="1:22" x14ac:dyDescent="0.25">
      <c r="A39" s="86" t="s">
        <v>315</v>
      </c>
      <c r="B39" s="64"/>
      <c r="C39" s="90"/>
      <c r="D39" s="91"/>
      <c r="E39" s="91"/>
      <c r="F39" s="91"/>
      <c r="G39" s="91"/>
      <c r="H39" s="91"/>
      <c r="I39" s="91"/>
      <c r="J39" s="91"/>
      <c r="K39" s="91"/>
      <c r="L39" s="91"/>
      <c r="M39" s="91"/>
      <c r="N39" s="91"/>
      <c r="O39" s="91"/>
      <c r="P39" s="91"/>
      <c r="Q39" s="91"/>
      <c r="R39" s="91"/>
      <c r="S39" s="91"/>
      <c r="T39" s="91"/>
      <c r="U39" s="91"/>
      <c r="V39" s="91"/>
    </row>
    <row r="40" spans="1:22" x14ac:dyDescent="0.25">
      <c r="A40" s="82"/>
      <c r="B40" s="64" t="s">
        <v>124</v>
      </c>
      <c r="C40" s="90">
        <f>'Model (Matrix)'!C37-'Model (SN)'!C37</f>
        <v>0</v>
      </c>
      <c r="D40" s="91">
        <f>'Model (Matrix)'!D37-'Model (SN)'!D37</f>
        <v>0</v>
      </c>
      <c r="E40" s="91">
        <f>'Model (Matrix)'!E37-'Model (SN)'!E37</f>
        <v>0</v>
      </c>
      <c r="F40" s="91">
        <f>'Model (Matrix)'!F37-'Model (SN)'!F37</f>
        <v>0</v>
      </c>
      <c r="G40" s="91">
        <f>'Model (Matrix)'!G37-'Model (SN)'!G37</f>
        <v>0</v>
      </c>
      <c r="H40" s="91">
        <f>'Model (Matrix)'!H37-'Model (SN)'!H37</f>
        <v>0</v>
      </c>
      <c r="I40" s="91">
        <f>'Model (Matrix)'!I37-'Model (SN)'!I37</f>
        <v>0</v>
      </c>
      <c r="J40" s="91">
        <f>'Model (Matrix)'!J37-'Model (SN)'!J37</f>
        <v>0</v>
      </c>
      <c r="K40" s="91">
        <f>'Model (Matrix)'!K37-'Model (SN)'!K37</f>
        <v>0</v>
      </c>
      <c r="L40" s="91">
        <f>'Model (Matrix)'!L37-'Model (SN)'!L37</f>
        <v>0</v>
      </c>
      <c r="M40" s="91">
        <f>'Model (Matrix)'!M37-'Model (SN)'!M37</f>
        <v>0</v>
      </c>
      <c r="N40" s="91">
        <f>'Model (Matrix)'!N37-'Model (SN)'!N37</f>
        <v>0</v>
      </c>
      <c r="O40" s="91">
        <f>'Model (Matrix)'!O37-'Model (SN)'!O37</f>
        <v>0</v>
      </c>
      <c r="P40" s="91">
        <f>'Model (Matrix)'!P37-'Model (SN)'!P37</f>
        <v>0</v>
      </c>
      <c r="Q40" s="91">
        <f>'Model (Matrix)'!Q37-'Model (SN)'!Q37</f>
        <v>0</v>
      </c>
      <c r="R40" s="91">
        <f>'Model (Matrix)'!R37-'Model (SN)'!R37</f>
        <v>0</v>
      </c>
      <c r="S40" s="91">
        <f>'Model (Matrix)'!S37-'Model (SN)'!S37</f>
        <v>0</v>
      </c>
      <c r="T40" s="91">
        <f>'Model (Matrix)'!T37-'Model (SN)'!T37</f>
        <v>0</v>
      </c>
      <c r="U40" s="91">
        <f>'Model (Matrix)'!U37-'Model (SN)'!U37</f>
        <v>0</v>
      </c>
      <c r="V40" s="91">
        <f>'Model (Matrix)'!V37-'Model (SN)'!V37</f>
        <v>0</v>
      </c>
    </row>
    <row r="41" spans="1:22" x14ac:dyDescent="0.25">
      <c r="A41" s="82"/>
      <c r="B41" s="64" t="s">
        <v>125</v>
      </c>
      <c r="C41" s="90">
        <f>'Model (Matrix)'!C38-'Model (SN)'!C38</f>
        <v>0</v>
      </c>
      <c r="D41" s="91">
        <f>'Model (Matrix)'!D38-'Model (SN)'!D38</f>
        <v>0</v>
      </c>
      <c r="E41" s="91">
        <f>'Model (Matrix)'!E38-'Model (SN)'!E38</f>
        <v>0</v>
      </c>
      <c r="F41" s="91">
        <f>'Model (Matrix)'!F38-'Model (SN)'!F38</f>
        <v>0</v>
      </c>
      <c r="G41" s="91">
        <f>'Model (Matrix)'!G38-'Model (SN)'!G38</f>
        <v>0</v>
      </c>
      <c r="H41" s="91">
        <f>'Model (Matrix)'!H38-'Model (SN)'!H38</f>
        <v>0</v>
      </c>
      <c r="I41" s="91">
        <f>'Model (Matrix)'!I38-'Model (SN)'!I38</f>
        <v>0</v>
      </c>
      <c r="J41" s="91">
        <f>'Model (Matrix)'!J38-'Model (SN)'!J38</f>
        <v>0</v>
      </c>
      <c r="K41" s="91">
        <f>'Model (Matrix)'!K38-'Model (SN)'!K38</f>
        <v>0</v>
      </c>
      <c r="L41" s="91">
        <f>'Model (Matrix)'!L38-'Model (SN)'!L38</f>
        <v>0</v>
      </c>
      <c r="M41" s="91">
        <f>'Model (Matrix)'!M38-'Model (SN)'!M38</f>
        <v>0</v>
      </c>
      <c r="N41" s="91">
        <f>'Model (Matrix)'!N38-'Model (SN)'!N38</f>
        <v>0</v>
      </c>
      <c r="O41" s="91">
        <f>'Model (Matrix)'!O38-'Model (SN)'!O38</f>
        <v>0</v>
      </c>
      <c r="P41" s="91">
        <f>'Model (Matrix)'!P38-'Model (SN)'!P38</f>
        <v>0</v>
      </c>
      <c r="Q41" s="91">
        <f>'Model (Matrix)'!Q38-'Model (SN)'!Q38</f>
        <v>0</v>
      </c>
      <c r="R41" s="91">
        <f>'Model (Matrix)'!R38-'Model (SN)'!R38</f>
        <v>0</v>
      </c>
      <c r="S41" s="91">
        <f>'Model (Matrix)'!S38-'Model (SN)'!S38</f>
        <v>0</v>
      </c>
      <c r="T41" s="91">
        <f>'Model (Matrix)'!T38-'Model (SN)'!T38</f>
        <v>0</v>
      </c>
      <c r="U41" s="91">
        <f>'Model (Matrix)'!U38-'Model (SN)'!U38</f>
        <v>0</v>
      </c>
      <c r="V41" s="91">
        <f>'Model (Matrix)'!V38-'Model (SN)'!V38</f>
        <v>0</v>
      </c>
    </row>
    <row r="42" spans="1:22" x14ac:dyDescent="0.25">
      <c r="A42" s="82"/>
      <c r="B42" s="64" t="s">
        <v>147</v>
      </c>
      <c r="C42" s="90">
        <f>'Model (Matrix)'!C39-'Model (SN)'!C39</f>
        <v>0</v>
      </c>
      <c r="D42" s="91">
        <f>'Model (Matrix)'!D39-'Model (SN)'!D39</f>
        <v>0</v>
      </c>
      <c r="E42" s="91">
        <f>'Model (Matrix)'!E39-'Model (SN)'!E39</f>
        <v>0</v>
      </c>
      <c r="F42" s="91">
        <f>'Model (Matrix)'!F39-'Model (SN)'!F39</f>
        <v>0</v>
      </c>
      <c r="G42" s="91">
        <f>'Model (Matrix)'!G39-'Model (SN)'!G39</f>
        <v>0</v>
      </c>
      <c r="H42" s="91">
        <f>'Model (Matrix)'!H39-'Model (SN)'!H39</f>
        <v>0</v>
      </c>
      <c r="I42" s="91">
        <f>'Model (Matrix)'!I39-'Model (SN)'!I39</f>
        <v>0</v>
      </c>
      <c r="J42" s="91">
        <f>'Model (Matrix)'!J39-'Model (SN)'!J39</f>
        <v>0</v>
      </c>
      <c r="K42" s="91">
        <f>'Model (Matrix)'!K39-'Model (SN)'!K39</f>
        <v>0</v>
      </c>
      <c r="L42" s="91">
        <f>'Model (Matrix)'!L39-'Model (SN)'!L39</f>
        <v>64.238711735621564</v>
      </c>
      <c r="M42" s="91">
        <f>'Model (Matrix)'!M39-'Model (SN)'!M39</f>
        <v>58.398796386802132</v>
      </c>
      <c r="N42" s="91">
        <f>'Model (Matrix)'!N39-'Model (SN)'!N39</f>
        <v>56.179709560750325</v>
      </c>
      <c r="O42" s="91">
        <f>'Model (Matrix)'!O39-'Model (SN)'!O39</f>
        <v>55.007337892559462</v>
      </c>
      <c r="P42" s="91">
        <f>'Model (Matrix)'!P39-'Model (SN)'!P39</f>
        <v>54.538765135077483</v>
      </c>
      <c r="Q42" s="91">
        <f>'Model (Matrix)'!Q39-'Model (SN)'!Q39</f>
        <v>54.510698459334435</v>
      </c>
      <c r="R42" s="91">
        <f>'Model (Matrix)'!R39-'Model (SN)'!R39</f>
        <v>54.767818638608787</v>
      </c>
      <c r="S42" s="91">
        <f>'Model (Matrix)'!S39-'Model (SN)'!S39</f>
        <v>55.211629800230639</v>
      </c>
      <c r="T42" s="91">
        <f>'Model (Matrix)'!T39-'Model (SN)'!T39</f>
        <v>55.776016779645943</v>
      </c>
      <c r="U42" s="91">
        <f>'Model (Matrix)'!U39-'Model (SN)'!U39</f>
        <v>56.415265763216212</v>
      </c>
      <c r="V42" s="91">
        <f>'Model (Matrix)'!V39-'Model (SN)'!V39</f>
        <v>57.097536757150465</v>
      </c>
    </row>
    <row r="43" spans="1:22" x14ac:dyDescent="0.25">
      <c r="A43" s="82"/>
      <c r="B43" s="63" t="s">
        <v>148</v>
      </c>
      <c r="C43" s="90">
        <f>'Model (Matrix)'!C40-'Model (SN)'!C40</f>
        <v>0</v>
      </c>
      <c r="D43" s="91">
        <f>'Model (Matrix)'!D40-'Model (SN)'!D40</f>
        <v>0</v>
      </c>
      <c r="E43" s="91">
        <f>'Model (Matrix)'!E40-'Model (SN)'!E40</f>
        <v>0</v>
      </c>
      <c r="F43" s="91">
        <f>'Model (Matrix)'!F40-'Model (SN)'!F40</f>
        <v>0</v>
      </c>
      <c r="G43" s="91">
        <f>'Model (Matrix)'!G40-'Model (SN)'!G40</f>
        <v>0</v>
      </c>
      <c r="H43" s="91">
        <f>'Model (Matrix)'!H40-'Model (SN)'!H40</f>
        <v>0</v>
      </c>
      <c r="I43" s="91">
        <f>'Model (Matrix)'!I40-'Model (SN)'!I40</f>
        <v>0</v>
      </c>
      <c r="J43" s="91">
        <f>'Model (Matrix)'!J40-'Model (SN)'!J40</f>
        <v>0</v>
      </c>
      <c r="K43" s="91">
        <f>'Model (Matrix)'!K40-'Model (SN)'!K40</f>
        <v>0</v>
      </c>
      <c r="L43" s="91">
        <f>'Model (Matrix)'!L40-'Model (SN)'!L40</f>
        <v>0</v>
      </c>
      <c r="M43" s="91">
        <f>'Model (Matrix)'!M40-'Model (SN)'!M40</f>
        <v>52.707206827519258</v>
      </c>
      <c r="N43" s="91">
        <f>'Model (Matrix)'!N40-'Model (SN)'!N40</f>
        <v>97.083703945289017</v>
      </c>
      <c r="O43" s="91">
        <f>'Model (Matrix)'!O40-'Model (SN)'!O40</f>
        <v>136.65972444028012</v>
      </c>
      <c r="P43" s="91">
        <f>'Model (Matrix)'!P40-'Model (SN)'!P40</f>
        <v>172.61642391891655</v>
      </c>
      <c r="Q43" s="91">
        <f>'Model (Matrix)'!Q40-'Model (SN)'!Q40</f>
        <v>205.77428792287537</v>
      </c>
      <c r="R43" s="91">
        <f>'Model (Matrix)'!R40-'Model (SN)'!R40</f>
        <v>236.68267996115901</v>
      </c>
      <c r="S43" s="91">
        <f>'Model (Matrix)'!S40-'Model (SN)'!S40</f>
        <v>265.72663771725274</v>
      </c>
      <c r="T43" s="91">
        <f>'Model (Matrix)'!T40-'Model (SN)'!T40</f>
        <v>293.18452997951317</v>
      </c>
      <c r="U43" s="91">
        <f>'Model (Matrix)'!U40-'Model (SN)'!U40</f>
        <v>319.26178715344213</v>
      </c>
      <c r="V43" s="91">
        <f>'Model (Matrix)'!V40-'Model (SN)'!V40</f>
        <v>344.11253793873038</v>
      </c>
    </row>
    <row r="44" spans="1:22" x14ac:dyDescent="0.25">
      <c r="A44" s="82"/>
      <c r="B44" s="64" t="s">
        <v>133</v>
      </c>
      <c r="C44" s="90">
        <f>'Model (Matrix)'!C41-'Model (SN)'!C41</f>
        <v>0</v>
      </c>
      <c r="D44" s="91">
        <f>'Model (Matrix)'!D41-'Model (SN)'!D41</f>
        <v>0</v>
      </c>
      <c r="E44" s="91">
        <f>'Model (Matrix)'!E41-'Model (SN)'!E41</f>
        <v>0</v>
      </c>
      <c r="F44" s="91">
        <f>'Model (Matrix)'!F41-'Model (SN)'!F41</f>
        <v>0</v>
      </c>
      <c r="G44" s="91">
        <f>'Model (Matrix)'!G41-'Model (SN)'!G41</f>
        <v>0</v>
      </c>
      <c r="H44" s="91">
        <f>'Model (Matrix)'!H41-'Model (SN)'!H41</f>
        <v>0</v>
      </c>
      <c r="I44" s="91">
        <f>'Model (Matrix)'!I41-'Model (SN)'!I41</f>
        <v>0</v>
      </c>
      <c r="J44" s="91">
        <f>'Model (Matrix)'!J41-'Model (SN)'!J41</f>
        <v>0</v>
      </c>
      <c r="K44" s="91">
        <f>'Model (Matrix)'!K41-'Model (SN)'!K41</f>
        <v>0</v>
      </c>
      <c r="L44" s="91">
        <f>'Model (Matrix)'!L41-'Model (SN)'!L41</f>
        <v>0</v>
      </c>
      <c r="M44" s="91">
        <f>'Model (Matrix)'!M41-'Model (SN)'!M41</f>
        <v>0</v>
      </c>
      <c r="N44" s="91">
        <f>'Model (Matrix)'!N41-'Model (SN)'!N41</f>
        <v>2.0856473466783427</v>
      </c>
      <c r="O44" s="91">
        <f>'Model (Matrix)'!O41-'Model (SN)'!O41</f>
        <v>5.4330467210438655</v>
      </c>
      <c r="P44" s="91">
        <f>'Model (Matrix)'!P41-'Model (SN)'!P41</f>
        <v>9.7151557586857962</v>
      </c>
      <c r="Q44" s="91">
        <f>'Model (Matrix)'!Q41-'Model (SN)'!Q41</f>
        <v>14.707372786027008</v>
      </c>
      <c r="R44" s="91">
        <f>'Model (Matrix)'!R41-'Model (SN)'!R41</f>
        <v>20.239721820806153</v>
      </c>
      <c r="S44" s="91">
        <f>'Model (Matrix)'!S41-'Model (SN)'!S41</f>
        <v>26.178718949448921</v>
      </c>
      <c r="T44" s="91">
        <f>'Model (Matrix)'!T41-'Model (SN)'!T41</f>
        <v>32.41790556234173</v>
      </c>
      <c r="U44" s="91">
        <f>'Model (Matrix)'!U41-'Model (SN)'!U41</f>
        <v>38.871536104337792</v>
      </c>
      <c r="V44" s="91">
        <f>'Model (Matrix)'!V41-'Model (SN)'!V41</f>
        <v>45.470004605009308</v>
      </c>
    </row>
    <row r="45" spans="1:22" x14ac:dyDescent="0.25">
      <c r="A45" s="82"/>
      <c r="B45" s="64" t="s">
        <v>126</v>
      </c>
      <c r="C45" s="90"/>
      <c r="D45" s="91"/>
      <c r="E45" s="91"/>
      <c r="F45" s="91"/>
      <c r="G45" s="91"/>
      <c r="H45" s="91"/>
      <c r="I45" s="91"/>
      <c r="J45" s="91"/>
      <c r="K45" s="91"/>
      <c r="L45" s="91"/>
      <c r="M45" s="91"/>
      <c r="N45" s="91"/>
      <c r="O45" s="91"/>
      <c r="P45" s="91"/>
      <c r="Q45" s="91"/>
      <c r="R45" s="91"/>
      <c r="S45" s="91"/>
      <c r="T45" s="91"/>
      <c r="U45" s="91"/>
      <c r="V45" s="91"/>
    </row>
    <row r="46" spans="1:22" x14ac:dyDescent="0.25">
      <c r="A46" s="82"/>
      <c r="B46" s="63" t="s">
        <v>134</v>
      </c>
      <c r="C46" s="90">
        <f>'Model (Matrix)'!C43-'Model (SN)'!C43</f>
        <v>0</v>
      </c>
      <c r="D46" s="91">
        <f>'Model (Matrix)'!D43-'Model (SN)'!D43</f>
        <v>0</v>
      </c>
      <c r="E46" s="91">
        <f>'Model (Matrix)'!E43-'Model (SN)'!E43</f>
        <v>0</v>
      </c>
      <c r="F46" s="91">
        <f>'Model (Matrix)'!F43-'Model (SN)'!F43</f>
        <v>0</v>
      </c>
      <c r="G46" s="91">
        <f>'Model (Matrix)'!G43-'Model (SN)'!G43</f>
        <v>0</v>
      </c>
      <c r="H46" s="91">
        <f>'Model (Matrix)'!H43-'Model (SN)'!H43</f>
        <v>0</v>
      </c>
      <c r="I46" s="91">
        <f>'Model (Matrix)'!I43-'Model (SN)'!I43</f>
        <v>0</v>
      </c>
      <c r="J46" s="91">
        <f>'Model (Matrix)'!J43-'Model (SN)'!J43</f>
        <v>0</v>
      </c>
      <c r="K46" s="91">
        <f>'Model (Matrix)'!K43-'Model (SN)'!K43</f>
        <v>0</v>
      </c>
      <c r="L46" s="91">
        <f>'Model (Matrix)'!L43-'Model (SN)'!L43</f>
        <v>0</v>
      </c>
      <c r="M46" s="91">
        <f>'Model (Matrix)'!M43-'Model (SN)'!M43</f>
        <v>0</v>
      </c>
      <c r="N46" s="91">
        <f>'Model (Matrix)'!N43-'Model (SN)'!N43</f>
        <v>0</v>
      </c>
      <c r="O46" s="91">
        <f>'Model (Matrix)'!O43-'Model (SN)'!O43</f>
        <v>0</v>
      </c>
      <c r="P46" s="91">
        <f>'Model (Matrix)'!P43-'Model (SN)'!P43</f>
        <v>0</v>
      </c>
      <c r="Q46" s="91">
        <f>'Model (Matrix)'!Q43-'Model (SN)'!Q43</f>
        <v>0</v>
      </c>
      <c r="R46" s="91">
        <f>'Model (Matrix)'!R43-'Model (SN)'!R43</f>
        <v>0</v>
      </c>
      <c r="S46" s="91">
        <f>'Model (Matrix)'!S43-'Model (SN)'!S43</f>
        <v>0</v>
      </c>
      <c r="T46" s="91">
        <f>'Model (Matrix)'!T43-'Model (SN)'!T43</f>
        <v>0</v>
      </c>
      <c r="U46" s="91">
        <f>'Model (Matrix)'!U43-'Model (SN)'!U43</f>
        <v>0</v>
      </c>
      <c r="V46" s="91">
        <f>'Model (Matrix)'!V43-'Model (SN)'!V43</f>
        <v>0</v>
      </c>
    </row>
    <row r="47" spans="1:22" x14ac:dyDescent="0.25">
      <c r="A47" s="82"/>
      <c r="B47" s="63" t="s">
        <v>623</v>
      </c>
      <c r="C47" s="95"/>
      <c r="D47" s="91">
        <f>'Model (Matrix)'!D44-'Model (SN)'!D44</f>
        <v>0</v>
      </c>
      <c r="E47" s="91">
        <f>'Model (Matrix)'!E44-'Model (SN)'!E44</f>
        <v>0</v>
      </c>
      <c r="F47" s="91">
        <f>'Model (Matrix)'!F44-'Model (SN)'!F44</f>
        <v>0</v>
      </c>
      <c r="G47" s="91">
        <f>'Model (Matrix)'!G44-'Model (SN)'!G44</f>
        <v>0</v>
      </c>
      <c r="H47" s="91">
        <f>'Model (Matrix)'!H44-'Model (SN)'!H44</f>
        <v>0</v>
      </c>
      <c r="I47" s="91">
        <f>'Model (Matrix)'!I44-'Model (SN)'!I44</f>
        <v>0</v>
      </c>
      <c r="J47" s="91">
        <f>'Model (Matrix)'!J44-'Model (SN)'!J44</f>
        <v>0</v>
      </c>
      <c r="K47" s="91">
        <f>'Model (Matrix)'!K44-'Model (SN)'!K44</f>
        <v>0</v>
      </c>
      <c r="L47" s="91">
        <f>'Model (Matrix)'!L44-'Model (SN)'!L44</f>
        <v>0</v>
      </c>
      <c r="M47" s="91">
        <f>'Model (Matrix)'!M44-'Model (SN)'!M44</f>
        <v>0</v>
      </c>
      <c r="N47" s="91">
        <f>'Model (Matrix)'!N44-'Model (SN)'!N44</f>
        <v>0</v>
      </c>
      <c r="O47" s="91">
        <f>'Model (Matrix)'!O44-'Model (SN)'!O44</f>
        <v>0</v>
      </c>
      <c r="P47" s="91">
        <f>'Model (Matrix)'!P44-'Model (SN)'!P44</f>
        <v>0</v>
      </c>
      <c r="Q47" s="91">
        <f>'Model (Matrix)'!Q44-'Model (SN)'!Q44</f>
        <v>0</v>
      </c>
      <c r="R47" s="91">
        <f>'Model (Matrix)'!R44-'Model (SN)'!R44</f>
        <v>0</v>
      </c>
      <c r="S47" s="91">
        <f>'Model (Matrix)'!S44-'Model (SN)'!S44</f>
        <v>0</v>
      </c>
      <c r="T47" s="91">
        <f>'Model (Matrix)'!T44-'Model (SN)'!T44</f>
        <v>0</v>
      </c>
      <c r="U47" s="91">
        <f>'Model (Matrix)'!U44-'Model (SN)'!U44</f>
        <v>0</v>
      </c>
      <c r="V47" s="91">
        <f>'Model (Matrix)'!V44-'Model (SN)'!V44</f>
        <v>0</v>
      </c>
    </row>
    <row r="48" spans="1:22" x14ac:dyDescent="0.25">
      <c r="A48" s="82"/>
      <c r="B48" s="63" t="s">
        <v>618</v>
      </c>
      <c r="C48" s="95"/>
      <c r="D48" s="91">
        <f>'Model (Matrix)'!D45-'Model (SN)'!D45</f>
        <v>0</v>
      </c>
      <c r="E48" s="91">
        <f>'Model (Matrix)'!E45-'Model (SN)'!E45</f>
        <v>0</v>
      </c>
      <c r="F48" s="91">
        <f>'Model (Matrix)'!F45-'Model (SN)'!F45</f>
        <v>0</v>
      </c>
      <c r="G48" s="91">
        <f>'Model (Matrix)'!G45-'Model (SN)'!G45</f>
        <v>0</v>
      </c>
      <c r="H48" s="91">
        <f>'Model (Matrix)'!H45-'Model (SN)'!H45</f>
        <v>0</v>
      </c>
      <c r="I48" s="91">
        <f>'Model (Matrix)'!I45-'Model (SN)'!I45</f>
        <v>0</v>
      </c>
      <c r="J48" s="91">
        <f>'Model (Matrix)'!J45-'Model (SN)'!J45</f>
        <v>0</v>
      </c>
      <c r="K48" s="91">
        <f>'Model (Matrix)'!K45-'Model (SN)'!K45</f>
        <v>0</v>
      </c>
      <c r="L48" s="91">
        <f>'Model (Matrix)'!L45-'Model (SN)'!L45</f>
        <v>0</v>
      </c>
      <c r="M48" s="91">
        <f>'Model (Matrix)'!M45-'Model (SN)'!M45</f>
        <v>0</v>
      </c>
      <c r="N48" s="91">
        <f>'Model (Matrix)'!N45-'Model (SN)'!N45</f>
        <v>0</v>
      </c>
      <c r="O48" s="91">
        <f>'Model (Matrix)'!O45-'Model (SN)'!O45</f>
        <v>0</v>
      </c>
      <c r="P48" s="91">
        <f>'Model (Matrix)'!P45-'Model (SN)'!P45</f>
        <v>0</v>
      </c>
      <c r="Q48" s="91">
        <f>'Model (Matrix)'!Q45-'Model (SN)'!Q45</f>
        <v>0</v>
      </c>
      <c r="R48" s="91">
        <f>'Model (Matrix)'!R45-'Model (SN)'!R45</f>
        <v>0</v>
      </c>
      <c r="S48" s="91">
        <f>'Model (Matrix)'!S45-'Model (SN)'!S45</f>
        <v>0</v>
      </c>
      <c r="T48" s="91">
        <f>'Model (Matrix)'!T45-'Model (SN)'!T45</f>
        <v>0</v>
      </c>
      <c r="U48" s="91">
        <f>'Model (Matrix)'!U45-'Model (SN)'!U45</f>
        <v>0</v>
      </c>
      <c r="V48" s="91">
        <f>'Model (Matrix)'!V45-'Model (SN)'!V45</f>
        <v>0</v>
      </c>
    </row>
    <row r="49" spans="1:22" x14ac:dyDescent="0.25">
      <c r="A49" s="82"/>
      <c r="B49" s="63" t="s">
        <v>149</v>
      </c>
      <c r="C49" s="95"/>
      <c r="D49" s="91">
        <f>'Model (Matrix)'!D46-'Model (SN)'!D46</f>
        <v>0</v>
      </c>
      <c r="E49" s="91">
        <f>'Model (Matrix)'!E46-'Model (SN)'!E46</f>
        <v>0</v>
      </c>
      <c r="F49" s="91">
        <f>'Model (Matrix)'!F46-'Model (SN)'!F46</f>
        <v>0</v>
      </c>
      <c r="G49" s="91">
        <f>'Model (Matrix)'!G46-'Model (SN)'!G46</f>
        <v>0</v>
      </c>
      <c r="H49" s="91">
        <f>'Model (Matrix)'!H46-'Model (SN)'!H46</f>
        <v>0</v>
      </c>
      <c r="I49" s="91">
        <f>'Model (Matrix)'!I46-'Model (SN)'!I46</f>
        <v>0</v>
      </c>
      <c r="J49" s="91">
        <f>'Model (Matrix)'!J46-'Model (SN)'!J46</f>
        <v>0</v>
      </c>
      <c r="K49" s="91">
        <f>'Model (Matrix)'!K46-'Model (SN)'!K46</f>
        <v>0</v>
      </c>
      <c r="L49" s="91">
        <f>'Model (Matrix)'!L46-'Model (SN)'!L46</f>
        <v>0</v>
      </c>
      <c r="M49" s="91">
        <f>'Model (Matrix)'!M46-'Model (SN)'!M46</f>
        <v>2.0367076793796173</v>
      </c>
      <c r="N49" s="91">
        <f>'Model (Matrix)'!N46-'Model (SN)'!N46</f>
        <v>2.1470476731896611</v>
      </c>
      <c r="O49" s="91">
        <f>'Model (Matrix)'!O46-'Model (SN)'!O46</f>
        <v>2.0926995647184157</v>
      </c>
      <c r="P49" s="91">
        <f>'Model (Matrix)'!P46-'Model (SN)'!P46</f>
        <v>2.0476440587741962</v>
      </c>
      <c r="Q49" s="91">
        <f>'Model (Matrix)'!Q46-'Model (SN)'!Q46</f>
        <v>2.0262509286749122</v>
      </c>
      <c r="R49" s="91">
        <f>'Model (Matrix)'!R46-'Model (SN)'!R46</f>
        <v>2.0222572383986943</v>
      </c>
      <c r="S49" s="91">
        <f>'Model (Matrix)'!S46-'Model (SN)'!S46</f>
        <v>2.0298298854286685</v>
      </c>
      <c r="T49" s="91">
        <f>'Model (Matrix)'!T46-'Model (SN)'!T46</f>
        <v>2.0449997312878736</v>
      </c>
      <c r="U49" s="91">
        <f>'Model (Matrix)'!U46-'Model (SN)'!U46</f>
        <v>2.0650947113012563</v>
      </c>
      <c r="V49" s="91">
        <f>'Model (Matrix)'!V46-'Model (SN)'!V46</f>
        <v>2.0882777780534099</v>
      </c>
    </row>
    <row r="50" spans="1:22" x14ac:dyDescent="0.25">
      <c r="A50" s="82"/>
      <c r="B50" s="63" t="s">
        <v>150</v>
      </c>
      <c r="C50" s="95"/>
      <c r="D50" s="91">
        <f>'Model (Matrix)'!D47-'Model (SN)'!D47</f>
        <v>0</v>
      </c>
      <c r="E50" s="91">
        <f>'Model (Matrix)'!E47-'Model (SN)'!E47</f>
        <v>0</v>
      </c>
      <c r="F50" s="91">
        <f>'Model (Matrix)'!F47-'Model (SN)'!F47</f>
        <v>0</v>
      </c>
      <c r="G50" s="91">
        <f>'Model (Matrix)'!G47-'Model (SN)'!G47</f>
        <v>0</v>
      </c>
      <c r="H50" s="91">
        <f>'Model (Matrix)'!H47-'Model (SN)'!H47</f>
        <v>0</v>
      </c>
      <c r="I50" s="91">
        <f>'Model (Matrix)'!I47-'Model (SN)'!I47</f>
        <v>0</v>
      </c>
      <c r="J50" s="91">
        <f>'Model (Matrix)'!J47-'Model (SN)'!J47</f>
        <v>0</v>
      </c>
      <c r="K50" s="91">
        <f>'Model (Matrix)'!K47-'Model (SN)'!K47</f>
        <v>0</v>
      </c>
      <c r="L50" s="91">
        <f>'Model (Matrix)'!L47-'Model (SN)'!L47</f>
        <v>0</v>
      </c>
      <c r="M50" s="91">
        <f>'Model (Matrix)'!M47-'Model (SN)'!M47</f>
        <v>0</v>
      </c>
      <c r="N50" s="91">
        <f>'Model (Matrix)'!N47-'Model (SN)'!N47</f>
        <v>0.56911419568871224</v>
      </c>
      <c r="O50" s="91">
        <f>'Model (Matrix)'!O47-'Model (SN)'!O47</f>
        <v>1.1308463503101507</v>
      </c>
      <c r="P50" s="91">
        <f>'Model (Matrix)'!P47-'Model (SN)'!P47</f>
        <v>1.6396735927743293</v>
      </c>
      <c r="Q50" s="91">
        <f>'Model (Matrix)'!Q47-'Model (SN)'!Q47</f>
        <v>2.1017449352667086</v>
      </c>
      <c r="R50" s="91">
        <f>'Model (Matrix)'!R47-'Model (SN)'!R47</f>
        <v>2.5268118280239378</v>
      </c>
      <c r="S50" s="91">
        <f>'Model (Matrix)'!S47-'Model (SN)'!S47</f>
        <v>2.9222208999819941</v>
      </c>
      <c r="T50" s="91">
        <f>'Model (Matrix)'!T47-'Model (SN)'!T47</f>
        <v>3.2931955425013371</v>
      </c>
      <c r="U50" s="91">
        <f>'Model (Matrix)'!U47-'Model (SN)'!U47</f>
        <v>3.6434993226143888</v>
      </c>
      <c r="V50" s="91">
        <f>'Model (Matrix)'!V47-'Model (SN)'!V47</f>
        <v>3.9758964449194991</v>
      </c>
    </row>
    <row r="51" spans="1:22" x14ac:dyDescent="0.25">
      <c r="A51" s="82"/>
      <c r="B51" s="63" t="s">
        <v>617</v>
      </c>
      <c r="C51" s="95"/>
      <c r="D51" s="91">
        <f>'Model (Matrix)'!D48-'Model (SN)'!D48</f>
        <v>0</v>
      </c>
      <c r="E51" s="91">
        <f>'Model (Matrix)'!E48-'Model (SN)'!E48</f>
        <v>0</v>
      </c>
      <c r="F51" s="91">
        <f>'Model (Matrix)'!F48-'Model (SN)'!F48</f>
        <v>0</v>
      </c>
      <c r="G51" s="91">
        <f>'Model (Matrix)'!G48-'Model (SN)'!G48</f>
        <v>0</v>
      </c>
      <c r="H51" s="91">
        <f>'Model (Matrix)'!H48-'Model (SN)'!H48</f>
        <v>0</v>
      </c>
      <c r="I51" s="91">
        <f>'Model (Matrix)'!I48-'Model (SN)'!I48</f>
        <v>0</v>
      </c>
      <c r="J51" s="91">
        <f>'Model (Matrix)'!J48-'Model (SN)'!J48</f>
        <v>0</v>
      </c>
      <c r="K51" s="91">
        <f>'Model (Matrix)'!K48-'Model (SN)'!K48</f>
        <v>0</v>
      </c>
      <c r="L51" s="91">
        <f>'Model (Matrix)'!L48-'Model (SN)'!L48</f>
        <v>0</v>
      </c>
      <c r="M51" s="91">
        <f>'Model (Matrix)'!M48-'Model (SN)'!M48</f>
        <v>0</v>
      </c>
      <c r="N51" s="91">
        <f>'Model (Matrix)'!N48-'Model (SN)'!N48</f>
        <v>0</v>
      </c>
      <c r="O51" s="91">
        <f>'Model (Matrix)'!O48-'Model (SN)'!O48</f>
        <v>0</v>
      </c>
      <c r="P51" s="91">
        <f>'Model (Matrix)'!P48-'Model (SN)'!P48</f>
        <v>0</v>
      </c>
      <c r="Q51" s="91">
        <f>'Model (Matrix)'!Q48-'Model (SN)'!Q48</f>
        <v>0</v>
      </c>
      <c r="R51" s="91">
        <f>'Model (Matrix)'!R48-'Model (SN)'!R48</f>
        <v>0</v>
      </c>
      <c r="S51" s="91">
        <f>'Model (Matrix)'!S48-'Model (SN)'!S48</f>
        <v>0</v>
      </c>
      <c r="T51" s="91">
        <f>'Model (Matrix)'!T48-'Model (SN)'!T48</f>
        <v>0</v>
      </c>
      <c r="U51" s="91">
        <f>'Model (Matrix)'!U48-'Model (SN)'!U48</f>
        <v>0</v>
      </c>
      <c r="V51" s="91">
        <f>'Model (Matrix)'!V48-'Model (SN)'!V48</f>
        <v>0</v>
      </c>
    </row>
    <row r="52" spans="1:22" x14ac:dyDescent="0.25">
      <c r="A52" s="82"/>
      <c r="B52" s="63" t="s">
        <v>136</v>
      </c>
      <c r="C52" s="95"/>
      <c r="D52" s="91">
        <f>'Model (Matrix)'!D49-'Model (SN)'!D49</f>
        <v>0</v>
      </c>
      <c r="E52" s="91">
        <f>'Model (Matrix)'!E49-'Model (SN)'!E49</f>
        <v>0</v>
      </c>
      <c r="F52" s="91">
        <f>'Model (Matrix)'!F49-'Model (SN)'!F49</f>
        <v>0</v>
      </c>
      <c r="G52" s="91">
        <f>'Model (Matrix)'!G49-'Model (SN)'!G49</f>
        <v>0</v>
      </c>
      <c r="H52" s="91">
        <f>'Model (Matrix)'!H49-'Model (SN)'!H49</f>
        <v>0</v>
      </c>
      <c r="I52" s="91">
        <f>'Model (Matrix)'!I49-'Model (SN)'!I49</f>
        <v>0</v>
      </c>
      <c r="J52" s="91">
        <f>'Model (Matrix)'!J49-'Model (SN)'!J49</f>
        <v>0</v>
      </c>
      <c r="K52" s="91">
        <f>'Model (Matrix)'!K49-'Model (SN)'!K49</f>
        <v>0</v>
      </c>
      <c r="L52" s="91">
        <f>'Model (Matrix)'!L49-'Model (SN)'!L49</f>
        <v>0</v>
      </c>
      <c r="M52" s="91">
        <f>'Model (Matrix)'!M49-'Model (SN)'!M49</f>
        <v>0</v>
      </c>
      <c r="N52" s="91">
        <f>'Model (Matrix)'!N49-'Model (SN)'!N49</f>
        <v>0</v>
      </c>
      <c r="O52" s="91">
        <f>'Model (Matrix)'!O49-'Model (SN)'!O49</f>
        <v>5.7242821941855482E-2</v>
      </c>
      <c r="P52" s="91">
        <f>'Model (Matrix)'!P49-'Model (SN)'!P49</f>
        <v>0.15742086747602002</v>
      </c>
      <c r="Q52" s="91">
        <f>'Model (Matrix)'!Q49-'Model (SN)'!Q49</f>
        <v>0.28948228750243743</v>
      </c>
      <c r="R52" s="91">
        <f>'Model (Matrix)'!R49-'Model (SN)'!R49</f>
        <v>0.44565918846896579</v>
      </c>
      <c r="S52" s="91">
        <f>'Model (Matrix)'!S49-'Model (SN)'!S49</f>
        <v>0.62015939089107519</v>
      </c>
      <c r="T52" s="91">
        <f>'Model (Matrix)'!T49-'Model (SN)'!T49</f>
        <v>0.80847892612936789</v>
      </c>
      <c r="U52" s="91">
        <f>'Model (Matrix)'!U49-'Model (SN)'!U49</f>
        <v>1.0070424643209037</v>
      </c>
      <c r="V52" s="91">
        <f>'Model (Matrix)'!V49-'Model (SN)'!V49</f>
        <v>1.2129778993348168</v>
      </c>
    </row>
    <row r="53" spans="1:22" x14ac:dyDescent="0.25">
      <c r="A53" s="82"/>
      <c r="B53" s="63" t="s">
        <v>619</v>
      </c>
      <c r="C53" s="95"/>
      <c r="D53" s="91">
        <f>'Model (Matrix)'!D50-'Model (SN)'!D50</f>
        <v>0</v>
      </c>
      <c r="E53" s="91">
        <f>'Model (Matrix)'!E50-'Model (SN)'!E50</f>
        <v>0</v>
      </c>
      <c r="F53" s="91">
        <f>'Model (Matrix)'!F50-'Model (SN)'!F50</f>
        <v>0</v>
      </c>
      <c r="G53" s="91">
        <f>'Model (Matrix)'!G50-'Model (SN)'!G50</f>
        <v>0</v>
      </c>
      <c r="H53" s="91">
        <f>'Model (Matrix)'!H50-'Model (SN)'!H50</f>
        <v>0</v>
      </c>
      <c r="I53" s="91">
        <f>'Model (Matrix)'!I50-'Model (SN)'!I50</f>
        <v>0</v>
      </c>
      <c r="J53" s="91">
        <f>'Model (Matrix)'!J50-'Model (SN)'!J50</f>
        <v>0</v>
      </c>
      <c r="K53" s="91">
        <f>'Model (Matrix)'!K50-'Model (SN)'!K50</f>
        <v>0</v>
      </c>
      <c r="L53" s="91">
        <f>'Model (Matrix)'!L50-'Model (SN)'!L50</f>
        <v>0</v>
      </c>
      <c r="M53" s="91">
        <f>'Model (Matrix)'!M50-'Model (SN)'!M50</f>
        <v>0</v>
      </c>
      <c r="N53" s="91">
        <f>'Model (Matrix)'!N50-'Model (SN)'!N50</f>
        <v>0</v>
      </c>
      <c r="O53" s="91">
        <f>'Model (Matrix)'!O50-'Model (SN)'!O50</f>
        <v>0</v>
      </c>
      <c r="P53" s="91">
        <f>'Model (Matrix)'!P50-'Model (SN)'!P50</f>
        <v>0</v>
      </c>
      <c r="Q53" s="91">
        <f>'Model (Matrix)'!Q50-'Model (SN)'!Q50</f>
        <v>0</v>
      </c>
      <c r="R53" s="91">
        <f>'Model (Matrix)'!R50-'Model (SN)'!R50</f>
        <v>0</v>
      </c>
      <c r="S53" s="91">
        <f>'Model (Matrix)'!S50-'Model (SN)'!S50</f>
        <v>0</v>
      </c>
      <c r="T53" s="91">
        <f>'Model (Matrix)'!T50-'Model (SN)'!T50</f>
        <v>0</v>
      </c>
      <c r="U53" s="91">
        <f>'Model (Matrix)'!U50-'Model (SN)'!U50</f>
        <v>0</v>
      </c>
      <c r="V53" s="91">
        <f>'Model (Matrix)'!V50-'Model (SN)'!V50</f>
        <v>0</v>
      </c>
    </row>
    <row r="54" spans="1:22" x14ac:dyDescent="0.25">
      <c r="A54" s="82"/>
      <c r="B54" s="63" t="s">
        <v>137</v>
      </c>
      <c r="C54" s="91">
        <f>'Model (Matrix)'!C51-'Model (SN)'!C51</f>
        <v>0</v>
      </c>
      <c r="D54" s="91">
        <f>'Model (Matrix)'!D51-'Model (SN)'!D51</f>
        <v>0</v>
      </c>
      <c r="E54" s="91">
        <f>'Model (Matrix)'!E51-'Model (SN)'!E51</f>
        <v>0</v>
      </c>
      <c r="F54" s="91">
        <f>'Model (Matrix)'!F51-'Model (SN)'!F51</f>
        <v>0</v>
      </c>
      <c r="G54" s="91">
        <f>'Model (Matrix)'!G51-'Model (SN)'!G51</f>
        <v>0</v>
      </c>
      <c r="H54" s="91">
        <f>'Model (Matrix)'!H51-'Model (SN)'!H51</f>
        <v>0</v>
      </c>
      <c r="I54" s="91">
        <f>'Model (Matrix)'!I51-'Model (SN)'!I51</f>
        <v>0</v>
      </c>
      <c r="J54" s="91">
        <f>'Model (Matrix)'!J51-'Model (SN)'!J51</f>
        <v>0</v>
      </c>
      <c r="K54" s="91">
        <f>'Model (Matrix)'!K51-'Model (SN)'!K51</f>
        <v>0</v>
      </c>
      <c r="L54" s="91">
        <f>'Model (Matrix)'!L51-'Model (SN)'!L51</f>
        <v>0</v>
      </c>
      <c r="M54" s="91">
        <f>'Model (Matrix)'!M51-'Model (SN)'!M51</f>
        <v>0</v>
      </c>
      <c r="N54" s="91">
        <f>'Model (Matrix)'!N51-'Model (SN)'!N51</f>
        <v>0</v>
      </c>
      <c r="O54" s="91">
        <f>'Model (Matrix)'!O51-'Model (SN)'!O51</f>
        <v>0</v>
      </c>
      <c r="P54" s="91">
        <f>'Model (Matrix)'!P51-'Model (SN)'!P51</f>
        <v>0</v>
      </c>
      <c r="Q54" s="91">
        <f>'Model (Matrix)'!Q51-'Model (SN)'!Q51</f>
        <v>0</v>
      </c>
      <c r="R54" s="91">
        <f>'Model (Matrix)'!R51-'Model (SN)'!R51</f>
        <v>0</v>
      </c>
      <c r="S54" s="91">
        <f>'Model (Matrix)'!S51-'Model (SN)'!S51</f>
        <v>0</v>
      </c>
      <c r="T54" s="91">
        <f>'Model (Matrix)'!T51-'Model (SN)'!T51</f>
        <v>0</v>
      </c>
      <c r="U54" s="91">
        <f>'Model (Matrix)'!U51-'Model (SN)'!U51</f>
        <v>0</v>
      </c>
      <c r="V54" s="91">
        <f>'Model (Matrix)'!V51-'Model (SN)'!V51</f>
        <v>0</v>
      </c>
    </row>
    <row r="55" spans="1:22" x14ac:dyDescent="0.25">
      <c r="A55" s="82"/>
      <c r="B55" s="63" t="s">
        <v>138</v>
      </c>
      <c r="C55" s="91">
        <f>'Model (Matrix)'!C52-'Model (SN)'!C52</f>
        <v>0</v>
      </c>
      <c r="D55" s="91">
        <f>'Model (Matrix)'!D52-'Model (SN)'!D52</f>
        <v>0</v>
      </c>
      <c r="E55" s="91">
        <f>'Model (Matrix)'!E52-'Model (SN)'!E52</f>
        <v>0</v>
      </c>
      <c r="F55" s="91">
        <f>'Model (Matrix)'!F52-'Model (SN)'!F52</f>
        <v>0</v>
      </c>
      <c r="G55" s="91">
        <f>'Model (Matrix)'!G52-'Model (SN)'!G52</f>
        <v>0</v>
      </c>
      <c r="H55" s="91">
        <f>'Model (Matrix)'!H52-'Model (SN)'!H52</f>
        <v>0</v>
      </c>
      <c r="I55" s="91">
        <f>'Model (Matrix)'!I52-'Model (SN)'!I52</f>
        <v>0</v>
      </c>
      <c r="J55" s="91">
        <f>'Model (Matrix)'!J52-'Model (SN)'!J52</f>
        <v>0</v>
      </c>
      <c r="K55" s="91">
        <f>'Model (Matrix)'!K52-'Model (SN)'!K52</f>
        <v>0</v>
      </c>
      <c r="L55" s="91">
        <f>'Model (Matrix)'!L52-'Model (SN)'!L52</f>
        <v>0</v>
      </c>
      <c r="M55" s="91">
        <f>'Model (Matrix)'!M52-'Model (SN)'!M52</f>
        <v>2.0367076793799015</v>
      </c>
      <c r="N55" s="91">
        <f>'Model (Matrix)'!N52-'Model (SN)'!N52</f>
        <v>2.7161618688785438</v>
      </c>
      <c r="O55" s="91">
        <f>'Model (Matrix)'!O52-'Model (SN)'!O52</f>
        <v>3.2807887369705213</v>
      </c>
      <c r="P55" s="91">
        <f>'Model (Matrix)'!P52-'Model (SN)'!P52</f>
        <v>3.8447385190247587</v>
      </c>
      <c r="Q55" s="91">
        <f>'Model (Matrix)'!Q52-'Model (SN)'!Q52</f>
        <v>4.4174781514441293</v>
      </c>
      <c r="R55" s="91">
        <f>'Model (Matrix)'!R52-'Model (SN)'!R52</f>
        <v>4.99472825489147</v>
      </c>
      <c r="S55" s="91">
        <f>'Model (Matrix)'!S52-'Model (SN)'!S52</f>
        <v>5.5722101763017235</v>
      </c>
      <c r="T55" s="91">
        <f>'Model (Matrix)'!T52-'Model (SN)'!T52</f>
        <v>6.146674199918607</v>
      </c>
      <c r="U55" s="91">
        <f>'Model (Matrix)'!U52-'Model (SN)'!U52</f>
        <v>6.7156364982364494</v>
      </c>
      <c r="V55" s="91">
        <f>'Model (Matrix)'!V52-'Model (SN)'!V52</f>
        <v>7.2771521223075979</v>
      </c>
    </row>
    <row r="56" spans="1:22" x14ac:dyDescent="0.25">
      <c r="A56" s="82"/>
      <c r="B56" s="63" t="s">
        <v>139</v>
      </c>
      <c r="C56" s="91">
        <f>'Model (Matrix)'!C53-'Model (SN)'!C53</f>
        <v>0</v>
      </c>
      <c r="D56" s="91">
        <f>'Model (Matrix)'!D53-'Model (SN)'!D53</f>
        <v>0</v>
      </c>
      <c r="E56" s="91">
        <f>'Model (Matrix)'!E53-'Model (SN)'!E53</f>
        <v>0</v>
      </c>
      <c r="F56" s="91">
        <f>'Model (Matrix)'!F53-'Model (SN)'!F53</f>
        <v>0</v>
      </c>
      <c r="G56" s="91">
        <f>'Model (Matrix)'!G53-'Model (SN)'!G53</f>
        <v>0</v>
      </c>
      <c r="H56" s="91">
        <f>'Model (Matrix)'!H53-'Model (SN)'!H53</f>
        <v>0</v>
      </c>
      <c r="I56" s="91">
        <f>'Model (Matrix)'!I53-'Model (SN)'!I53</f>
        <v>0</v>
      </c>
      <c r="J56" s="91">
        <f>'Model (Matrix)'!J53-'Model (SN)'!J53</f>
        <v>0</v>
      </c>
      <c r="K56" s="91">
        <f>'Model (Matrix)'!K53-'Model (SN)'!K53</f>
        <v>0</v>
      </c>
      <c r="L56" s="91">
        <f>'Model (Matrix)'!L53-'Model (SN)'!L53</f>
        <v>0</v>
      </c>
      <c r="M56" s="91">
        <f>'Model (Matrix)'!M53-'Model (SN)'!M53</f>
        <v>2.0367076793797878</v>
      </c>
      <c r="N56" s="91">
        <f>'Model (Matrix)'!N53-'Model (SN)'!N53</f>
        <v>2.7161618688783165</v>
      </c>
      <c r="O56" s="91">
        <f>'Model (Matrix)'!O53-'Model (SN)'!O53</f>
        <v>3.2807887369701803</v>
      </c>
      <c r="P56" s="91">
        <f>'Model (Matrix)'!P53-'Model (SN)'!P53</f>
        <v>3.8447385190247587</v>
      </c>
      <c r="Q56" s="91">
        <f>'Model (Matrix)'!Q53-'Model (SN)'!Q53</f>
        <v>4.4174781514441293</v>
      </c>
      <c r="R56" s="91">
        <f>'Model (Matrix)'!R53-'Model (SN)'!R53</f>
        <v>4.99472825489147</v>
      </c>
      <c r="S56" s="91">
        <f>'Model (Matrix)'!S53-'Model (SN)'!S53</f>
        <v>5.5722101763017235</v>
      </c>
      <c r="T56" s="91">
        <f>'Model (Matrix)'!T53-'Model (SN)'!T53</f>
        <v>6.1466741999183796</v>
      </c>
      <c r="U56" s="91">
        <f>'Model (Matrix)'!U53-'Model (SN)'!U53</f>
        <v>6.7156364982365631</v>
      </c>
      <c r="V56" s="91">
        <f>'Model (Matrix)'!V53-'Model (SN)'!V53</f>
        <v>7.2771521223073705</v>
      </c>
    </row>
    <row r="57" spans="1:22" x14ac:dyDescent="0.25">
      <c r="A57" s="82"/>
      <c r="B57" s="63" t="s">
        <v>127</v>
      </c>
      <c r="C57" s="90"/>
      <c r="D57" s="91">
        <f>'Model (Matrix)'!D54-'Model (SN)'!D54</f>
        <v>0</v>
      </c>
      <c r="E57" s="91">
        <f>'Model (Matrix)'!E54-'Model (SN)'!E54</f>
        <v>0</v>
      </c>
      <c r="F57" s="91">
        <f>'Model (Matrix)'!F54-'Model (SN)'!F54</f>
        <v>0</v>
      </c>
      <c r="G57" s="91">
        <f>'Model (Matrix)'!G54-'Model (SN)'!G54</f>
        <v>0</v>
      </c>
      <c r="H57" s="91">
        <f>'Model (Matrix)'!H54-'Model (SN)'!H54</f>
        <v>0</v>
      </c>
      <c r="I57" s="91">
        <f>'Model (Matrix)'!I54-'Model (SN)'!I54</f>
        <v>0</v>
      </c>
      <c r="J57" s="91">
        <f>'Model (Matrix)'!J54-'Model (SN)'!J54</f>
        <v>0</v>
      </c>
      <c r="K57" s="91">
        <f>'Model (Matrix)'!K54-'Model (SN)'!K54</f>
        <v>0</v>
      </c>
      <c r="L57" s="91">
        <f>'Model (Matrix)'!L54-'Model (SN)'!L54</f>
        <v>0</v>
      </c>
      <c r="M57" s="91">
        <f>'Model (Matrix)'!M54-'Model (SN)'!M54</f>
        <v>0</v>
      </c>
      <c r="N57" s="91">
        <f>'Model (Matrix)'!N54-'Model (SN)'!N54</f>
        <v>0</v>
      </c>
      <c r="O57" s="91">
        <f>'Model (Matrix)'!O54-'Model (SN)'!O54</f>
        <v>0</v>
      </c>
      <c r="P57" s="91">
        <f>'Model (Matrix)'!P54-'Model (SN)'!P54</f>
        <v>0</v>
      </c>
      <c r="Q57" s="91">
        <f>'Model (Matrix)'!Q54-'Model (SN)'!Q54</f>
        <v>0</v>
      </c>
      <c r="R57" s="91">
        <f>'Model (Matrix)'!R54-'Model (SN)'!R54</f>
        <v>0</v>
      </c>
      <c r="S57" s="91">
        <f>'Model (Matrix)'!S54-'Model (SN)'!S54</f>
        <v>0</v>
      </c>
      <c r="T57" s="91">
        <f>'Model (Matrix)'!T54-'Model (SN)'!T54</f>
        <v>0</v>
      </c>
      <c r="U57" s="91">
        <f>'Model (Matrix)'!U54-'Model (SN)'!U54</f>
        <v>0</v>
      </c>
      <c r="V57" s="91">
        <f>'Model (Matrix)'!V54-'Model (SN)'!V54</f>
        <v>0</v>
      </c>
    </row>
    <row r="58" spans="1:22" x14ac:dyDescent="0.25">
      <c r="A58" s="82"/>
      <c r="B58" s="63" t="s">
        <v>128</v>
      </c>
      <c r="C58" s="95"/>
      <c r="D58" s="91">
        <f>'Model (Matrix)'!D55-'Model (SN)'!D55</f>
        <v>0</v>
      </c>
      <c r="E58" s="91">
        <f>'Model (Matrix)'!E55-'Model (SN)'!E55</f>
        <v>0</v>
      </c>
      <c r="F58" s="91">
        <f>'Model (Matrix)'!F55-'Model (SN)'!F55</f>
        <v>0</v>
      </c>
      <c r="G58" s="91">
        <f>'Model (Matrix)'!G55-'Model (SN)'!G55</f>
        <v>0</v>
      </c>
      <c r="H58" s="91">
        <f>'Model (Matrix)'!H55-'Model (SN)'!H55</f>
        <v>0</v>
      </c>
      <c r="I58" s="91">
        <f>'Model (Matrix)'!I55-'Model (SN)'!I55</f>
        <v>0</v>
      </c>
      <c r="J58" s="91">
        <f>'Model (Matrix)'!J55-'Model (SN)'!J55</f>
        <v>0</v>
      </c>
      <c r="K58" s="91">
        <f>'Model (Matrix)'!K55-'Model (SN)'!K55</f>
        <v>0</v>
      </c>
      <c r="L58" s="91">
        <f>'Model (Matrix)'!L55-'Model (SN)'!L55</f>
        <v>0</v>
      </c>
      <c r="M58" s="91">
        <f>'Model (Matrix)'!M55-'Model (SN)'!M55</f>
        <v>0</v>
      </c>
      <c r="N58" s="91">
        <f>'Model (Matrix)'!N55-'Model (SN)'!N55</f>
        <v>0</v>
      </c>
      <c r="O58" s="91">
        <f>'Model (Matrix)'!O55-'Model (SN)'!O55</f>
        <v>0</v>
      </c>
      <c r="P58" s="91">
        <f>'Model (Matrix)'!P55-'Model (SN)'!P55</f>
        <v>0</v>
      </c>
      <c r="Q58" s="91">
        <f>'Model (Matrix)'!Q55-'Model (SN)'!Q55</f>
        <v>0</v>
      </c>
      <c r="R58" s="91">
        <f>'Model (Matrix)'!R55-'Model (SN)'!R55</f>
        <v>0</v>
      </c>
      <c r="S58" s="91">
        <f>'Model (Matrix)'!S55-'Model (SN)'!S55</f>
        <v>0</v>
      </c>
      <c r="T58" s="91">
        <f>'Model (Matrix)'!T55-'Model (SN)'!T55</f>
        <v>0</v>
      </c>
      <c r="U58" s="91">
        <f>'Model (Matrix)'!U55-'Model (SN)'!U55</f>
        <v>0</v>
      </c>
      <c r="V58" s="91">
        <f>'Model (Matrix)'!V55-'Model (SN)'!V55</f>
        <v>0</v>
      </c>
    </row>
    <row r="59" spans="1:22" x14ac:dyDescent="0.25">
      <c r="A59" s="82"/>
      <c r="B59" s="63" t="s">
        <v>151</v>
      </c>
      <c r="C59" s="95"/>
      <c r="D59" s="91">
        <f>'Model (Matrix)'!D56-'Model (SN)'!D56</f>
        <v>0</v>
      </c>
      <c r="E59" s="91">
        <f>'Model (Matrix)'!E56-'Model (SN)'!E56</f>
        <v>0</v>
      </c>
      <c r="F59" s="91">
        <f>'Model (Matrix)'!F56-'Model (SN)'!F56</f>
        <v>0</v>
      </c>
      <c r="G59" s="91">
        <f>'Model (Matrix)'!G56-'Model (SN)'!G56</f>
        <v>0</v>
      </c>
      <c r="H59" s="91">
        <f>'Model (Matrix)'!H56-'Model (SN)'!H56</f>
        <v>0</v>
      </c>
      <c r="I59" s="91">
        <f>'Model (Matrix)'!I56-'Model (SN)'!I56</f>
        <v>0</v>
      </c>
      <c r="J59" s="91">
        <f>'Model (Matrix)'!J56-'Model (SN)'!J56</f>
        <v>0</v>
      </c>
      <c r="K59" s="91">
        <f>'Model (Matrix)'!K56-'Model (SN)'!K56</f>
        <v>0</v>
      </c>
      <c r="L59" s="91">
        <f>'Model (Matrix)'!L56-'Model (SN)'!L56</f>
        <v>0</v>
      </c>
      <c r="M59" s="91">
        <f>'Model (Matrix)'!M56-'Model (SN)'!M56</f>
        <v>0</v>
      </c>
      <c r="N59" s="91">
        <f>'Model (Matrix)'!N56-'Model (SN)'!N56</f>
        <v>0</v>
      </c>
      <c r="O59" s="91">
        <f>'Model (Matrix)'!O56-'Model (SN)'!O56</f>
        <v>0</v>
      </c>
      <c r="P59" s="91">
        <f>'Model (Matrix)'!P56-'Model (SN)'!P56</f>
        <v>0</v>
      </c>
      <c r="Q59" s="91">
        <f>'Model (Matrix)'!Q56-'Model (SN)'!Q56</f>
        <v>0</v>
      </c>
      <c r="R59" s="91">
        <f>'Model (Matrix)'!R56-'Model (SN)'!R56</f>
        <v>0</v>
      </c>
      <c r="S59" s="91">
        <f>'Model (Matrix)'!S56-'Model (SN)'!S56</f>
        <v>0</v>
      </c>
      <c r="T59" s="91">
        <f>'Model (Matrix)'!T56-'Model (SN)'!T56</f>
        <v>0</v>
      </c>
      <c r="U59" s="91">
        <f>'Model (Matrix)'!U56-'Model (SN)'!U56</f>
        <v>0</v>
      </c>
      <c r="V59" s="91">
        <f>'Model (Matrix)'!V56-'Model (SN)'!V56</f>
        <v>0</v>
      </c>
    </row>
    <row r="60" spans="1:22" x14ac:dyDescent="0.25">
      <c r="A60" s="82"/>
      <c r="B60" s="63" t="s">
        <v>152</v>
      </c>
      <c r="C60" s="95"/>
      <c r="D60" s="91">
        <f>'Model (Matrix)'!D57-'Model (SN)'!D57</f>
        <v>0</v>
      </c>
      <c r="E60" s="91">
        <f>'Model (Matrix)'!E57-'Model (SN)'!E57</f>
        <v>0</v>
      </c>
      <c r="F60" s="91">
        <f>'Model (Matrix)'!F57-'Model (SN)'!F57</f>
        <v>0</v>
      </c>
      <c r="G60" s="91">
        <f>'Model (Matrix)'!G57-'Model (SN)'!G57</f>
        <v>0</v>
      </c>
      <c r="H60" s="91">
        <f>'Model (Matrix)'!H57-'Model (SN)'!H57</f>
        <v>0</v>
      </c>
      <c r="I60" s="91">
        <f>'Model (Matrix)'!I57-'Model (SN)'!I57</f>
        <v>0</v>
      </c>
      <c r="J60" s="91">
        <f>'Model (Matrix)'!J57-'Model (SN)'!J57</f>
        <v>0</v>
      </c>
      <c r="K60" s="91">
        <f>'Model (Matrix)'!K57-'Model (SN)'!K57</f>
        <v>0</v>
      </c>
      <c r="L60" s="91">
        <f>'Model (Matrix)'!L57-'Model (SN)'!L57</f>
        <v>0</v>
      </c>
      <c r="M60" s="91">
        <f>'Model (Matrix)'!M57-'Model (SN)'!M57</f>
        <v>9.4947972287374114</v>
      </c>
      <c r="N60" s="91">
        <f>'Model (Matrix)'!N57-'Model (SN)'!N57</f>
        <v>8.6316290460030132</v>
      </c>
      <c r="O60" s="91">
        <f>'Model (Matrix)'!O57-'Model (SN)'!O57</f>
        <v>8.3036371097226152</v>
      </c>
      <c r="P60" s="91">
        <f>'Model (Matrix)'!P57-'Model (SN)'!P57</f>
        <v>8.1303548167650774</v>
      </c>
      <c r="Q60" s="91">
        <f>'Model (Matrix)'!Q57-'Model (SN)'!Q57</f>
        <v>8.061097460896633</v>
      </c>
      <c r="R60" s="91">
        <f>'Model (Matrix)'!R57-'Model (SN)'!R57</f>
        <v>8.0569490683174081</v>
      </c>
      <c r="S60" s="91">
        <f>'Model (Matrix)'!S57-'Model (SN)'!S57</f>
        <v>8.0949526941633394</v>
      </c>
      <c r="T60" s="91">
        <f>'Model (Matrix)'!T57-'Model (SN)'!T57</f>
        <v>8.1605501644985452</v>
      </c>
      <c r="U60" s="91">
        <f>'Model (Matrix)'!U57-'Model (SN)'!U57</f>
        <v>8.2439693331479589</v>
      </c>
      <c r="V60" s="91">
        <f>'Model (Matrix)'!V57-'Model (SN)'!V57</f>
        <v>8.3384534738426055</v>
      </c>
    </row>
    <row r="61" spans="1:22" x14ac:dyDescent="0.25">
      <c r="A61" s="82"/>
      <c r="B61" s="63" t="s">
        <v>153</v>
      </c>
      <c r="C61" s="95"/>
      <c r="D61" s="91">
        <f>'Model (Matrix)'!D58-'Model (SN)'!D58</f>
        <v>0</v>
      </c>
      <c r="E61" s="91">
        <f>'Model (Matrix)'!E58-'Model (SN)'!E58</f>
        <v>0</v>
      </c>
      <c r="F61" s="91">
        <f>'Model (Matrix)'!F58-'Model (SN)'!F58</f>
        <v>0</v>
      </c>
      <c r="G61" s="91">
        <f>'Model (Matrix)'!G58-'Model (SN)'!G58</f>
        <v>0</v>
      </c>
      <c r="H61" s="91">
        <f>'Model (Matrix)'!H58-'Model (SN)'!H58</f>
        <v>0</v>
      </c>
      <c r="I61" s="91">
        <f>'Model (Matrix)'!I58-'Model (SN)'!I58</f>
        <v>0</v>
      </c>
      <c r="J61" s="91">
        <f>'Model (Matrix)'!J58-'Model (SN)'!J58</f>
        <v>0</v>
      </c>
      <c r="K61" s="91">
        <f>'Model (Matrix)'!K58-'Model (SN)'!K58</f>
        <v>0</v>
      </c>
      <c r="L61" s="91">
        <f>'Model (Matrix)'!L58-'Model (SN)'!L58</f>
        <v>0</v>
      </c>
      <c r="M61" s="91">
        <f>'Model (Matrix)'!M58-'Model (SN)'!M58</f>
        <v>0</v>
      </c>
      <c r="N61" s="91">
        <f>'Model (Matrix)'!N58-'Model (SN)'!N58</f>
        <v>1.357484468054281</v>
      </c>
      <c r="O61" s="91">
        <f>'Model (Matrix)'!O58-'Model (SN)'!O58</f>
        <v>2.5004098706691593</v>
      </c>
      <c r="P61" s="91">
        <f>'Model (Matrix)'!P58-'Model (SN)'!P58</f>
        <v>3.5196980546392069</v>
      </c>
      <c r="Q61" s="91">
        <f>'Model (Matrix)'!Q58-'Model (SN)'!Q58</f>
        <v>4.4457699146882987</v>
      </c>
      <c r="R61" s="91">
        <f>'Model (Matrix)'!R58-'Model (SN)'!R58</f>
        <v>5.2997572171559568</v>
      </c>
      <c r="S61" s="91">
        <f>'Model (Matrix)'!S58-'Model (SN)'!S58</f>
        <v>6.0958089271583731</v>
      </c>
      <c r="T61" s="91">
        <f>'Model (Matrix)'!T58-'Model (SN)'!T58</f>
        <v>6.8438417658884418</v>
      </c>
      <c r="U61" s="91">
        <f>'Model (Matrix)'!U58-'Model (SN)'!U58</f>
        <v>7.5510251761858171</v>
      </c>
      <c r="V61" s="91">
        <f>'Model (Matrix)'!V58-'Model (SN)'!V58</f>
        <v>8.2226500585081794</v>
      </c>
    </row>
    <row r="62" spans="1:22" x14ac:dyDescent="0.25">
      <c r="A62" s="82"/>
      <c r="B62" s="63" t="s">
        <v>142</v>
      </c>
      <c r="C62" s="95"/>
      <c r="D62" s="91">
        <f>'Model (Matrix)'!D59-'Model (SN)'!D59</f>
        <v>0</v>
      </c>
      <c r="E62" s="91">
        <f>'Model (Matrix)'!E59-'Model (SN)'!E59</f>
        <v>0</v>
      </c>
      <c r="F62" s="91">
        <f>'Model (Matrix)'!F59-'Model (SN)'!F59</f>
        <v>0</v>
      </c>
      <c r="G62" s="91">
        <f>'Model (Matrix)'!G59-'Model (SN)'!G59</f>
        <v>0</v>
      </c>
      <c r="H62" s="91">
        <f>'Model (Matrix)'!H59-'Model (SN)'!H59</f>
        <v>0</v>
      </c>
      <c r="I62" s="91">
        <f>'Model (Matrix)'!I59-'Model (SN)'!I59</f>
        <v>0</v>
      </c>
      <c r="J62" s="91">
        <f>'Model (Matrix)'!J59-'Model (SN)'!J59</f>
        <v>0</v>
      </c>
      <c r="K62" s="91">
        <f>'Model (Matrix)'!K59-'Model (SN)'!K59</f>
        <v>0</v>
      </c>
      <c r="L62" s="91">
        <f>'Model (Matrix)'!L59-'Model (SN)'!L59</f>
        <v>0</v>
      </c>
      <c r="M62" s="91">
        <f>'Model (Matrix)'!M59-'Model (SN)'!M59</f>
        <v>0</v>
      </c>
      <c r="N62" s="91">
        <f>'Model (Matrix)'!N59-'Model (SN)'!N59</f>
        <v>0</v>
      </c>
      <c r="O62" s="91">
        <f>'Model (Matrix)'!O59-'Model (SN)'!O59</f>
        <v>0.19649343172511635</v>
      </c>
      <c r="P62" s="91">
        <f>'Model (Matrix)'!P59-'Model (SN)'!P59</f>
        <v>0.51185930192878004</v>
      </c>
      <c r="Q62" s="91">
        <f>'Model (Matrix)'!Q59-'Model (SN)'!Q59</f>
        <v>0.91528622890496081</v>
      </c>
      <c r="R62" s="91">
        <f>'Model (Matrix)'!R59-'Model (SN)'!R59</f>
        <v>1.3856139941339052</v>
      </c>
      <c r="S62" s="91">
        <f>'Model (Matrix)'!S59-'Model (SN)'!S59</f>
        <v>1.9068287858269741</v>
      </c>
      <c r="T62" s="91">
        <f>'Model (Matrix)'!T59-'Model (SN)'!T59</f>
        <v>2.4663547903891185</v>
      </c>
      <c r="U62" s="91">
        <f>'Model (Matrix)'!U59-'Model (SN)'!U59</f>
        <v>3.0541623076534279</v>
      </c>
      <c r="V62" s="91">
        <f>'Model (Matrix)'!V59-'Model (SN)'!V59</f>
        <v>3.6621730599512148</v>
      </c>
    </row>
    <row r="63" spans="1:22" x14ac:dyDescent="0.25">
      <c r="A63" s="82"/>
      <c r="B63" s="64" t="s">
        <v>130</v>
      </c>
      <c r="C63" s="95"/>
      <c r="D63" s="91">
        <f>'Model (Matrix)'!D60-'Model (SN)'!D60</f>
        <v>0</v>
      </c>
      <c r="E63" s="91">
        <f>'Model (Matrix)'!E60-'Model (SN)'!E60</f>
        <v>0</v>
      </c>
      <c r="F63" s="91">
        <f>'Model (Matrix)'!F60-'Model (SN)'!F60</f>
        <v>0</v>
      </c>
      <c r="G63" s="91">
        <f>'Model (Matrix)'!G60-'Model (SN)'!G60</f>
        <v>0</v>
      </c>
      <c r="H63" s="91">
        <f>'Model (Matrix)'!H60-'Model (SN)'!H60</f>
        <v>0</v>
      </c>
      <c r="I63" s="91">
        <f>'Model (Matrix)'!I60-'Model (SN)'!I60</f>
        <v>0</v>
      </c>
      <c r="J63" s="91">
        <f>'Model (Matrix)'!J60-'Model (SN)'!J60</f>
        <v>0</v>
      </c>
      <c r="K63" s="91">
        <f>'Model (Matrix)'!K60-'Model (SN)'!K60</f>
        <v>0</v>
      </c>
      <c r="L63" s="91">
        <f>'Model (Matrix)'!L60-'Model (SN)'!L60</f>
        <v>0</v>
      </c>
      <c r="M63" s="91">
        <f>'Model (Matrix)'!M60-'Model (SN)'!M60</f>
        <v>0</v>
      </c>
      <c r="N63" s="91">
        <f>'Model (Matrix)'!N60-'Model (SN)'!N60</f>
        <v>0</v>
      </c>
      <c r="O63" s="91">
        <f>'Model (Matrix)'!O60-'Model (SN)'!O60</f>
        <v>0</v>
      </c>
      <c r="P63" s="91">
        <f>'Model (Matrix)'!P60-'Model (SN)'!P60</f>
        <v>0</v>
      </c>
      <c r="Q63" s="91">
        <f>'Model (Matrix)'!Q60-'Model (SN)'!Q60</f>
        <v>0</v>
      </c>
      <c r="R63" s="91">
        <f>'Model (Matrix)'!R60-'Model (SN)'!R60</f>
        <v>0</v>
      </c>
      <c r="S63" s="91">
        <f>'Model (Matrix)'!S60-'Model (SN)'!S60</f>
        <v>0</v>
      </c>
      <c r="T63" s="91">
        <f>'Model (Matrix)'!T60-'Model (SN)'!T60</f>
        <v>0</v>
      </c>
      <c r="U63" s="91">
        <f>'Model (Matrix)'!U60-'Model (SN)'!U60</f>
        <v>0</v>
      </c>
      <c r="V63" s="91">
        <f>'Model (Matrix)'!V60-'Model (SN)'!V60</f>
        <v>0</v>
      </c>
    </row>
    <row r="64" spans="1:22" x14ac:dyDescent="0.25">
      <c r="A64" s="82"/>
      <c r="B64" s="63" t="s">
        <v>143</v>
      </c>
      <c r="C64" s="95"/>
      <c r="D64" s="91">
        <f>'Model (Matrix)'!D61-'Model (SN)'!D61</f>
        <v>0</v>
      </c>
      <c r="E64" s="91">
        <f>'Model (Matrix)'!E61-'Model (SN)'!E61</f>
        <v>0</v>
      </c>
      <c r="F64" s="91">
        <f>'Model (Matrix)'!F61-'Model (SN)'!F61</f>
        <v>0</v>
      </c>
      <c r="G64" s="91">
        <f>'Model (Matrix)'!G61-'Model (SN)'!G61</f>
        <v>0</v>
      </c>
      <c r="H64" s="91">
        <f>'Model (Matrix)'!H61-'Model (SN)'!H61</f>
        <v>0</v>
      </c>
      <c r="I64" s="91">
        <f>'Model (Matrix)'!I61-'Model (SN)'!I61</f>
        <v>0</v>
      </c>
      <c r="J64" s="91">
        <f>'Model (Matrix)'!J61-'Model (SN)'!J61</f>
        <v>0</v>
      </c>
      <c r="K64" s="91">
        <f>'Model (Matrix)'!K61-'Model (SN)'!K61</f>
        <v>0</v>
      </c>
      <c r="L64" s="91">
        <f>'Model (Matrix)'!L61-'Model (SN)'!L61</f>
        <v>0</v>
      </c>
      <c r="M64" s="91">
        <f>'Model (Matrix)'!M61-'Model (SN)'!M61</f>
        <v>0</v>
      </c>
      <c r="N64" s="91">
        <f>'Model (Matrix)'!N61-'Model (SN)'!N61</f>
        <v>0</v>
      </c>
      <c r="O64" s="91">
        <f>'Model (Matrix)'!O61-'Model (SN)'!O61</f>
        <v>0</v>
      </c>
      <c r="P64" s="91">
        <f>'Model (Matrix)'!P61-'Model (SN)'!P61</f>
        <v>0</v>
      </c>
      <c r="Q64" s="91">
        <f>'Model (Matrix)'!Q61-'Model (SN)'!Q61</f>
        <v>0</v>
      </c>
      <c r="R64" s="91">
        <f>'Model (Matrix)'!R61-'Model (SN)'!R61</f>
        <v>0</v>
      </c>
      <c r="S64" s="91">
        <f>'Model (Matrix)'!S61-'Model (SN)'!S61</f>
        <v>0</v>
      </c>
      <c r="T64" s="91">
        <f>'Model (Matrix)'!T61-'Model (SN)'!T61</f>
        <v>0</v>
      </c>
      <c r="U64" s="91">
        <f>'Model (Matrix)'!U61-'Model (SN)'!U61</f>
        <v>0</v>
      </c>
      <c r="V64" s="91">
        <f>'Model (Matrix)'!V61-'Model (SN)'!V61</f>
        <v>0</v>
      </c>
    </row>
    <row r="65" spans="1:22" x14ac:dyDescent="0.25">
      <c r="A65" s="82"/>
      <c r="B65" s="63" t="s">
        <v>636</v>
      </c>
      <c r="C65" s="95"/>
      <c r="D65" s="91">
        <f>'Model (Matrix)'!D62-'Model (SN)'!D62</f>
        <v>0</v>
      </c>
      <c r="E65" s="91">
        <f>'Model (Matrix)'!E62-'Model (SN)'!E62</f>
        <v>0</v>
      </c>
      <c r="F65" s="91">
        <f>'Model (Matrix)'!F62-'Model (SN)'!F62</f>
        <v>0</v>
      </c>
      <c r="G65" s="91">
        <f>'Model (Matrix)'!G62-'Model (SN)'!G62</f>
        <v>0</v>
      </c>
      <c r="H65" s="91">
        <f>'Model (Matrix)'!H62-'Model (SN)'!H62</f>
        <v>0</v>
      </c>
      <c r="I65" s="91">
        <f>'Model (Matrix)'!I62-'Model (SN)'!I62</f>
        <v>0</v>
      </c>
      <c r="J65" s="91">
        <f>'Model (Matrix)'!J62-'Model (SN)'!J62</f>
        <v>0</v>
      </c>
      <c r="K65" s="91">
        <f>'Model (Matrix)'!K62-'Model (SN)'!K62</f>
        <v>0</v>
      </c>
      <c r="L65" s="91">
        <f>'Model (Matrix)'!L62-'Model (SN)'!L62</f>
        <v>0</v>
      </c>
      <c r="M65" s="91">
        <f>'Model (Matrix)'!M62-'Model (SN)'!M62</f>
        <v>0</v>
      </c>
      <c r="N65" s="91">
        <f>'Model (Matrix)'!N62-'Model (SN)'!N62</f>
        <v>0</v>
      </c>
      <c r="O65" s="91">
        <f>'Model (Matrix)'!O62-'Model (SN)'!O62</f>
        <v>0</v>
      </c>
      <c r="P65" s="91">
        <f>'Model (Matrix)'!P62-'Model (SN)'!P62</f>
        <v>0</v>
      </c>
      <c r="Q65" s="91">
        <f>'Model (Matrix)'!Q62-'Model (SN)'!Q62</f>
        <v>0</v>
      </c>
      <c r="R65" s="91">
        <f>'Model (Matrix)'!R62-'Model (SN)'!R62</f>
        <v>0</v>
      </c>
      <c r="S65" s="91">
        <f>'Model (Matrix)'!S62-'Model (SN)'!S62</f>
        <v>0</v>
      </c>
      <c r="T65" s="91">
        <f>'Model (Matrix)'!T62-'Model (SN)'!T62</f>
        <v>0</v>
      </c>
      <c r="U65" s="91">
        <f>'Model (Matrix)'!U62-'Model (SN)'!U62</f>
        <v>0</v>
      </c>
      <c r="V65" s="91">
        <f>'Model (Matrix)'!V62-'Model (SN)'!V62</f>
        <v>0</v>
      </c>
    </row>
    <row r="66" spans="1:22" x14ac:dyDescent="0.25">
      <c r="A66" s="82"/>
      <c r="B66" s="63" t="s">
        <v>620</v>
      </c>
      <c r="C66" s="95"/>
      <c r="D66" s="91">
        <f>'Model (Matrix)'!D63-'Model (SN)'!D63</f>
        <v>0</v>
      </c>
      <c r="E66" s="91">
        <f>'Model (Matrix)'!E63-'Model (SN)'!E63</f>
        <v>0</v>
      </c>
      <c r="F66" s="91">
        <f>'Model (Matrix)'!F63-'Model (SN)'!F63</f>
        <v>0</v>
      </c>
      <c r="G66" s="91">
        <f>'Model (Matrix)'!G63-'Model (SN)'!G63</f>
        <v>0</v>
      </c>
      <c r="H66" s="91">
        <f>'Model (Matrix)'!H63-'Model (SN)'!H63</f>
        <v>0</v>
      </c>
      <c r="I66" s="91">
        <f>'Model (Matrix)'!I63-'Model (SN)'!I63</f>
        <v>0</v>
      </c>
      <c r="J66" s="91">
        <f>'Model (Matrix)'!J63-'Model (SN)'!J63</f>
        <v>0</v>
      </c>
      <c r="K66" s="91">
        <f>'Model (Matrix)'!K63-'Model (SN)'!K63</f>
        <v>0</v>
      </c>
      <c r="L66" s="91">
        <f>'Model (Matrix)'!L63-'Model (SN)'!L63</f>
        <v>0</v>
      </c>
      <c r="M66" s="91">
        <f>'Model (Matrix)'!M63-'Model (SN)'!M63</f>
        <v>0</v>
      </c>
      <c r="N66" s="91">
        <f>'Model (Matrix)'!N63-'Model (SN)'!N63</f>
        <v>0</v>
      </c>
      <c r="O66" s="91">
        <f>'Model (Matrix)'!O63-'Model (SN)'!O63</f>
        <v>0</v>
      </c>
      <c r="P66" s="91">
        <f>'Model (Matrix)'!P63-'Model (SN)'!P63</f>
        <v>0</v>
      </c>
      <c r="Q66" s="91">
        <f>'Model (Matrix)'!Q63-'Model (SN)'!Q63</f>
        <v>0</v>
      </c>
      <c r="R66" s="91">
        <f>'Model (Matrix)'!R63-'Model (SN)'!R63</f>
        <v>0</v>
      </c>
      <c r="S66" s="91">
        <f>'Model (Matrix)'!S63-'Model (SN)'!S63</f>
        <v>0</v>
      </c>
      <c r="T66" s="91">
        <f>'Model (Matrix)'!T63-'Model (SN)'!T63</f>
        <v>0</v>
      </c>
      <c r="U66" s="91">
        <f>'Model (Matrix)'!U63-'Model (SN)'!U63</f>
        <v>0</v>
      </c>
      <c r="V66" s="91">
        <f>'Model (Matrix)'!V63-'Model (SN)'!V63</f>
        <v>0</v>
      </c>
    </row>
    <row r="67" spans="1:22" x14ac:dyDescent="0.25">
      <c r="A67" s="82"/>
      <c r="B67" s="63" t="s">
        <v>154</v>
      </c>
      <c r="C67" s="95"/>
      <c r="D67" s="91">
        <f>'Model (Matrix)'!D64-'Model (SN)'!D64</f>
        <v>0</v>
      </c>
      <c r="E67" s="91">
        <f>'Model (Matrix)'!E64-'Model (SN)'!E64</f>
        <v>0</v>
      </c>
      <c r="F67" s="91">
        <f>'Model (Matrix)'!F64-'Model (SN)'!F64</f>
        <v>0</v>
      </c>
      <c r="G67" s="91">
        <f>'Model (Matrix)'!G64-'Model (SN)'!G64</f>
        <v>0</v>
      </c>
      <c r="H67" s="91">
        <f>'Model (Matrix)'!H64-'Model (SN)'!H64</f>
        <v>0</v>
      </c>
      <c r="I67" s="91">
        <f>'Model (Matrix)'!I64-'Model (SN)'!I64</f>
        <v>0</v>
      </c>
      <c r="J67" s="91">
        <f>'Model (Matrix)'!J64-'Model (SN)'!J64</f>
        <v>0</v>
      </c>
      <c r="K67" s="91">
        <f>'Model (Matrix)'!K64-'Model (SN)'!K64</f>
        <v>0</v>
      </c>
      <c r="L67" s="91">
        <f>'Model (Matrix)'!L64-'Model (SN)'!L64</f>
        <v>0</v>
      </c>
      <c r="M67" s="91">
        <f>'Model (Matrix)'!M64-'Model (SN)'!M64</f>
        <v>0</v>
      </c>
      <c r="N67" s="91">
        <f>'Model (Matrix)'!N64-'Model (SN)'!N64</f>
        <v>0.83609851999993623</v>
      </c>
      <c r="O67" s="91">
        <f>'Model (Matrix)'!O64-'Model (SN)'!O64</f>
        <v>0.88139471368318567</v>
      </c>
      <c r="P67" s="91">
        <f>'Model (Matrix)'!P64-'Model (SN)'!P64</f>
        <v>0.85908401415686342</v>
      </c>
      <c r="Q67" s="91">
        <f>'Model (Matrix)'!Q64-'Model (SN)'!Q64</f>
        <v>0.84058806492506477</v>
      </c>
      <c r="R67" s="91">
        <f>'Model (Matrix)'!R64-'Model (SN)'!R64</f>
        <v>0.83180586972088832</v>
      </c>
      <c r="S67" s="91">
        <f>'Model (Matrix)'!S64-'Model (SN)'!S64</f>
        <v>0.83016640100227335</v>
      </c>
      <c r="T67" s="91">
        <f>'Model (Matrix)'!T64-'Model (SN)'!T64</f>
        <v>0.8332750842160408</v>
      </c>
      <c r="U67" s="91">
        <f>'Model (Matrix)'!U64-'Model (SN)'!U64</f>
        <v>0.83950252951903792</v>
      </c>
      <c r="V67" s="91">
        <f>'Model (Matrix)'!V64-'Model (SN)'!V64</f>
        <v>0.84775181498042684</v>
      </c>
    </row>
    <row r="68" spans="1:22" x14ac:dyDescent="0.25">
      <c r="A68" s="82"/>
      <c r="B68" s="63" t="s">
        <v>155</v>
      </c>
      <c r="C68" s="95"/>
      <c r="D68" s="91">
        <f>'Model (Matrix)'!D65-'Model (SN)'!D65</f>
        <v>0</v>
      </c>
      <c r="E68" s="91">
        <f>'Model (Matrix)'!E65-'Model (SN)'!E65</f>
        <v>0</v>
      </c>
      <c r="F68" s="91">
        <f>'Model (Matrix)'!F65-'Model (SN)'!F65</f>
        <v>0</v>
      </c>
      <c r="G68" s="91">
        <f>'Model (Matrix)'!G65-'Model (SN)'!G65</f>
        <v>0</v>
      </c>
      <c r="H68" s="91">
        <f>'Model (Matrix)'!H65-'Model (SN)'!H65</f>
        <v>0</v>
      </c>
      <c r="I68" s="91">
        <f>'Model (Matrix)'!I65-'Model (SN)'!I65</f>
        <v>0</v>
      </c>
      <c r="J68" s="91">
        <f>'Model (Matrix)'!J65-'Model (SN)'!J65</f>
        <v>0</v>
      </c>
      <c r="K68" s="91">
        <f>'Model (Matrix)'!K65-'Model (SN)'!K65</f>
        <v>0</v>
      </c>
      <c r="L68" s="91">
        <f>'Model (Matrix)'!L65-'Model (SN)'!L65</f>
        <v>0</v>
      </c>
      <c r="M68" s="91">
        <f>'Model (Matrix)'!M65-'Model (SN)'!M65</f>
        <v>0</v>
      </c>
      <c r="N68" s="91">
        <f>'Model (Matrix)'!N65-'Model (SN)'!N65</f>
        <v>0</v>
      </c>
      <c r="O68" s="91">
        <f>'Model (Matrix)'!O65-'Model (SN)'!O65</f>
        <v>0.23362976510756539</v>
      </c>
      <c r="P68" s="91">
        <f>'Model (Matrix)'!P65-'Model (SN)'!P65</f>
        <v>0.464229093558302</v>
      </c>
      <c r="Q68" s="91">
        <f>'Model (Matrix)'!Q65-'Model (SN)'!Q65</f>
        <v>0.67311017583986654</v>
      </c>
      <c r="R68" s="91">
        <f>'Model (Matrix)'!R65-'Model (SN)'!R65</f>
        <v>0.86279727208034274</v>
      </c>
      <c r="S68" s="91">
        <f>'Model (Matrix)'!S65-'Model (SN)'!S65</f>
        <v>1.0372934963218086</v>
      </c>
      <c r="T68" s="91">
        <f>'Model (Matrix)'!T65-'Model (SN)'!T65</f>
        <v>1.1996147480192576</v>
      </c>
      <c r="U68" s="91">
        <f>'Model (Matrix)'!U65-'Model (SN)'!U65</f>
        <v>1.3519053063100728</v>
      </c>
      <c r="V68" s="91">
        <f>'Model (Matrix)'!V65-'Model (SN)'!V65</f>
        <v>1.495710170929641</v>
      </c>
    </row>
    <row r="69" spans="1:22" x14ac:dyDescent="0.25">
      <c r="A69" s="82"/>
      <c r="B69" s="63" t="s">
        <v>621</v>
      </c>
      <c r="C69" s="95"/>
      <c r="D69" s="91">
        <f>'Model (Matrix)'!D66-'Model (SN)'!D66</f>
        <v>0</v>
      </c>
      <c r="E69" s="91">
        <f>'Model (Matrix)'!E66-'Model (SN)'!E66</f>
        <v>0</v>
      </c>
      <c r="F69" s="91">
        <f>'Model (Matrix)'!F66-'Model (SN)'!F66</f>
        <v>0</v>
      </c>
      <c r="G69" s="91">
        <f>'Model (Matrix)'!G66-'Model (SN)'!G66</f>
        <v>0</v>
      </c>
      <c r="H69" s="91">
        <f>'Model (Matrix)'!H66-'Model (SN)'!H66</f>
        <v>0</v>
      </c>
      <c r="I69" s="91">
        <f>'Model (Matrix)'!I66-'Model (SN)'!I66</f>
        <v>0</v>
      </c>
      <c r="J69" s="91">
        <f>'Model (Matrix)'!J66-'Model (SN)'!J66</f>
        <v>0</v>
      </c>
      <c r="K69" s="91">
        <f>'Model (Matrix)'!K66-'Model (SN)'!K66</f>
        <v>0</v>
      </c>
      <c r="L69" s="91">
        <f>'Model (Matrix)'!L66-'Model (SN)'!L66</f>
        <v>0</v>
      </c>
      <c r="M69" s="91">
        <f>'Model (Matrix)'!M66-'Model (SN)'!M66</f>
        <v>0</v>
      </c>
      <c r="N69" s="91">
        <f>'Model (Matrix)'!N66-'Model (SN)'!N66</f>
        <v>0</v>
      </c>
      <c r="O69" s="91">
        <f>'Model (Matrix)'!O66-'Model (SN)'!O66</f>
        <v>0</v>
      </c>
      <c r="P69" s="91">
        <f>'Model (Matrix)'!P66-'Model (SN)'!P66</f>
        <v>0</v>
      </c>
      <c r="Q69" s="91">
        <f>'Model (Matrix)'!Q66-'Model (SN)'!Q66</f>
        <v>0</v>
      </c>
      <c r="R69" s="91">
        <f>'Model (Matrix)'!R66-'Model (SN)'!R66</f>
        <v>0</v>
      </c>
      <c r="S69" s="91">
        <f>'Model (Matrix)'!S66-'Model (SN)'!S66</f>
        <v>0</v>
      </c>
      <c r="T69" s="91">
        <f>'Model (Matrix)'!T66-'Model (SN)'!T66</f>
        <v>0</v>
      </c>
      <c r="U69" s="91">
        <f>'Model (Matrix)'!U66-'Model (SN)'!U66</f>
        <v>0</v>
      </c>
      <c r="V69" s="91">
        <f>'Model (Matrix)'!V66-'Model (SN)'!V66</f>
        <v>0</v>
      </c>
    </row>
    <row r="70" spans="1:22" x14ac:dyDescent="0.25">
      <c r="A70" s="82"/>
      <c r="B70" s="63" t="s">
        <v>145</v>
      </c>
      <c r="C70" s="95"/>
      <c r="D70" s="91">
        <f>'Model (Matrix)'!D67-'Model (SN)'!D67</f>
        <v>0</v>
      </c>
      <c r="E70" s="91">
        <f>'Model (Matrix)'!E67-'Model (SN)'!E67</f>
        <v>0</v>
      </c>
      <c r="F70" s="91">
        <f>'Model (Matrix)'!F67-'Model (SN)'!F67</f>
        <v>0</v>
      </c>
      <c r="G70" s="91">
        <f>'Model (Matrix)'!G67-'Model (SN)'!G67</f>
        <v>0</v>
      </c>
      <c r="H70" s="91">
        <f>'Model (Matrix)'!H67-'Model (SN)'!H67</f>
        <v>0</v>
      </c>
      <c r="I70" s="91">
        <f>'Model (Matrix)'!I67-'Model (SN)'!I67</f>
        <v>0</v>
      </c>
      <c r="J70" s="91">
        <f>'Model (Matrix)'!J67-'Model (SN)'!J67</f>
        <v>0</v>
      </c>
      <c r="K70" s="91">
        <f>'Model (Matrix)'!K67-'Model (SN)'!K67</f>
        <v>0</v>
      </c>
      <c r="L70" s="91">
        <f>'Model (Matrix)'!L67-'Model (SN)'!L67</f>
        <v>0</v>
      </c>
      <c r="M70" s="91">
        <f>'Model (Matrix)'!M67-'Model (SN)'!M67</f>
        <v>0</v>
      </c>
      <c r="N70" s="91">
        <f>'Model (Matrix)'!N67-'Model (SN)'!N67</f>
        <v>0</v>
      </c>
      <c r="O70" s="91">
        <f>'Model (Matrix)'!O67-'Model (SN)'!O67</f>
        <v>0</v>
      </c>
      <c r="P70" s="91">
        <f>'Model (Matrix)'!P67-'Model (SN)'!P67</f>
        <v>2.3499022069159992E-2</v>
      </c>
      <c r="Q70" s="91">
        <f>'Model (Matrix)'!Q67-'Model (SN)'!Q67</f>
        <v>6.4623586215319051E-2</v>
      </c>
      <c r="R70" s="91">
        <f>'Model (Matrix)'!R67-'Model (SN)'!R67</f>
        <v>0.11883674549737577</v>
      </c>
      <c r="S70" s="91">
        <f>'Model (Matrix)'!S67-'Model (SN)'!S67</f>
        <v>0.18294966512661404</v>
      </c>
      <c r="T70" s="91">
        <f>'Model (Matrix)'!T67-'Model (SN)'!T67</f>
        <v>0.25458457005771606</v>
      </c>
      <c r="U70" s="91">
        <f>'Model (Matrix)'!U67-'Model (SN)'!U67</f>
        <v>0.33189251478339088</v>
      </c>
      <c r="V70" s="91">
        <f>'Model (Matrix)'!V67-'Model (SN)'!V67</f>
        <v>0.41340577370057474</v>
      </c>
    </row>
    <row r="71" spans="1:22" x14ac:dyDescent="0.25">
      <c r="A71" s="82"/>
      <c r="B71" s="63" t="s">
        <v>622</v>
      </c>
      <c r="C71" s="95"/>
      <c r="D71" s="91">
        <f>'Model (Matrix)'!D68-'Model (SN)'!D68</f>
        <v>0</v>
      </c>
      <c r="E71" s="91">
        <f>'Model (Matrix)'!E68-'Model (SN)'!E68</f>
        <v>0</v>
      </c>
      <c r="F71" s="91">
        <f>'Model (Matrix)'!F68-'Model (SN)'!F68</f>
        <v>0</v>
      </c>
      <c r="G71" s="91">
        <f>'Model (Matrix)'!G68-'Model (SN)'!G68</f>
        <v>0</v>
      </c>
      <c r="H71" s="91">
        <f>'Model (Matrix)'!H68-'Model (SN)'!H68</f>
        <v>0</v>
      </c>
      <c r="I71" s="91">
        <f>'Model (Matrix)'!I68-'Model (SN)'!I68</f>
        <v>0</v>
      </c>
      <c r="J71" s="91">
        <f>'Model (Matrix)'!J68-'Model (SN)'!J68</f>
        <v>0</v>
      </c>
      <c r="K71" s="91">
        <f>'Model (Matrix)'!K68-'Model (SN)'!K68</f>
        <v>0</v>
      </c>
      <c r="L71" s="91">
        <f>'Model (Matrix)'!L68-'Model (SN)'!L68</f>
        <v>0</v>
      </c>
      <c r="M71" s="91">
        <f>'Model (Matrix)'!M68-'Model (SN)'!M68</f>
        <v>0</v>
      </c>
      <c r="N71" s="91">
        <f>'Model (Matrix)'!N68-'Model (SN)'!N68</f>
        <v>0</v>
      </c>
      <c r="O71" s="91">
        <f>'Model (Matrix)'!O68-'Model (SN)'!O68</f>
        <v>0</v>
      </c>
      <c r="P71" s="91">
        <f>'Model (Matrix)'!P68-'Model (SN)'!P68</f>
        <v>0</v>
      </c>
      <c r="Q71" s="91">
        <f>'Model (Matrix)'!Q68-'Model (SN)'!Q68</f>
        <v>0</v>
      </c>
      <c r="R71" s="91">
        <f>'Model (Matrix)'!R68-'Model (SN)'!R68</f>
        <v>0</v>
      </c>
      <c r="S71" s="91">
        <f>'Model (Matrix)'!S68-'Model (SN)'!S68</f>
        <v>0</v>
      </c>
      <c r="T71" s="91">
        <f>'Model (Matrix)'!T68-'Model (SN)'!T68</f>
        <v>0</v>
      </c>
      <c r="U71" s="91">
        <f>'Model (Matrix)'!U68-'Model (SN)'!U68</f>
        <v>0</v>
      </c>
      <c r="V71" s="91">
        <f>'Model (Matrix)'!V68-'Model (SN)'!V68</f>
        <v>0</v>
      </c>
    </row>
    <row r="72" spans="1:22" x14ac:dyDescent="0.25">
      <c r="A72" s="82"/>
      <c r="B72" s="64" t="s">
        <v>146</v>
      </c>
      <c r="C72" s="95"/>
      <c r="D72" s="91">
        <f>'Model (Matrix)'!D69-'Model (SN)'!D69</f>
        <v>0</v>
      </c>
      <c r="E72" s="91">
        <f>'Model (Matrix)'!E69-'Model (SN)'!E69</f>
        <v>0</v>
      </c>
      <c r="F72" s="91">
        <f>'Model (Matrix)'!F69-'Model (SN)'!F69</f>
        <v>0</v>
      </c>
      <c r="G72" s="91">
        <f>'Model (Matrix)'!G69-'Model (SN)'!G69</f>
        <v>0</v>
      </c>
      <c r="H72" s="91">
        <f>'Model (Matrix)'!H69-'Model (SN)'!H69</f>
        <v>0</v>
      </c>
      <c r="I72" s="91">
        <f>'Model (Matrix)'!I69-'Model (SN)'!I69</f>
        <v>0</v>
      </c>
      <c r="J72" s="91">
        <f>'Model (Matrix)'!J69-'Model (SN)'!J69</f>
        <v>0</v>
      </c>
      <c r="K72" s="91">
        <f>'Model (Matrix)'!K69-'Model (SN)'!K69</f>
        <v>0</v>
      </c>
      <c r="L72" s="91">
        <f>'Model (Matrix)'!L69-'Model (SN)'!L69</f>
        <v>0</v>
      </c>
      <c r="M72" s="91">
        <f>'Model (Matrix)'!M69-'Model (SN)'!M69</f>
        <v>0</v>
      </c>
      <c r="N72" s="91">
        <f>'Model (Matrix)'!N69-'Model (SN)'!N69</f>
        <v>0.83609851999983675</v>
      </c>
      <c r="O72" s="91">
        <f>'Model (Matrix)'!O69-'Model (SN)'!O69</f>
        <v>1.115024478790815</v>
      </c>
      <c r="P72" s="91">
        <f>'Model (Matrix)'!P69-'Model (SN)'!P69</f>
        <v>1.3468121297843254</v>
      </c>
      <c r="Q72" s="91">
        <f>'Model (Matrix)'!Q69-'Model (SN)'!Q69</f>
        <v>1.5783218269801864</v>
      </c>
      <c r="R72" s="91">
        <f>'Model (Matrix)'!R69-'Model (SN)'!R69</f>
        <v>1.8134398872987276</v>
      </c>
      <c r="S72" s="91">
        <f>'Model (Matrix)'!S69-'Model (SN)'!S69</f>
        <v>2.0504095624507954</v>
      </c>
      <c r="T72" s="91">
        <f>'Model (Matrix)'!T69-'Model (SN)'!T69</f>
        <v>2.2874744022930145</v>
      </c>
      <c r="U72" s="91">
        <f>'Model (Matrix)'!U69-'Model (SN)'!U69</f>
        <v>2.5233003506123168</v>
      </c>
      <c r="V72" s="91">
        <f>'Model (Matrix)'!V69-'Model (SN)'!V69</f>
        <v>2.7568677596105999</v>
      </c>
    </row>
    <row r="73" spans="1:22" x14ac:dyDescent="0.25">
      <c r="A73" s="82"/>
      <c r="B73" s="98" t="s">
        <v>131</v>
      </c>
      <c r="C73" s="95"/>
      <c r="D73" s="91">
        <f>'Model (Matrix)'!D70-'Model (SN)'!D70</f>
        <v>0</v>
      </c>
      <c r="E73" s="91">
        <f>'Model (Matrix)'!E70-'Model (SN)'!E70</f>
        <v>0</v>
      </c>
      <c r="F73" s="91">
        <f>'Model (Matrix)'!F70-'Model (SN)'!F70</f>
        <v>0</v>
      </c>
      <c r="G73" s="91">
        <f>'Model (Matrix)'!G70-'Model (SN)'!G70</f>
        <v>0</v>
      </c>
      <c r="H73" s="100">
        <f>'Model (Matrix)'!H70-'Model (SN)'!H70</f>
        <v>0</v>
      </c>
      <c r="I73" s="100">
        <f>'Model (Matrix)'!I70-'Model (SN)'!I70</f>
        <v>0</v>
      </c>
      <c r="J73" s="100">
        <f>'Model (Matrix)'!J70-'Model (SN)'!J70</f>
        <v>0</v>
      </c>
      <c r="K73" s="100">
        <f>'Model (Matrix)'!K70-'Model (SN)'!K70</f>
        <v>0</v>
      </c>
      <c r="L73" s="100">
        <f>'Model (Matrix)'!L70-'Model (SN)'!L70</f>
        <v>0</v>
      </c>
      <c r="M73" s="100">
        <f>'Model (Matrix)'!M70-'Model (SN)'!M70</f>
        <v>9.4947972287372977</v>
      </c>
      <c r="N73" s="100">
        <f>'Model (Matrix)'!N70-'Model (SN)'!N70</f>
        <v>10.825212034056676</v>
      </c>
      <c r="O73" s="100">
        <f>'Model (Matrix)'!O70-'Model (SN)'!O70</f>
        <v>12.115564890907081</v>
      </c>
      <c r="P73" s="100">
        <f>'Model (Matrix)'!P70-'Model (SN)'!P70</f>
        <v>13.50872430311756</v>
      </c>
      <c r="Q73" s="100">
        <f>'Model (Matrix)'!Q70-'Model (SN)'!Q70</f>
        <v>15.000475431471386</v>
      </c>
      <c r="R73" s="100">
        <f>'Model (Matrix)'!R70-'Model (SN)'!R70</f>
        <v>16.555760166907021</v>
      </c>
      <c r="S73" s="100">
        <f>'Model (Matrix)'!S70-'Model (SN)'!S70</f>
        <v>18.147999969599368</v>
      </c>
      <c r="T73" s="100">
        <f>'Model (Matrix)'!T70-'Model (SN)'!T70</f>
        <v>19.758221123069234</v>
      </c>
      <c r="U73" s="100">
        <f>'Model (Matrix)'!U70-'Model (SN)'!U70</f>
        <v>21.37245716760026</v>
      </c>
      <c r="V73" s="100">
        <f>'Model (Matrix)'!V70-'Model (SN)'!V70</f>
        <v>22.980144351911804</v>
      </c>
    </row>
    <row r="74" spans="1:22" s="88" customFormat="1" x14ac:dyDescent="0.25">
      <c r="A74" s="89"/>
      <c r="C74" s="102"/>
      <c r="D74" s="103"/>
      <c r="E74" s="104"/>
      <c r="F74" s="104"/>
      <c r="G74" s="104"/>
      <c r="H74" s="176"/>
      <c r="I74" s="176"/>
      <c r="J74" s="176"/>
      <c r="K74" s="176"/>
      <c r="L74" s="176"/>
      <c r="M74" s="176"/>
      <c r="N74" s="176"/>
      <c r="O74" s="176"/>
      <c r="P74" s="176"/>
      <c r="Q74" s="176"/>
      <c r="R74" s="176"/>
      <c r="S74" s="176"/>
      <c r="T74" s="64"/>
      <c r="U74" s="64"/>
      <c r="V74" s="64"/>
    </row>
    <row r="75" spans="1:22" s="64" customFormat="1" x14ac:dyDescent="0.25">
      <c r="A75" s="82"/>
      <c r="B75" s="105"/>
      <c r="C75" s="106"/>
      <c r="D75" s="91"/>
      <c r="E75" s="176"/>
      <c r="F75" s="176"/>
      <c r="G75" s="176"/>
      <c r="H75" s="176"/>
      <c r="I75" s="176"/>
      <c r="J75" s="176"/>
      <c r="K75" s="176"/>
      <c r="L75" s="176"/>
      <c r="M75" s="176"/>
      <c r="N75" s="176"/>
      <c r="O75" s="176"/>
      <c r="P75" s="176"/>
      <c r="Q75" s="176"/>
      <c r="R75" s="176"/>
      <c r="S75" s="176"/>
    </row>
    <row r="76" spans="1:22" s="64" customFormat="1" x14ac:dyDescent="0.25">
      <c r="A76" s="82"/>
      <c r="B76" s="107" t="s">
        <v>156</v>
      </c>
      <c r="C76" s="93">
        <f t="shared" ref="C76:V76" si="0">ROUNDDOWN(SUM(C6:C8)+SUM(C15:C23)+SUM(C40:C52),0)</f>
        <v>0</v>
      </c>
      <c r="D76" s="108">
        <f t="shared" si="0"/>
        <v>0</v>
      </c>
      <c r="E76" s="108">
        <f t="shared" si="0"/>
        <v>0</v>
      </c>
      <c r="F76" s="108">
        <f t="shared" si="0"/>
        <v>0</v>
      </c>
      <c r="G76" s="108">
        <f t="shared" si="0"/>
        <v>0</v>
      </c>
      <c r="H76" s="108">
        <f t="shared" si="0"/>
        <v>0</v>
      </c>
      <c r="I76" s="108">
        <f t="shared" si="0"/>
        <v>0</v>
      </c>
      <c r="J76" s="108">
        <f t="shared" si="0"/>
        <v>0</v>
      </c>
      <c r="K76" s="108">
        <f t="shared" si="0"/>
        <v>0</v>
      </c>
      <c r="L76" s="108">
        <f t="shared" si="0"/>
        <v>64</v>
      </c>
      <c r="M76" s="109">
        <f t="shared" si="0"/>
        <v>113</v>
      </c>
      <c r="N76" s="108">
        <f t="shared" si="0"/>
        <v>158</v>
      </c>
      <c r="O76" s="108">
        <f t="shared" si="0"/>
        <v>200</v>
      </c>
      <c r="P76" s="108">
        <f t="shared" si="0"/>
        <v>240</v>
      </c>
      <c r="Q76" s="108">
        <f t="shared" si="0"/>
        <v>279</v>
      </c>
      <c r="R76" s="108">
        <f t="shared" si="0"/>
        <v>316</v>
      </c>
      <c r="S76" s="108">
        <f t="shared" si="0"/>
        <v>352</v>
      </c>
      <c r="T76" s="108">
        <f t="shared" si="0"/>
        <v>387</v>
      </c>
      <c r="U76" s="108">
        <f t="shared" si="0"/>
        <v>421</v>
      </c>
      <c r="V76" s="108">
        <f t="shared" si="0"/>
        <v>453</v>
      </c>
    </row>
    <row r="77" spans="1:22" s="64" customFormat="1" x14ac:dyDescent="0.25">
      <c r="A77" s="82"/>
      <c r="B77" s="107" t="s">
        <v>157</v>
      </c>
      <c r="C77" s="110">
        <f>9257096*0.57</f>
        <v>5276544.72</v>
      </c>
      <c r="D77" s="111">
        <f>9409991*0.58</f>
        <v>5457794.7799999993</v>
      </c>
      <c r="E77" s="111">
        <f>9564449*0.58</f>
        <v>5547380.4199999999</v>
      </c>
      <c r="F77" s="111">
        <f>9720086*0.59</f>
        <v>5734850.7399999993</v>
      </c>
      <c r="G77" s="111">
        <f>9876402*0.59</f>
        <v>5827077.1799999997</v>
      </c>
      <c r="H77" s="111">
        <f>10032619*0.58</f>
        <v>5818919.0199999996</v>
      </c>
      <c r="I77" s="111">
        <f>9958000*0.59</f>
        <v>5875220</v>
      </c>
      <c r="J77" s="111">
        <f>9958000*0.59</f>
        <v>5875220</v>
      </c>
      <c r="K77" s="111" t="e">
        <f>'Model (SC)'!#REF!</f>
        <v>#REF!</v>
      </c>
      <c r="L77" s="111" t="e">
        <f>'Model (SC)'!#REF!</f>
        <v>#REF!</v>
      </c>
      <c r="M77" s="111" t="e">
        <f>'Model (SC)'!#REF!</f>
        <v>#REF!</v>
      </c>
      <c r="N77" s="111" t="e">
        <f>'Model (SC)'!#REF!</f>
        <v>#REF!</v>
      </c>
      <c r="O77" s="111" t="e">
        <f>'Model (SC)'!#REF!</f>
        <v>#REF!</v>
      </c>
      <c r="P77" s="111" t="e">
        <f>'Model (SC)'!#REF!</f>
        <v>#REF!</v>
      </c>
      <c r="Q77" s="111" t="e">
        <f>'Model (SC)'!#REF!</f>
        <v>#REF!</v>
      </c>
      <c r="R77" s="111" t="e">
        <f>'Model (SC)'!#REF!</f>
        <v>#REF!</v>
      </c>
      <c r="S77" s="111" t="e">
        <f>'Model (SC)'!#REF!</f>
        <v>#REF!</v>
      </c>
      <c r="T77" s="111" t="e">
        <f>'Model (SC)'!#REF!</f>
        <v>#REF!</v>
      </c>
      <c r="U77" s="111" t="e">
        <f>'Model (SC)'!#REF!</f>
        <v>#REF!</v>
      </c>
      <c r="V77" s="111" t="e">
        <f>'Model (SC)'!#REF!</f>
        <v>#REF!</v>
      </c>
    </row>
    <row r="78" spans="1:22" s="116" customFormat="1" x14ac:dyDescent="0.25">
      <c r="A78" s="112"/>
      <c r="B78" s="113" t="s">
        <v>158</v>
      </c>
      <c r="C78" s="114">
        <f t="shared" ref="C78:V78" si="1">C76/C77</f>
        <v>0</v>
      </c>
      <c r="D78" s="115">
        <f t="shared" si="1"/>
        <v>0</v>
      </c>
      <c r="E78" s="115">
        <f t="shared" si="1"/>
        <v>0</v>
      </c>
      <c r="F78" s="115">
        <f t="shared" si="1"/>
        <v>0</v>
      </c>
      <c r="G78" s="115">
        <f t="shared" si="1"/>
        <v>0</v>
      </c>
      <c r="H78" s="115">
        <f t="shared" si="1"/>
        <v>0</v>
      </c>
      <c r="I78" s="115">
        <f t="shared" si="1"/>
        <v>0</v>
      </c>
      <c r="J78" s="115">
        <f t="shared" si="1"/>
        <v>0</v>
      </c>
      <c r="K78" s="115" t="e">
        <f t="shared" si="1"/>
        <v>#REF!</v>
      </c>
      <c r="L78" s="115" t="e">
        <f t="shared" si="1"/>
        <v>#REF!</v>
      </c>
      <c r="M78" s="115" t="e">
        <f t="shared" si="1"/>
        <v>#REF!</v>
      </c>
      <c r="N78" s="115" t="e">
        <f t="shared" si="1"/>
        <v>#REF!</v>
      </c>
      <c r="O78" s="115" t="e">
        <f t="shared" si="1"/>
        <v>#REF!</v>
      </c>
      <c r="P78" s="115" t="e">
        <f t="shared" si="1"/>
        <v>#REF!</v>
      </c>
      <c r="Q78" s="115" t="e">
        <f t="shared" si="1"/>
        <v>#REF!</v>
      </c>
      <c r="R78" s="115" t="e">
        <f t="shared" si="1"/>
        <v>#REF!</v>
      </c>
      <c r="S78" s="115" t="e">
        <f t="shared" si="1"/>
        <v>#REF!</v>
      </c>
      <c r="T78" s="115" t="e">
        <f t="shared" si="1"/>
        <v>#REF!</v>
      </c>
      <c r="U78" s="115" t="e">
        <f t="shared" si="1"/>
        <v>#REF!</v>
      </c>
      <c r="V78" s="115" t="e">
        <f t="shared" si="1"/>
        <v>#REF!</v>
      </c>
    </row>
    <row r="79" spans="1:22" x14ac:dyDescent="0.25">
      <c r="C79" s="117"/>
      <c r="D79" s="226"/>
      <c r="E79" s="226"/>
      <c r="F79" s="226"/>
      <c r="G79" s="226"/>
      <c r="H79" s="176"/>
      <c r="I79" s="176"/>
      <c r="J79" s="176"/>
      <c r="K79" s="176"/>
      <c r="L79" s="176"/>
      <c r="M79" s="176"/>
      <c r="N79" s="176"/>
      <c r="O79" s="176"/>
      <c r="P79" s="176"/>
      <c r="Q79" s="176"/>
      <c r="R79" s="176"/>
      <c r="S79" s="104"/>
      <c r="T79" s="64"/>
    </row>
    <row r="80" spans="1:22" x14ac:dyDescent="0.25">
      <c r="A80" s="127" t="s">
        <v>159</v>
      </c>
      <c r="C80" s="117"/>
      <c r="D80" s="226"/>
      <c r="E80" s="226"/>
      <c r="F80" s="226"/>
      <c r="G80" s="226"/>
      <c r="H80" s="176"/>
      <c r="I80" s="176"/>
      <c r="J80" s="176"/>
      <c r="K80" s="176"/>
      <c r="L80" s="176"/>
      <c r="M80" s="176"/>
      <c r="N80" s="176"/>
      <c r="O80" s="176"/>
      <c r="P80" s="176"/>
      <c r="Q80" s="176"/>
      <c r="R80" s="176"/>
      <c r="S80" s="176"/>
      <c r="T80" s="64"/>
    </row>
    <row r="81" spans="1:20" x14ac:dyDescent="0.25">
      <c r="A81" s="118" t="s">
        <v>160</v>
      </c>
      <c r="C81" s="117"/>
      <c r="D81" s="226"/>
      <c r="E81" s="226"/>
      <c r="F81" s="226"/>
      <c r="G81" s="226"/>
      <c r="H81" s="176"/>
      <c r="I81" s="176"/>
      <c r="J81" s="176"/>
      <c r="K81" s="176"/>
      <c r="L81" s="176"/>
      <c r="M81" s="176"/>
      <c r="N81" s="176"/>
      <c r="O81" s="176"/>
      <c r="P81" s="176"/>
      <c r="Q81" s="176"/>
      <c r="R81" s="176"/>
      <c r="S81" s="176"/>
      <c r="T81" s="64"/>
    </row>
    <row r="82" spans="1:20" x14ac:dyDescent="0.25">
      <c r="C82" s="117"/>
      <c r="D82" s="226"/>
      <c r="E82" s="226"/>
      <c r="F82" s="226"/>
      <c r="G82" s="226"/>
      <c r="H82" s="176"/>
      <c r="I82" s="176"/>
      <c r="J82" s="176"/>
      <c r="K82" s="176"/>
      <c r="L82" s="176"/>
      <c r="M82" s="176"/>
      <c r="N82" s="176"/>
      <c r="O82" s="176"/>
      <c r="P82" s="176"/>
      <c r="Q82" s="176"/>
      <c r="R82" s="176"/>
      <c r="S82" s="176"/>
      <c r="T82" s="64"/>
    </row>
    <row r="83" spans="1:20" x14ac:dyDescent="0.25">
      <c r="A83" s="128" t="s">
        <v>161</v>
      </c>
      <c r="B83" s="226"/>
      <c r="C83" s="119"/>
      <c r="D83" s="226"/>
      <c r="E83" s="226"/>
      <c r="F83" s="226"/>
      <c r="G83" s="226"/>
      <c r="H83" s="176"/>
      <c r="I83" s="176"/>
      <c r="J83" s="176"/>
      <c r="K83" s="176"/>
      <c r="L83" s="176"/>
      <c r="M83" s="176"/>
      <c r="N83" s="176"/>
      <c r="O83" s="176"/>
      <c r="P83" s="176"/>
      <c r="Q83" s="176"/>
      <c r="R83" s="176"/>
      <c r="S83" s="176"/>
      <c r="T83" s="64"/>
    </row>
    <row r="84" spans="1:20" x14ac:dyDescent="0.25">
      <c r="A84" s="120"/>
      <c r="B84" s="121" t="s">
        <v>162</v>
      </c>
      <c r="C84" s="117"/>
      <c r="D84" s="226"/>
      <c r="E84" s="226"/>
      <c r="F84" s="226"/>
      <c r="G84" s="226"/>
      <c r="H84" s="176"/>
      <c r="I84" s="176"/>
      <c r="J84" s="176"/>
      <c r="K84" s="176"/>
      <c r="L84" s="176"/>
      <c r="M84" s="176"/>
      <c r="N84" s="176"/>
      <c r="O84" s="176"/>
      <c r="P84" s="176"/>
      <c r="Q84" s="176"/>
      <c r="R84" s="176"/>
      <c r="S84" s="176"/>
      <c r="T84" s="64"/>
    </row>
  </sheetData>
  <mergeCells count="2">
    <mergeCell ref="C2:K2"/>
    <mergeCell ref="L2:V2"/>
  </mergeCells>
  <printOptions horizontalCentered="1"/>
  <pageMargins left="0.5" right="0.5" top="0.75" bottom="0.75" header="0.3" footer="0.3"/>
  <pageSetup scale="77"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V84"/>
  <sheetViews>
    <sheetView zoomScaleNormal="100" workbookViewId="0">
      <pane xSplit="2" ySplit="4" topLeftCell="C58" activePane="bottomRight" state="frozen"/>
      <selection pane="topRight" activeCell="C1" sqref="C1"/>
      <selection pane="bottomLeft" activeCell="A3" sqref="A3"/>
      <selection pane="bottomRight" activeCell="C85" sqref="C85"/>
    </sheetView>
  </sheetViews>
  <sheetFormatPr defaultColWidth="9.140625" defaultRowHeight="15" x14ac:dyDescent="0.25"/>
  <cols>
    <col min="1" max="1" width="2.7109375" style="127" customWidth="1"/>
    <col min="2" max="2" width="53.5703125" style="127" customWidth="1"/>
    <col min="3" max="3" width="10.42578125" style="265" customWidth="1"/>
    <col min="4" max="4" width="10.42578125" style="127" customWidth="1"/>
    <col min="5" max="7" width="12.140625" style="127" customWidth="1"/>
    <col min="8" max="8" width="12.140625" style="64" customWidth="1"/>
    <col min="9" max="9" width="12" style="127" customWidth="1"/>
    <col min="10" max="12" width="10.42578125" style="127" customWidth="1"/>
    <col min="13" max="13" width="10.42578125" style="64" customWidth="1"/>
    <col min="14" max="14" width="11.5703125" style="64" customWidth="1"/>
    <col min="15" max="17" width="11.5703125" style="127" customWidth="1"/>
    <col min="18" max="18" width="11.5703125" style="64" customWidth="1"/>
    <col min="19" max="19" width="10.42578125" style="127" customWidth="1"/>
    <col min="20" max="16384" width="9.140625" style="127"/>
  </cols>
  <sheetData>
    <row r="1" spans="1:22" s="5" customFormat="1" x14ac:dyDescent="0.25">
      <c r="A1" s="74" t="s">
        <v>104</v>
      </c>
      <c r="B1" s="75"/>
      <c r="C1" s="76"/>
      <c r="D1" s="75"/>
      <c r="E1" s="75"/>
      <c r="F1" s="75"/>
      <c r="G1" s="75"/>
      <c r="H1" s="75"/>
      <c r="I1" s="75"/>
      <c r="J1" s="75"/>
      <c r="K1" s="75"/>
      <c r="L1" s="75"/>
      <c r="M1" s="75"/>
      <c r="N1" s="75"/>
      <c r="O1" s="75"/>
      <c r="P1" s="75"/>
      <c r="Q1" s="75"/>
      <c r="R1" s="75"/>
    </row>
    <row r="2" spans="1:22" s="13" customFormat="1" x14ac:dyDescent="0.25">
      <c r="A2" s="78"/>
      <c r="B2" s="123" t="s">
        <v>888</v>
      </c>
      <c r="C2" s="352" t="s">
        <v>105</v>
      </c>
      <c r="D2" s="353"/>
      <c r="E2" s="353"/>
      <c r="F2" s="353"/>
      <c r="G2" s="353"/>
      <c r="H2" s="353"/>
      <c r="I2" s="353"/>
      <c r="J2" s="353"/>
      <c r="K2" s="353"/>
      <c r="L2" s="354" t="s">
        <v>106</v>
      </c>
      <c r="M2" s="355"/>
      <c r="N2" s="355"/>
      <c r="O2" s="355"/>
      <c r="P2" s="355"/>
      <c r="Q2" s="355"/>
      <c r="R2" s="355"/>
      <c r="S2" s="355"/>
      <c r="T2" s="355"/>
      <c r="U2" s="355"/>
      <c r="V2" s="355"/>
    </row>
    <row r="3" spans="1:22" s="137" customFormat="1" x14ac:dyDescent="0.25">
      <c r="A3" s="134"/>
      <c r="B3" s="135"/>
      <c r="C3" s="79">
        <v>2004</v>
      </c>
      <c r="D3" s="80">
        <v>2005</v>
      </c>
      <c r="E3" s="80">
        <v>2006</v>
      </c>
      <c r="F3" s="80">
        <v>2007</v>
      </c>
      <c r="G3" s="80">
        <v>2008</v>
      </c>
      <c r="H3" s="80">
        <v>2009</v>
      </c>
      <c r="I3" s="80">
        <v>2010</v>
      </c>
      <c r="J3" s="80">
        <v>2011</v>
      </c>
      <c r="K3" s="80">
        <v>2012</v>
      </c>
      <c r="L3" s="80">
        <v>2013</v>
      </c>
      <c r="M3" s="80">
        <v>2014</v>
      </c>
      <c r="N3" s="80">
        <v>2015</v>
      </c>
      <c r="O3" s="80">
        <v>2016</v>
      </c>
      <c r="P3" s="80">
        <v>2017</v>
      </c>
      <c r="Q3" s="80">
        <v>2018</v>
      </c>
      <c r="R3" s="80">
        <v>2019</v>
      </c>
      <c r="S3" s="80">
        <v>2020</v>
      </c>
      <c r="T3" s="80">
        <v>2021</v>
      </c>
      <c r="U3" s="80">
        <v>2022</v>
      </c>
      <c r="V3" s="80">
        <v>2023</v>
      </c>
    </row>
    <row r="4" spans="1:22" x14ac:dyDescent="0.25">
      <c r="A4" s="82"/>
      <c r="B4" s="64"/>
      <c r="C4" s="83" t="s">
        <v>107</v>
      </c>
      <c r="D4" s="84" t="s">
        <v>108</v>
      </c>
      <c r="E4" s="84" t="s">
        <v>109</v>
      </c>
      <c r="F4" s="84" t="s">
        <v>110</v>
      </c>
      <c r="G4" s="84" t="s">
        <v>111</v>
      </c>
      <c r="H4" s="84" t="s">
        <v>112</v>
      </c>
      <c r="I4" s="84" t="s">
        <v>113</v>
      </c>
      <c r="J4" s="84" t="s">
        <v>114</v>
      </c>
      <c r="K4" s="84" t="s">
        <v>115</v>
      </c>
      <c r="L4" s="84" t="s">
        <v>116</v>
      </c>
      <c r="M4" s="84" t="s">
        <v>117</v>
      </c>
      <c r="N4" s="205" t="s">
        <v>118</v>
      </c>
      <c r="O4" s="205" t="s">
        <v>119</v>
      </c>
      <c r="P4" s="84" t="s">
        <v>120</v>
      </c>
      <c r="Q4" s="84" t="s">
        <v>121</v>
      </c>
      <c r="R4" s="84" t="s">
        <v>122</v>
      </c>
      <c r="S4" s="84" t="s">
        <v>123</v>
      </c>
      <c r="T4" s="84" t="s">
        <v>450</v>
      </c>
      <c r="U4" s="84" t="s">
        <v>451</v>
      </c>
      <c r="V4" s="84" t="s">
        <v>452</v>
      </c>
    </row>
    <row r="5" spans="1:22" x14ac:dyDescent="0.25">
      <c r="A5" s="86" t="s">
        <v>313</v>
      </c>
      <c r="B5" s="64"/>
      <c r="C5" s="87"/>
      <c r="D5" s="88"/>
      <c r="E5" s="88"/>
      <c r="F5" s="88"/>
      <c r="G5" s="88"/>
      <c r="H5" s="88"/>
      <c r="I5" s="64"/>
      <c r="J5" s="88"/>
      <c r="K5" s="88"/>
      <c r="L5" s="88"/>
      <c r="M5" s="88"/>
      <c r="O5" s="64"/>
      <c r="P5" s="88"/>
      <c r="Q5" s="88"/>
      <c r="R5" s="88"/>
      <c r="S5" s="88"/>
      <c r="T5" s="64"/>
      <c r="V5" s="64"/>
    </row>
    <row r="6" spans="1:22" x14ac:dyDescent="0.25">
      <c r="A6" s="82"/>
      <c r="B6" s="64" t="s">
        <v>124</v>
      </c>
      <c r="C6" s="91">
        <f>'Model (Matrix)'!C3-'Model (SC)'!C3</f>
        <v>0</v>
      </c>
      <c r="D6" s="91">
        <f>'Model (Matrix)'!D3-'Model (SC)'!D3</f>
        <v>0</v>
      </c>
      <c r="E6" s="91">
        <f>'Model (Matrix)'!E3-'Model (SC)'!E3</f>
        <v>0</v>
      </c>
      <c r="F6" s="91">
        <f>'Model (Matrix)'!F3-'Model (SC)'!F3</f>
        <v>0</v>
      </c>
      <c r="G6" s="91">
        <f>'Model (Matrix)'!G3-'Model (SC)'!G3</f>
        <v>0</v>
      </c>
      <c r="H6" s="91">
        <f>'Model (Matrix)'!H3-'Model (SC)'!H3</f>
        <v>0</v>
      </c>
      <c r="I6" s="91">
        <f>'Model (Matrix)'!I3-'Model (SC)'!I3</f>
        <v>0</v>
      </c>
      <c r="J6" s="91">
        <f>'Model (Matrix)'!J3-'Model (SC)'!J3</f>
        <v>0</v>
      </c>
      <c r="K6" s="91">
        <f>'Model (Matrix)'!K3-'Model (SC)'!K3</f>
        <v>0</v>
      </c>
      <c r="L6" s="91">
        <f>'Model (Matrix)'!L3-'Model (SC)'!L3</f>
        <v>0</v>
      </c>
      <c r="M6" s="91">
        <f>'Model (Matrix)'!M3-'Model (SC)'!M3</f>
        <v>0</v>
      </c>
      <c r="N6" s="91">
        <f>'Model (Matrix)'!N3-'Model (SC)'!N3</f>
        <v>0</v>
      </c>
      <c r="O6" s="91">
        <f>'Model (Matrix)'!O3-'Model (SC)'!O3</f>
        <v>0</v>
      </c>
      <c r="P6" s="91">
        <f>'Model (Matrix)'!P3-'Model (SC)'!P3</f>
        <v>0</v>
      </c>
      <c r="Q6" s="91">
        <f>'Model (Matrix)'!Q3-'Model (SC)'!Q3</f>
        <v>0</v>
      </c>
      <c r="R6" s="91">
        <f>'Model (Matrix)'!R3-'Model (SC)'!R3</f>
        <v>0</v>
      </c>
      <c r="S6" s="91">
        <f>'Model (Matrix)'!S3-'Model (SC)'!S3</f>
        <v>0</v>
      </c>
      <c r="T6" s="91">
        <f>'Model (Matrix)'!T3-'Model (SC)'!T3</f>
        <v>0</v>
      </c>
      <c r="U6" s="91">
        <f>'Model (Matrix)'!U3-'Model (SC)'!U3</f>
        <v>0</v>
      </c>
      <c r="V6" s="91">
        <f>'Model (Matrix)'!V3-'Model (SC)'!V3</f>
        <v>0</v>
      </c>
    </row>
    <row r="7" spans="1:22" x14ac:dyDescent="0.25">
      <c r="A7" s="82"/>
      <c r="B7" s="64" t="s">
        <v>125</v>
      </c>
      <c r="C7" s="91">
        <f>'Model (Matrix)'!C4-'Model (SC)'!C4</f>
        <v>0</v>
      </c>
      <c r="D7" s="91">
        <f>'Model (Matrix)'!D4-'Model (SC)'!D4</f>
        <v>0</v>
      </c>
      <c r="E7" s="91">
        <f>'Model (Matrix)'!E4-'Model (SC)'!E4</f>
        <v>0</v>
      </c>
      <c r="F7" s="91">
        <f>'Model (Matrix)'!F4-'Model (SC)'!F4</f>
        <v>0</v>
      </c>
      <c r="G7" s="91">
        <f>'Model (Matrix)'!G4-'Model (SC)'!G4</f>
        <v>0</v>
      </c>
      <c r="H7" s="91">
        <f>'Model (Matrix)'!H4-'Model (SC)'!H4</f>
        <v>0</v>
      </c>
      <c r="I7" s="91">
        <f>'Model (Matrix)'!I4-'Model (SC)'!I4</f>
        <v>0</v>
      </c>
      <c r="J7" s="91">
        <f>'Model (Matrix)'!J4-'Model (SC)'!J4</f>
        <v>0</v>
      </c>
      <c r="K7" s="91">
        <f>'Model (Matrix)'!K4-'Model (SC)'!K4</f>
        <v>0</v>
      </c>
      <c r="L7" s="91">
        <f>'Model (Matrix)'!L4-'Model (SC)'!L4</f>
        <v>0</v>
      </c>
      <c r="M7" s="91">
        <f>'Model (Matrix)'!M4-'Model (SC)'!M4</f>
        <v>0</v>
      </c>
      <c r="N7" s="91">
        <f>'Model (Matrix)'!N4-'Model (SC)'!N4</f>
        <v>0</v>
      </c>
      <c r="O7" s="91">
        <f>'Model (Matrix)'!O4-'Model (SC)'!O4</f>
        <v>0</v>
      </c>
      <c r="P7" s="91">
        <f>'Model (Matrix)'!P4-'Model (SC)'!P4</f>
        <v>0</v>
      </c>
      <c r="Q7" s="91">
        <f>'Model (Matrix)'!Q4-'Model (SC)'!Q4</f>
        <v>0</v>
      </c>
      <c r="R7" s="91">
        <f>'Model (Matrix)'!R4-'Model (SC)'!R4</f>
        <v>0</v>
      </c>
      <c r="S7" s="91">
        <f>'Model (Matrix)'!S4-'Model (SC)'!S4</f>
        <v>0</v>
      </c>
      <c r="T7" s="91">
        <f>'Model (Matrix)'!T4-'Model (SC)'!T4</f>
        <v>0</v>
      </c>
      <c r="U7" s="91">
        <f>'Model (Matrix)'!U4-'Model (SC)'!U4</f>
        <v>0</v>
      </c>
      <c r="V7" s="91">
        <f>'Model (Matrix)'!V4-'Model (SC)'!V4</f>
        <v>0</v>
      </c>
    </row>
    <row r="8" spans="1:22" x14ac:dyDescent="0.25">
      <c r="A8" s="82"/>
      <c r="B8" s="64" t="s">
        <v>126</v>
      </c>
      <c r="C8" s="91">
        <f>'Model (Matrix)'!C5-'Model (SC)'!C5</f>
        <v>0</v>
      </c>
      <c r="D8" s="91">
        <f>'Model (Matrix)'!D5-'Model (SC)'!D5</f>
        <v>0</v>
      </c>
      <c r="E8" s="91">
        <f>'Model (Matrix)'!E5-'Model (SC)'!E5</f>
        <v>0</v>
      </c>
      <c r="F8" s="91">
        <f>'Model (Matrix)'!F5-'Model (SC)'!F5</f>
        <v>0</v>
      </c>
      <c r="G8" s="91">
        <f>'Model (Matrix)'!G5-'Model (SC)'!G5</f>
        <v>0</v>
      </c>
      <c r="H8" s="91">
        <f>'Model (Matrix)'!H5-'Model (SC)'!H5</f>
        <v>0</v>
      </c>
      <c r="I8" s="91">
        <f>'Model (Matrix)'!I5-'Model (SC)'!I5</f>
        <v>0</v>
      </c>
      <c r="J8" s="91">
        <f>'Model (Matrix)'!J5-'Model (SC)'!J5</f>
        <v>0</v>
      </c>
      <c r="K8" s="91">
        <f>'Model (Matrix)'!K5-'Model (SC)'!K5</f>
        <v>0</v>
      </c>
      <c r="L8" s="91">
        <f>'Model (Matrix)'!L5-'Model (SC)'!L5</f>
        <v>0</v>
      </c>
      <c r="M8" s="91">
        <f>'Model (Matrix)'!M5-'Model (SC)'!M5</f>
        <v>0</v>
      </c>
      <c r="N8" s="91">
        <f>'Model (Matrix)'!N5-'Model (SC)'!N5</f>
        <v>0</v>
      </c>
      <c r="O8" s="91">
        <f>'Model (Matrix)'!O5-'Model (SC)'!O5</f>
        <v>0</v>
      </c>
      <c r="P8" s="91">
        <f>'Model (Matrix)'!P5-'Model (SC)'!P5</f>
        <v>0</v>
      </c>
      <c r="Q8" s="91">
        <f>'Model (Matrix)'!Q5-'Model (SC)'!Q5</f>
        <v>0</v>
      </c>
      <c r="R8" s="91">
        <f>'Model (Matrix)'!R5-'Model (SC)'!R5</f>
        <v>0</v>
      </c>
      <c r="S8" s="91">
        <f>'Model (Matrix)'!S5-'Model (SC)'!S5</f>
        <v>0</v>
      </c>
      <c r="T8" s="91">
        <f>'Model (Matrix)'!T5-'Model (SC)'!T5</f>
        <v>0</v>
      </c>
      <c r="U8" s="91">
        <f>'Model (Matrix)'!U5-'Model (SC)'!U5</f>
        <v>0</v>
      </c>
      <c r="V8" s="91">
        <f>'Model (Matrix)'!V5-'Model (SC)'!V5</f>
        <v>0</v>
      </c>
    </row>
    <row r="9" spans="1:22" x14ac:dyDescent="0.25">
      <c r="A9" s="82"/>
      <c r="B9" s="64" t="s">
        <v>127</v>
      </c>
      <c r="C9" s="91">
        <f>'Model (Matrix)'!C6-'Model (SC)'!C6</f>
        <v>0</v>
      </c>
      <c r="D9" s="91">
        <f>'Model (Matrix)'!D6-'Model (SC)'!D6</f>
        <v>0</v>
      </c>
      <c r="E9" s="91">
        <f>'Model (Matrix)'!E6-'Model (SC)'!E6</f>
        <v>0</v>
      </c>
      <c r="F9" s="91">
        <f>'Model (Matrix)'!F6-'Model (SC)'!F6</f>
        <v>0</v>
      </c>
      <c r="G9" s="91">
        <f>'Model (Matrix)'!G6-'Model (SC)'!G6</f>
        <v>0</v>
      </c>
      <c r="H9" s="91">
        <f>'Model (Matrix)'!H6-'Model (SC)'!H6</f>
        <v>0</v>
      </c>
      <c r="I9" s="91">
        <f>'Model (Matrix)'!I6-'Model (SC)'!I6</f>
        <v>0</v>
      </c>
      <c r="J9" s="91">
        <f>'Model (Matrix)'!J6-'Model (SC)'!J6</f>
        <v>0</v>
      </c>
      <c r="K9" s="91">
        <f>'Model (Matrix)'!K6-'Model (SC)'!K6</f>
        <v>0</v>
      </c>
      <c r="L9" s="91">
        <f>'Model (Matrix)'!L6-'Model (SC)'!L6</f>
        <v>0</v>
      </c>
      <c r="M9" s="91">
        <f>'Model (Matrix)'!M6-'Model (SC)'!M6</f>
        <v>0</v>
      </c>
      <c r="N9" s="91">
        <f>'Model (Matrix)'!N6-'Model (SC)'!N6</f>
        <v>0</v>
      </c>
      <c r="O9" s="91">
        <f>'Model (Matrix)'!O6-'Model (SC)'!O6</f>
        <v>0</v>
      </c>
      <c r="P9" s="91">
        <f>'Model (Matrix)'!P6-'Model (SC)'!P6</f>
        <v>0</v>
      </c>
      <c r="Q9" s="91">
        <f>'Model (Matrix)'!Q6-'Model (SC)'!Q6</f>
        <v>0</v>
      </c>
      <c r="R9" s="91">
        <f>'Model (Matrix)'!R6-'Model (SC)'!R6</f>
        <v>0</v>
      </c>
      <c r="S9" s="91">
        <f>'Model (Matrix)'!S6-'Model (SC)'!S6</f>
        <v>0</v>
      </c>
      <c r="T9" s="91">
        <f>'Model (Matrix)'!T6-'Model (SC)'!T6</f>
        <v>0</v>
      </c>
      <c r="U9" s="91">
        <f>'Model (Matrix)'!U6-'Model (SC)'!U6</f>
        <v>0</v>
      </c>
      <c r="V9" s="91">
        <f>'Model (Matrix)'!V6-'Model (SC)'!V6</f>
        <v>0</v>
      </c>
    </row>
    <row r="10" spans="1:22" x14ac:dyDescent="0.25">
      <c r="A10" s="82"/>
      <c r="B10" s="63" t="s">
        <v>128</v>
      </c>
      <c r="C10" s="91">
        <f>'Model (Matrix)'!C7-'Model (SC)'!C7</f>
        <v>0</v>
      </c>
      <c r="D10" s="91">
        <f>'Model (Matrix)'!D7-'Model (SC)'!D7</f>
        <v>0</v>
      </c>
      <c r="E10" s="91">
        <f>'Model (Matrix)'!E7-'Model (SC)'!E7</f>
        <v>0</v>
      </c>
      <c r="F10" s="91">
        <f>'Model (Matrix)'!F7-'Model (SC)'!F7</f>
        <v>0</v>
      </c>
      <c r="G10" s="91">
        <f>'Model (Matrix)'!G7-'Model (SC)'!G7</f>
        <v>0</v>
      </c>
      <c r="H10" s="91">
        <f>'Model (Matrix)'!H7-'Model (SC)'!H7</f>
        <v>0</v>
      </c>
      <c r="I10" s="91">
        <f>'Model (Matrix)'!I7-'Model (SC)'!I7</f>
        <v>0</v>
      </c>
      <c r="J10" s="91">
        <f>'Model (Matrix)'!J7-'Model (SC)'!J7</f>
        <v>0</v>
      </c>
      <c r="K10" s="91">
        <f>'Model (Matrix)'!K7-'Model (SC)'!K7</f>
        <v>0</v>
      </c>
      <c r="L10" s="91">
        <f>'Model (Matrix)'!L7-'Model (SC)'!L7</f>
        <v>0</v>
      </c>
      <c r="M10" s="91">
        <f>'Model (Matrix)'!M7-'Model (SC)'!M7</f>
        <v>0</v>
      </c>
      <c r="N10" s="91">
        <f>'Model (Matrix)'!N7-'Model (SC)'!N7</f>
        <v>0</v>
      </c>
      <c r="O10" s="91">
        <f>'Model (Matrix)'!O7-'Model (SC)'!O7</f>
        <v>0</v>
      </c>
      <c r="P10" s="91">
        <f>'Model (Matrix)'!P7-'Model (SC)'!P7</f>
        <v>0</v>
      </c>
      <c r="Q10" s="91">
        <f>'Model (Matrix)'!Q7-'Model (SC)'!Q7</f>
        <v>0</v>
      </c>
      <c r="R10" s="91">
        <f>'Model (Matrix)'!R7-'Model (SC)'!R7</f>
        <v>0</v>
      </c>
      <c r="S10" s="91">
        <f>'Model (Matrix)'!S7-'Model (SC)'!S7</f>
        <v>0</v>
      </c>
      <c r="T10" s="91">
        <f>'Model (Matrix)'!T7-'Model (SC)'!T7</f>
        <v>0</v>
      </c>
      <c r="U10" s="91">
        <f>'Model (Matrix)'!U7-'Model (SC)'!U7</f>
        <v>0</v>
      </c>
      <c r="V10" s="91">
        <f>'Model (Matrix)'!V7-'Model (SC)'!V7</f>
        <v>0</v>
      </c>
    </row>
    <row r="11" spans="1:22" x14ac:dyDescent="0.25">
      <c r="A11" s="82"/>
      <c r="B11" s="63" t="s">
        <v>129</v>
      </c>
      <c r="C11" s="91">
        <f>'Model (Matrix)'!C8-'Model (SC)'!C8</f>
        <v>0</v>
      </c>
      <c r="D11" s="91">
        <f>'Model (Matrix)'!D8-'Model (SC)'!D8</f>
        <v>0</v>
      </c>
      <c r="E11" s="91">
        <f>'Model (Matrix)'!E8-'Model (SC)'!E8</f>
        <v>0</v>
      </c>
      <c r="F11" s="91">
        <f>'Model (Matrix)'!F8-'Model (SC)'!F8</f>
        <v>0</v>
      </c>
      <c r="G11" s="91">
        <f>'Model (Matrix)'!G8-'Model (SC)'!G8</f>
        <v>0</v>
      </c>
      <c r="H11" s="91">
        <f>'Model (Matrix)'!H8-'Model (SC)'!H8</f>
        <v>0</v>
      </c>
      <c r="I11" s="91">
        <f>'Model (Matrix)'!I8-'Model (SC)'!I8</f>
        <v>0</v>
      </c>
      <c r="J11" s="91">
        <f>'Model (Matrix)'!J8-'Model (SC)'!J8</f>
        <v>0</v>
      </c>
      <c r="K11" s="91">
        <f>'Model (Matrix)'!K8-'Model (SC)'!K8</f>
        <v>0</v>
      </c>
      <c r="L11" s="91">
        <f>'Model (Matrix)'!L8-'Model (SC)'!L8</f>
        <v>0</v>
      </c>
      <c r="M11" s="91">
        <f>'Model (Matrix)'!M8-'Model (SC)'!M8</f>
        <v>0</v>
      </c>
      <c r="N11" s="91">
        <f>'Model (Matrix)'!N8-'Model (SC)'!N8</f>
        <v>0</v>
      </c>
      <c r="O11" s="91">
        <f>'Model (Matrix)'!O8-'Model (SC)'!O8</f>
        <v>0</v>
      </c>
      <c r="P11" s="91">
        <f>'Model (Matrix)'!P8-'Model (SC)'!P8</f>
        <v>0</v>
      </c>
      <c r="Q11" s="91">
        <f>'Model (Matrix)'!Q8-'Model (SC)'!Q8</f>
        <v>0</v>
      </c>
      <c r="R11" s="91">
        <f>'Model (Matrix)'!R8-'Model (SC)'!R8</f>
        <v>0</v>
      </c>
      <c r="S11" s="91">
        <f>'Model (Matrix)'!S8-'Model (SC)'!S8</f>
        <v>0</v>
      </c>
      <c r="T11" s="91">
        <f>'Model (Matrix)'!T8-'Model (SC)'!T8</f>
        <v>0</v>
      </c>
      <c r="U11" s="91">
        <f>'Model (Matrix)'!U8-'Model (SC)'!U8</f>
        <v>0</v>
      </c>
      <c r="V11" s="91">
        <f>'Model (Matrix)'!V8-'Model (SC)'!V8</f>
        <v>0</v>
      </c>
    </row>
    <row r="12" spans="1:22" x14ac:dyDescent="0.25">
      <c r="A12" s="82"/>
      <c r="B12" s="63" t="s">
        <v>130</v>
      </c>
      <c r="C12" s="91">
        <f>'Model (Matrix)'!C9-'Model (SC)'!C9</f>
        <v>0</v>
      </c>
      <c r="D12" s="91">
        <f>'Model (Matrix)'!D9-'Model (SC)'!D9</f>
        <v>0</v>
      </c>
      <c r="E12" s="91">
        <f>'Model (Matrix)'!E9-'Model (SC)'!E9</f>
        <v>0</v>
      </c>
      <c r="F12" s="91">
        <f>'Model (Matrix)'!F9-'Model (SC)'!F9</f>
        <v>0</v>
      </c>
      <c r="G12" s="91">
        <f>'Model (Matrix)'!G9-'Model (SC)'!G9</f>
        <v>0</v>
      </c>
      <c r="H12" s="91">
        <f>'Model (Matrix)'!H9-'Model (SC)'!H9</f>
        <v>0</v>
      </c>
      <c r="I12" s="91">
        <f>'Model (Matrix)'!I9-'Model (SC)'!I9</f>
        <v>0</v>
      </c>
      <c r="J12" s="91">
        <f>'Model (Matrix)'!J9-'Model (SC)'!J9</f>
        <v>0</v>
      </c>
      <c r="K12" s="91">
        <f>'Model (Matrix)'!K9-'Model (SC)'!K9</f>
        <v>0</v>
      </c>
      <c r="L12" s="91">
        <f>'Model (Matrix)'!L9-'Model (SC)'!L9</f>
        <v>0</v>
      </c>
      <c r="M12" s="91">
        <f>'Model (Matrix)'!M9-'Model (SC)'!M9</f>
        <v>0</v>
      </c>
      <c r="N12" s="91">
        <f>'Model (Matrix)'!N9-'Model (SC)'!N9</f>
        <v>0</v>
      </c>
      <c r="O12" s="91">
        <f>'Model (Matrix)'!O9-'Model (SC)'!O9</f>
        <v>0</v>
      </c>
      <c r="P12" s="91">
        <f>'Model (Matrix)'!P9-'Model (SC)'!P9</f>
        <v>0</v>
      </c>
      <c r="Q12" s="91">
        <f>'Model (Matrix)'!Q9-'Model (SC)'!Q9</f>
        <v>0</v>
      </c>
      <c r="R12" s="91">
        <f>'Model (Matrix)'!R9-'Model (SC)'!R9</f>
        <v>0</v>
      </c>
      <c r="S12" s="91">
        <f>'Model (Matrix)'!S9-'Model (SC)'!S9</f>
        <v>0</v>
      </c>
      <c r="T12" s="91">
        <f>'Model (Matrix)'!T9-'Model (SC)'!T9</f>
        <v>0</v>
      </c>
      <c r="U12" s="91">
        <f>'Model (Matrix)'!U9-'Model (SC)'!U9</f>
        <v>0</v>
      </c>
      <c r="V12" s="91">
        <f>'Model (Matrix)'!V9-'Model (SC)'!V9</f>
        <v>0</v>
      </c>
    </row>
    <row r="13" spans="1:22" x14ac:dyDescent="0.25">
      <c r="A13" s="82"/>
      <c r="B13" s="63" t="s">
        <v>131</v>
      </c>
      <c r="C13" s="91">
        <f>'Model (Matrix)'!C10-'Model (SC)'!C10</f>
        <v>0</v>
      </c>
      <c r="D13" s="91">
        <f>'Model (Matrix)'!D10-'Model (SC)'!D10</f>
        <v>0</v>
      </c>
      <c r="E13" s="91">
        <f>'Model (Matrix)'!E10-'Model (SC)'!E10</f>
        <v>0</v>
      </c>
      <c r="F13" s="91">
        <f>'Model (Matrix)'!F10-'Model (SC)'!F10</f>
        <v>0</v>
      </c>
      <c r="G13" s="91">
        <f>'Model (Matrix)'!G10-'Model (SC)'!G10</f>
        <v>0</v>
      </c>
      <c r="H13" s="91">
        <f>'Model (Matrix)'!H10-'Model (SC)'!H10</f>
        <v>0</v>
      </c>
      <c r="I13" s="91">
        <f>'Model (Matrix)'!I10-'Model (SC)'!I10</f>
        <v>0</v>
      </c>
      <c r="J13" s="91">
        <f>'Model (Matrix)'!J10-'Model (SC)'!J10</f>
        <v>0</v>
      </c>
      <c r="K13" s="91">
        <f>'Model (Matrix)'!K10-'Model (SC)'!K10</f>
        <v>0</v>
      </c>
      <c r="L13" s="91">
        <f>'Model (Matrix)'!L10-'Model (SC)'!L10</f>
        <v>0</v>
      </c>
      <c r="M13" s="91">
        <f>'Model (Matrix)'!M10-'Model (SC)'!M10</f>
        <v>0</v>
      </c>
      <c r="N13" s="91">
        <f>'Model (Matrix)'!N10-'Model (SC)'!N10</f>
        <v>0</v>
      </c>
      <c r="O13" s="91">
        <f>'Model (Matrix)'!O10-'Model (SC)'!O10</f>
        <v>0</v>
      </c>
      <c r="P13" s="91">
        <f>'Model (Matrix)'!P10-'Model (SC)'!P10</f>
        <v>0</v>
      </c>
      <c r="Q13" s="91">
        <f>'Model (Matrix)'!Q10-'Model (SC)'!Q10</f>
        <v>0</v>
      </c>
      <c r="R13" s="91">
        <f>'Model (Matrix)'!R10-'Model (SC)'!R10</f>
        <v>0</v>
      </c>
      <c r="S13" s="91">
        <f>'Model (Matrix)'!S10-'Model (SC)'!S10</f>
        <v>0</v>
      </c>
      <c r="T13" s="91">
        <f>'Model (Matrix)'!T10-'Model (SC)'!T10</f>
        <v>0</v>
      </c>
      <c r="U13" s="91">
        <f>'Model (Matrix)'!U10-'Model (SC)'!U10</f>
        <v>0</v>
      </c>
      <c r="V13" s="91">
        <f>'Model (Matrix)'!V10-'Model (SC)'!V10</f>
        <v>0</v>
      </c>
    </row>
    <row r="14" spans="1:22" x14ac:dyDescent="0.25">
      <c r="A14" s="86" t="s">
        <v>314</v>
      </c>
      <c r="B14" s="64"/>
      <c r="C14" s="91"/>
      <c r="D14" s="91"/>
      <c r="E14" s="91"/>
      <c r="F14" s="91"/>
      <c r="G14" s="91"/>
      <c r="H14" s="91"/>
      <c r="I14" s="91"/>
      <c r="J14" s="91"/>
      <c r="K14" s="91"/>
      <c r="L14" s="91"/>
      <c r="M14" s="91"/>
      <c r="N14" s="91"/>
      <c r="O14" s="91"/>
      <c r="P14" s="91"/>
      <c r="Q14" s="91"/>
      <c r="R14" s="91"/>
      <c r="S14" s="91"/>
      <c r="T14" s="91"/>
      <c r="U14" s="91"/>
      <c r="V14" s="91"/>
    </row>
    <row r="15" spans="1:22" x14ac:dyDescent="0.25">
      <c r="A15" s="82"/>
      <c r="B15" s="64" t="s">
        <v>124</v>
      </c>
      <c r="C15" s="91">
        <f>'Model (Matrix)'!C12-'Model (SC)'!C12</f>
        <v>0</v>
      </c>
      <c r="D15" s="91">
        <f>'Model (Matrix)'!D12-'Model (SC)'!D12</f>
        <v>0</v>
      </c>
      <c r="E15" s="91">
        <f>'Model (Matrix)'!E12-'Model (SC)'!E12</f>
        <v>0</v>
      </c>
      <c r="F15" s="91">
        <f>'Model (Matrix)'!F12-'Model (SC)'!F12</f>
        <v>0</v>
      </c>
      <c r="G15" s="91">
        <f>'Model (Matrix)'!G12-'Model (SC)'!G12</f>
        <v>0</v>
      </c>
      <c r="H15" s="91">
        <f>'Model (Matrix)'!H12-'Model (SC)'!H12</f>
        <v>0</v>
      </c>
      <c r="I15" s="91">
        <f>'Model (Matrix)'!I12-'Model (SC)'!I12</f>
        <v>0</v>
      </c>
      <c r="J15" s="91">
        <f>'Model (Matrix)'!J12-'Model (SC)'!J12</f>
        <v>0</v>
      </c>
      <c r="K15" s="91">
        <f>'Model (Matrix)'!K12-'Model (SC)'!K12</f>
        <v>0</v>
      </c>
      <c r="L15" s="91">
        <f>'Model (Matrix)'!L12-'Model (SC)'!L12</f>
        <v>0</v>
      </c>
      <c r="M15" s="91">
        <f>'Model (Matrix)'!M12-'Model (SC)'!M12</f>
        <v>0</v>
      </c>
      <c r="N15" s="91">
        <f>'Model (Matrix)'!N12-'Model (SC)'!N12</f>
        <v>0</v>
      </c>
      <c r="O15" s="91">
        <f>'Model (Matrix)'!O12-'Model (SC)'!O12</f>
        <v>0</v>
      </c>
      <c r="P15" s="91">
        <f>'Model (Matrix)'!P12-'Model (SC)'!P12</f>
        <v>0</v>
      </c>
      <c r="Q15" s="91">
        <f>'Model (Matrix)'!Q12-'Model (SC)'!Q12</f>
        <v>0</v>
      </c>
      <c r="R15" s="91">
        <f>'Model (Matrix)'!R12-'Model (SC)'!R12</f>
        <v>0</v>
      </c>
      <c r="S15" s="91">
        <f>'Model (Matrix)'!S12-'Model (SC)'!S12</f>
        <v>0</v>
      </c>
      <c r="T15" s="91">
        <f>'Model (Matrix)'!T12-'Model (SC)'!T12</f>
        <v>0</v>
      </c>
      <c r="U15" s="91">
        <f>'Model (Matrix)'!U12-'Model (SC)'!U12</f>
        <v>0</v>
      </c>
      <c r="V15" s="91">
        <f>'Model (Matrix)'!V12-'Model (SC)'!V12</f>
        <v>0</v>
      </c>
    </row>
    <row r="16" spans="1:22" x14ac:dyDescent="0.25">
      <c r="A16" s="82"/>
      <c r="B16" s="64" t="s">
        <v>125</v>
      </c>
      <c r="C16" s="91">
        <f>'Model (Matrix)'!C13-'Model (SC)'!C13</f>
        <v>0</v>
      </c>
      <c r="D16" s="91">
        <f>'Model (Matrix)'!D13-'Model (SC)'!D13</f>
        <v>0</v>
      </c>
      <c r="E16" s="91">
        <f>'Model (Matrix)'!E13-'Model (SC)'!E13</f>
        <v>0</v>
      </c>
      <c r="F16" s="91">
        <f>'Model (Matrix)'!F13-'Model (SC)'!F13</f>
        <v>0</v>
      </c>
      <c r="G16" s="91">
        <f>'Model (Matrix)'!G13-'Model (SC)'!G13</f>
        <v>0</v>
      </c>
      <c r="H16" s="91">
        <f>'Model (Matrix)'!H13-'Model (SC)'!H13</f>
        <v>0</v>
      </c>
      <c r="I16" s="91">
        <f>'Model (Matrix)'!I13-'Model (SC)'!I13</f>
        <v>0</v>
      </c>
      <c r="J16" s="91">
        <f>'Model (Matrix)'!J13-'Model (SC)'!J13</f>
        <v>0</v>
      </c>
      <c r="K16" s="91">
        <f>'Model (Matrix)'!K13-'Model (SC)'!K13</f>
        <v>0</v>
      </c>
      <c r="L16" s="91">
        <f>'Model (Matrix)'!L13-'Model (SC)'!L13</f>
        <v>0</v>
      </c>
      <c r="M16" s="91">
        <f>'Model (Matrix)'!M13-'Model (SC)'!M13</f>
        <v>0</v>
      </c>
      <c r="N16" s="91">
        <f>'Model (Matrix)'!N13-'Model (SC)'!N13</f>
        <v>0</v>
      </c>
      <c r="O16" s="91">
        <f>'Model (Matrix)'!O13-'Model (SC)'!O13</f>
        <v>0</v>
      </c>
      <c r="P16" s="91">
        <f>'Model (Matrix)'!P13-'Model (SC)'!P13</f>
        <v>0</v>
      </c>
      <c r="Q16" s="91">
        <f>'Model (Matrix)'!Q13-'Model (SC)'!Q13</f>
        <v>0</v>
      </c>
      <c r="R16" s="91">
        <f>'Model (Matrix)'!R13-'Model (SC)'!R13</f>
        <v>0</v>
      </c>
      <c r="S16" s="91">
        <f>'Model (Matrix)'!S13-'Model (SC)'!S13</f>
        <v>0</v>
      </c>
      <c r="T16" s="91">
        <f>'Model (Matrix)'!T13-'Model (SC)'!T13</f>
        <v>0</v>
      </c>
      <c r="U16" s="91">
        <f>'Model (Matrix)'!U13-'Model (SC)'!U13</f>
        <v>0</v>
      </c>
      <c r="V16" s="91">
        <f>'Model (Matrix)'!V13-'Model (SC)'!V13</f>
        <v>0</v>
      </c>
    </row>
    <row r="17" spans="1:22" x14ac:dyDescent="0.25">
      <c r="A17" s="82"/>
      <c r="B17" s="64" t="s">
        <v>132</v>
      </c>
      <c r="C17" s="91">
        <f>'Model (Matrix)'!C14-'Model (SC)'!C14</f>
        <v>0</v>
      </c>
      <c r="D17" s="91">
        <f>'Model (Matrix)'!D14-'Model (SC)'!D14</f>
        <v>0</v>
      </c>
      <c r="E17" s="91">
        <f>'Model (Matrix)'!E14-'Model (SC)'!E14</f>
        <v>0</v>
      </c>
      <c r="F17" s="91">
        <f>'Model (Matrix)'!F14-'Model (SC)'!F14</f>
        <v>0</v>
      </c>
      <c r="G17" s="91">
        <f>'Model (Matrix)'!G14-'Model (SC)'!G14</f>
        <v>0</v>
      </c>
      <c r="H17" s="91">
        <f>'Model (Matrix)'!H14-'Model (SC)'!H14</f>
        <v>0</v>
      </c>
      <c r="I17" s="91">
        <f>'Model (Matrix)'!I14-'Model (SC)'!I14</f>
        <v>0</v>
      </c>
      <c r="J17" s="91">
        <f>'Model (Matrix)'!J14-'Model (SC)'!J14</f>
        <v>0</v>
      </c>
      <c r="K17" s="91">
        <f>'Model (Matrix)'!K14-'Model (SC)'!K14</f>
        <v>0</v>
      </c>
      <c r="L17" s="91">
        <f>'Model (Matrix)'!L14-'Model (SC)'!L14</f>
        <v>0</v>
      </c>
      <c r="M17" s="91">
        <f>'Model (Matrix)'!M14-'Model (SC)'!M14</f>
        <v>0</v>
      </c>
      <c r="N17" s="91">
        <f>'Model (Matrix)'!N14-'Model (SC)'!N14</f>
        <v>0</v>
      </c>
      <c r="O17" s="91">
        <f>'Model (Matrix)'!O14-'Model (SC)'!O14</f>
        <v>0</v>
      </c>
      <c r="P17" s="91">
        <f>'Model (Matrix)'!P14-'Model (SC)'!P14</f>
        <v>0</v>
      </c>
      <c r="Q17" s="91">
        <f>'Model (Matrix)'!Q14-'Model (SC)'!Q14</f>
        <v>0</v>
      </c>
      <c r="R17" s="91">
        <f>'Model (Matrix)'!R14-'Model (SC)'!R14</f>
        <v>0</v>
      </c>
      <c r="S17" s="91">
        <f>'Model (Matrix)'!S14-'Model (SC)'!S14</f>
        <v>0</v>
      </c>
      <c r="T17" s="91">
        <f>'Model (Matrix)'!T14-'Model (SC)'!T14</f>
        <v>0</v>
      </c>
      <c r="U17" s="91">
        <f>'Model (Matrix)'!U14-'Model (SC)'!U14</f>
        <v>0</v>
      </c>
      <c r="V17" s="91">
        <f>'Model (Matrix)'!V14-'Model (SC)'!V14</f>
        <v>0</v>
      </c>
    </row>
    <row r="18" spans="1:22" x14ac:dyDescent="0.25">
      <c r="A18" s="82"/>
      <c r="B18" s="64" t="s">
        <v>133</v>
      </c>
      <c r="C18" s="91">
        <f>'Model (Matrix)'!C15-'Model (SC)'!C15</f>
        <v>0</v>
      </c>
      <c r="D18" s="91">
        <f>'Model (Matrix)'!D15-'Model (SC)'!D15</f>
        <v>0</v>
      </c>
      <c r="E18" s="91">
        <f>'Model (Matrix)'!E15-'Model (SC)'!E15</f>
        <v>0</v>
      </c>
      <c r="F18" s="91">
        <f>'Model (Matrix)'!F15-'Model (SC)'!F15</f>
        <v>0</v>
      </c>
      <c r="G18" s="91">
        <f>'Model (Matrix)'!G15-'Model (SC)'!G15</f>
        <v>0</v>
      </c>
      <c r="H18" s="91">
        <f>'Model (Matrix)'!H15-'Model (SC)'!H15</f>
        <v>0</v>
      </c>
      <c r="I18" s="91">
        <f>'Model (Matrix)'!I15-'Model (SC)'!I15</f>
        <v>0</v>
      </c>
      <c r="J18" s="91">
        <f>'Model (Matrix)'!J15-'Model (SC)'!J15</f>
        <v>0</v>
      </c>
      <c r="K18" s="91">
        <f>'Model (Matrix)'!K15-'Model (SC)'!K15</f>
        <v>0</v>
      </c>
      <c r="L18" s="91">
        <f>'Model (Matrix)'!L15-'Model (SC)'!L15</f>
        <v>0</v>
      </c>
      <c r="M18" s="91">
        <f>'Model (Matrix)'!M15-'Model (SC)'!M15</f>
        <v>0</v>
      </c>
      <c r="N18" s="91">
        <f>'Model (Matrix)'!N15-'Model (SC)'!N15</f>
        <v>0</v>
      </c>
      <c r="O18" s="91">
        <f>'Model (Matrix)'!O15-'Model (SC)'!O15</f>
        <v>0</v>
      </c>
      <c r="P18" s="91">
        <f>'Model (Matrix)'!P15-'Model (SC)'!P15</f>
        <v>0</v>
      </c>
      <c r="Q18" s="91">
        <f>'Model (Matrix)'!Q15-'Model (SC)'!Q15</f>
        <v>0</v>
      </c>
      <c r="R18" s="91">
        <f>'Model (Matrix)'!R15-'Model (SC)'!R15</f>
        <v>0</v>
      </c>
      <c r="S18" s="91">
        <f>'Model (Matrix)'!S15-'Model (SC)'!S15</f>
        <v>0</v>
      </c>
      <c r="T18" s="91">
        <f>'Model (Matrix)'!T15-'Model (SC)'!T15</f>
        <v>0</v>
      </c>
      <c r="U18" s="91">
        <f>'Model (Matrix)'!U15-'Model (SC)'!U15</f>
        <v>0</v>
      </c>
      <c r="V18" s="91">
        <f>'Model (Matrix)'!V15-'Model (SC)'!V15</f>
        <v>0</v>
      </c>
    </row>
    <row r="19" spans="1:22" x14ac:dyDescent="0.25">
      <c r="A19" s="82"/>
      <c r="B19" s="64" t="s">
        <v>126</v>
      </c>
      <c r="C19" s="91">
        <f>'Model (Matrix)'!C16-'Model (SC)'!C16</f>
        <v>0</v>
      </c>
      <c r="D19" s="91">
        <f>'Model (Matrix)'!D16-'Model (SC)'!D16</f>
        <v>0</v>
      </c>
      <c r="E19" s="91">
        <f>'Model (Matrix)'!E16-'Model (SC)'!E16</f>
        <v>0</v>
      </c>
      <c r="F19" s="91">
        <f>'Model (Matrix)'!F16-'Model (SC)'!F16</f>
        <v>0</v>
      </c>
      <c r="G19" s="91">
        <f>'Model (Matrix)'!G16-'Model (SC)'!G16</f>
        <v>0</v>
      </c>
      <c r="H19" s="91">
        <f>'Model (Matrix)'!H16-'Model (SC)'!H16</f>
        <v>0</v>
      </c>
      <c r="I19" s="91">
        <f>'Model (Matrix)'!I16-'Model (SC)'!I16</f>
        <v>0</v>
      </c>
      <c r="J19" s="91">
        <f>'Model (Matrix)'!J16-'Model (SC)'!J16</f>
        <v>0</v>
      </c>
      <c r="K19" s="91">
        <f>'Model (Matrix)'!K16-'Model (SC)'!K16</f>
        <v>0</v>
      </c>
      <c r="L19" s="91">
        <f>'Model (Matrix)'!L16-'Model (SC)'!L16</f>
        <v>0</v>
      </c>
      <c r="M19" s="91">
        <f>'Model (Matrix)'!M16-'Model (SC)'!M16</f>
        <v>0</v>
      </c>
      <c r="N19" s="91">
        <f>'Model (Matrix)'!N16-'Model (SC)'!N16</f>
        <v>0</v>
      </c>
      <c r="O19" s="91">
        <f>'Model (Matrix)'!O16-'Model (SC)'!O16</f>
        <v>0</v>
      </c>
      <c r="P19" s="91">
        <f>'Model (Matrix)'!P16-'Model (SC)'!P16</f>
        <v>0</v>
      </c>
      <c r="Q19" s="91">
        <f>'Model (Matrix)'!Q16-'Model (SC)'!Q16</f>
        <v>0</v>
      </c>
      <c r="R19" s="91">
        <f>'Model (Matrix)'!R16-'Model (SC)'!R16</f>
        <v>0</v>
      </c>
      <c r="S19" s="91">
        <f>'Model (Matrix)'!S16-'Model (SC)'!S16</f>
        <v>0</v>
      </c>
      <c r="T19" s="91">
        <f>'Model (Matrix)'!T16-'Model (SC)'!T16</f>
        <v>0</v>
      </c>
      <c r="U19" s="91">
        <f>'Model (Matrix)'!U16-'Model (SC)'!U16</f>
        <v>0</v>
      </c>
      <c r="V19" s="91">
        <f>'Model (Matrix)'!V16-'Model (SC)'!V16</f>
        <v>0</v>
      </c>
    </row>
    <row r="20" spans="1:22" x14ac:dyDescent="0.25">
      <c r="A20" s="82"/>
      <c r="B20" s="63" t="s">
        <v>134</v>
      </c>
      <c r="C20" s="91">
        <f>'Model (Matrix)'!C17-'Model (SC)'!C17</f>
        <v>0</v>
      </c>
      <c r="D20" s="91">
        <f>'Model (Matrix)'!D17-'Model (SC)'!D17</f>
        <v>0</v>
      </c>
      <c r="E20" s="91">
        <f>'Model (Matrix)'!E17-'Model (SC)'!E17</f>
        <v>0</v>
      </c>
      <c r="F20" s="91">
        <f>'Model (Matrix)'!F17-'Model (SC)'!F17</f>
        <v>0</v>
      </c>
      <c r="G20" s="91">
        <f>'Model (Matrix)'!G17-'Model (SC)'!G17</f>
        <v>0</v>
      </c>
      <c r="H20" s="91">
        <f>'Model (Matrix)'!H17-'Model (SC)'!H17</f>
        <v>0</v>
      </c>
      <c r="I20" s="91">
        <f>'Model (Matrix)'!I17-'Model (SC)'!I17</f>
        <v>0</v>
      </c>
      <c r="J20" s="91">
        <f>'Model (Matrix)'!J17-'Model (SC)'!J17</f>
        <v>0</v>
      </c>
      <c r="K20" s="91">
        <f>'Model (Matrix)'!K17-'Model (SC)'!K17</f>
        <v>0</v>
      </c>
      <c r="L20" s="91">
        <f>'Model (Matrix)'!L17-'Model (SC)'!L17</f>
        <v>0</v>
      </c>
      <c r="M20" s="91">
        <f>'Model (Matrix)'!M17-'Model (SC)'!M17</f>
        <v>0</v>
      </c>
      <c r="N20" s="91">
        <f>'Model (Matrix)'!N17-'Model (SC)'!N17</f>
        <v>0</v>
      </c>
      <c r="O20" s="91">
        <f>'Model (Matrix)'!O17-'Model (SC)'!O17</f>
        <v>0</v>
      </c>
      <c r="P20" s="91">
        <f>'Model (Matrix)'!P17-'Model (SC)'!P17</f>
        <v>0</v>
      </c>
      <c r="Q20" s="91">
        <f>'Model (Matrix)'!Q17-'Model (SC)'!Q17</f>
        <v>0</v>
      </c>
      <c r="R20" s="91">
        <f>'Model (Matrix)'!R17-'Model (SC)'!R17</f>
        <v>0</v>
      </c>
      <c r="S20" s="91">
        <f>'Model (Matrix)'!S17-'Model (SC)'!S17</f>
        <v>0</v>
      </c>
      <c r="T20" s="91">
        <f>'Model (Matrix)'!T17-'Model (SC)'!T17</f>
        <v>0</v>
      </c>
      <c r="U20" s="91">
        <f>'Model (Matrix)'!U17-'Model (SC)'!U17</f>
        <v>0</v>
      </c>
      <c r="V20" s="91">
        <f>'Model (Matrix)'!V17-'Model (SC)'!V17</f>
        <v>0</v>
      </c>
    </row>
    <row r="21" spans="1:22" x14ac:dyDescent="0.25">
      <c r="A21" s="82"/>
      <c r="B21" s="63" t="s">
        <v>615</v>
      </c>
      <c r="C21" s="91">
        <f>'Model (Matrix)'!C18-'Model (SC)'!C18</f>
        <v>0</v>
      </c>
      <c r="D21" s="91">
        <f>'Model (Matrix)'!D18-'Model (SC)'!D18</f>
        <v>0</v>
      </c>
      <c r="E21" s="91">
        <f>'Model (Matrix)'!E18-'Model (SC)'!E18</f>
        <v>0</v>
      </c>
      <c r="F21" s="91">
        <f>'Model (Matrix)'!F18-'Model (SC)'!F18</f>
        <v>0</v>
      </c>
      <c r="G21" s="91">
        <f>'Model (Matrix)'!G18-'Model (SC)'!G18</f>
        <v>0</v>
      </c>
      <c r="H21" s="91">
        <f>'Model (Matrix)'!H18-'Model (SC)'!H18</f>
        <v>0</v>
      </c>
      <c r="I21" s="91">
        <f>'Model (Matrix)'!I18-'Model (SC)'!I18</f>
        <v>0</v>
      </c>
      <c r="J21" s="91">
        <f>'Model (Matrix)'!J18-'Model (SC)'!J18</f>
        <v>0</v>
      </c>
      <c r="K21" s="91">
        <f>'Model (Matrix)'!K18-'Model (SC)'!K18</f>
        <v>0</v>
      </c>
      <c r="L21" s="91">
        <f>'Model (Matrix)'!L18-'Model (SC)'!L18</f>
        <v>0</v>
      </c>
      <c r="M21" s="91">
        <f>'Model (Matrix)'!M18-'Model (SC)'!M18</f>
        <v>0</v>
      </c>
      <c r="N21" s="91">
        <f>'Model (Matrix)'!N18-'Model (SC)'!N18</f>
        <v>0</v>
      </c>
      <c r="O21" s="91">
        <f>'Model (Matrix)'!O18-'Model (SC)'!O18</f>
        <v>0</v>
      </c>
      <c r="P21" s="91">
        <f>'Model (Matrix)'!P18-'Model (SC)'!P18</f>
        <v>0</v>
      </c>
      <c r="Q21" s="91">
        <f>'Model (Matrix)'!Q18-'Model (SC)'!Q18</f>
        <v>0</v>
      </c>
      <c r="R21" s="91">
        <f>'Model (Matrix)'!R18-'Model (SC)'!R18</f>
        <v>0</v>
      </c>
      <c r="S21" s="91">
        <f>'Model (Matrix)'!S18-'Model (SC)'!S18</f>
        <v>0</v>
      </c>
      <c r="T21" s="91">
        <f>'Model (Matrix)'!T18-'Model (SC)'!T18</f>
        <v>0</v>
      </c>
      <c r="U21" s="91">
        <f>'Model (Matrix)'!U18-'Model (SC)'!U18</f>
        <v>0</v>
      </c>
      <c r="V21" s="91">
        <f>'Model (Matrix)'!V18-'Model (SC)'!V18</f>
        <v>0</v>
      </c>
    </row>
    <row r="22" spans="1:22" x14ac:dyDescent="0.25">
      <c r="A22" s="82"/>
      <c r="B22" s="63" t="s">
        <v>135</v>
      </c>
      <c r="C22" s="91">
        <f>'Model (Matrix)'!C19-'Model (SC)'!C19</f>
        <v>0</v>
      </c>
      <c r="D22" s="91">
        <f>'Model (Matrix)'!D19-'Model (SC)'!D19</f>
        <v>0</v>
      </c>
      <c r="E22" s="91">
        <f>'Model (Matrix)'!E19-'Model (SC)'!E19</f>
        <v>0</v>
      </c>
      <c r="F22" s="91">
        <f>'Model (Matrix)'!F19-'Model (SC)'!F19</f>
        <v>0</v>
      </c>
      <c r="G22" s="91">
        <f>'Model (Matrix)'!G19-'Model (SC)'!G19</f>
        <v>0</v>
      </c>
      <c r="H22" s="91">
        <f>'Model (Matrix)'!H19-'Model (SC)'!H19</f>
        <v>0</v>
      </c>
      <c r="I22" s="91">
        <f>'Model (Matrix)'!I19-'Model (SC)'!I19</f>
        <v>0</v>
      </c>
      <c r="J22" s="91">
        <f>'Model (Matrix)'!J19-'Model (SC)'!J19</f>
        <v>0</v>
      </c>
      <c r="K22" s="91">
        <f>'Model (Matrix)'!K19-'Model (SC)'!K19</f>
        <v>0</v>
      </c>
      <c r="L22" s="91">
        <f>'Model (Matrix)'!L19-'Model (SC)'!L19</f>
        <v>0</v>
      </c>
      <c r="M22" s="91">
        <f>'Model (Matrix)'!M19-'Model (SC)'!M19</f>
        <v>0</v>
      </c>
      <c r="N22" s="91">
        <f>'Model (Matrix)'!N19-'Model (SC)'!N19</f>
        <v>0</v>
      </c>
      <c r="O22" s="91">
        <f>'Model (Matrix)'!O19-'Model (SC)'!O19</f>
        <v>0</v>
      </c>
      <c r="P22" s="91">
        <f>'Model (Matrix)'!P19-'Model (SC)'!P19</f>
        <v>0</v>
      </c>
      <c r="Q22" s="91">
        <f>'Model (Matrix)'!Q19-'Model (SC)'!Q19</f>
        <v>0</v>
      </c>
      <c r="R22" s="91">
        <f>'Model (Matrix)'!R19-'Model (SC)'!R19</f>
        <v>0</v>
      </c>
      <c r="S22" s="91">
        <f>'Model (Matrix)'!S19-'Model (SC)'!S19</f>
        <v>0</v>
      </c>
      <c r="T22" s="91">
        <f>'Model (Matrix)'!T19-'Model (SC)'!T19</f>
        <v>0</v>
      </c>
      <c r="U22" s="91">
        <f>'Model (Matrix)'!U19-'Model (SC)'!U19</f>
        <v>0</v>
      </c>
      <c r="V22" s="91">
        <f>'Model (Matrix)'!V19-'Model (SC)'!V19</f>
        <v>0</v>
      </c>
    </row>
    <row r="23" spans="1:22" x14ac:dyDescent="0.25">
      <c r="A23" s="82"/>
      <c r="B23" s="63" t="s">
        <v>136</v>
      </c>
      <c r="C23" s="91">
        <f>'Model (Matrix)'!C20-'Model (SC)'!C20</f>
        <v>0</v>
      </c>
      <c r="D23" s="91">
        <f>'Model (Matrix)'!D20-'Model (SC)'!D20</f>
        <v>0</v>
      </c>
      <c r="E23" s="91">
        <f>'Model (Matrix)'!E20-'Model (SC)'!E20</f>
        <v>0</v>
      </c>
      <c r="F23" s="91">
        <f>'Model (Matrix)'!F20-'Model (SC)'!F20</f>
        <v>0</v>
      </c>
      <c r="G23" s="91">
        <f>'Model (Matrix)'!G20-'Model (SC)'!G20</f>
        <v>0</v>
      </c>
      <c r="H23" s="91">
        <f>'Model (Matrix)'!H20-'Model (SC)'!H20</f>
        <v>0</v>
      </c>
      <c r="I23" s="91">
        <f>'Model (Matrix)'!I20-'Model (SC)'!I20</f>
        <v>0</v>
      </c>
      <c r="J23" s="91">
        <f>'Model (Matrix)'!J20-'Model (SC)'!J20</f>
        <v>0</v>
      </c>
      <c r="K23" s="91">
        <f>'Model (Matrix)'!K20-'Model (SC)'!K20</f>
        <v>0</v>
      </c>
      <c r="L23" s="91">
        <f>'Model (Matrix)'!L20-'Model (SC)'!L20</f>
        <v>0</v>
      </c>
      <c r="M23" s="91">
        <f>'Model (Matrix)'!M20-'Model (SC)'!M20</f>
        <v>0</v>
      </c>
      <c r="N23" s="91">
        <f>'Model (Matrix)'!N20-'Model (SC)'!N20</f>
        <v>0</v>
      </c>
      <c r="O23" s="91">
        <f>'Model (Matrix)'!O20-'Model (SC)'!O20</f>
        <v>0</v>
      </c>
      <c r="P23" s="91">
        <f>'Model (Matrix)'!P20-'Model (SC)'!P20</f>
        <v>0</v>
      </c>
      <c r="Q23" s="91">
        <f>'Model (Matrix)'!Q20-'Model (SC)'!Q20</f>
        <v>0</v>
      </c>
      <c r="R23" s="91">
        <f>'Model (Matrix)'!R20-'Model (SC)'!R20</f>
        <v>0</v>
      </c>
      <c r="S23" s="91">
        <f>'Model (Matrix)'!S20-'Model (SC)'!S20</f>
        <v>0</v>
      </c>
      <c r="T23" s="91">
        <f>'Model (Matrix)'!T20-'Model (SC)'!T20</f>
        <v>0</v>
      </c>
      <c r="U23" s="91">
        <f>'Model (Matrix)'!U20-'Model (SC)'!U20</f>
        <v>0</v>
      </c>
      <c r="V23" s="91">
        <f>'Model (Matrix)'!V20-'Model (SC)'!V20</f>
        <v>0</v>
      </c>
    </row>
    <row r="24" spans="1:22" x14ac:dyDescent="0.25">
      <c r="A24" s="82"/>
      <c r="B24" s="63" t="s">
        <v>137</v>
      </c>
      <c r="C24" s="91">
        <f>'Model (Matrix)'!C21-'Model (SC)'!C21</f>
        <v>0</v>
      </c>
      <c r="D24" s="91">
        <f>'Model (Matrix)'!D21-'Model (SC)'!D21</f>
        <v>0</v>
      </c>
      <c r="E24" s="91">
        <f>'Model (Matrix)'!E21-'Model (SC)'!E21</f>
        <v>0</v>
      </c>
      <c r="F24" s="91">
        <f>'Model (Matrix)'!F21-'Model (SC)'!F21</f>
        <v>0</v>
      </c>
      <c r="G24" s="91">
        <f>'Model (Matrix)'!G21-'Model (SC)'!G21</f>
        <v>0</v>
      </c>
      <c r="H24" s="91">
        <f>'Model (Matrix)'!H21-'Model (SC)'!H21</f>
        <v>0</v>
      </c>
      <c r="I24" s="91">
        <f>'Model (Matrix)'!I21-'Model (SC)'!I21</f>
        <v>0</v>
      </c>
      <c r="J24" s="91">
        <f>'Model (Matrix)'!J21-'Model (SC)'!J21</f>
        <v>0</v>
      </c>
      <c r="K24" s="91">
        <f>'Model (Matrix)'!K21-'Model (SC)'!K21</f>
        <v>0</v>
      </c>
      <c r="L24" s="91">
        <f>'Model (Matrix)'!L21-'Model (SC)'!L21</f>
        <v>0</v>
      </c>
      <c r="M24" s="91">
        <f>'Model (Matrix)'!M21-'Model (SC)'!M21</f>
        <v>0</v>
      </c>
      <c r="N24" s="91">
        <f>'Model (Matrix)'!N21-'Model (SC)'!N21</f>
        <v>0</v>
      </c>
      <c r="O24" s="91">
        <f>'Model (Matrix)'!O21-'Model (SC)'!O21</f>
        <v>0</v>
      </c>
      <c r="P24" s="91">
        <f>'Model (Matrix)'!P21-'Model (SC)'!P21</f>
        <v>0</v>
      </c>
      <c r="Q24" s="91">
        <f>'Model (Matrix)'!Q21-'Model (SC)'!Q21</f>
        <v>0</v>
      </c>
      <c r="R24" s="91">
        <f>'Model (Matrix)'!R21-'Model (SC)'!R21</f>
        <v>0</v>
      </c>
      <c r="S24" s="91">
        <f>'Model (Matrix)'!S21-'Model (SC)'!S21</f>
        <v>0</v>
      </c>
      <c r="T24" s="91">
        <f>'Model (Matrix)'!T21-'Model (SC)'!T21</f>
        <v>0</v>
      </c>
      <c r="U24" s="91">
        <f>'Model (Matrix)'!U21-'Model (SC)'!U21</f>
        <v>0</v>
      </c>
      <c r="V24" s="91">
        <f>'Model (Matrix)'!V21-'Model (SC)'!V21</f>
        <v>0</v>
      </c>
    </row>
    <row r="25" spans="1:22" x14ac:dyDescent="0.25">
      <c r="A25" s="82"/>
      <c r="B25" s="63" t="s">
        <v>138</v>
      </c>
      <c r="C25" s="91">
        <f>'Model (Matrix)'!C22-'Model (SC)'!C22</f>
        <v>0</v>
      </c>
      <c r="D25" s="91">
        <f>'Model (Matrix)'!D22-'Model (SC)'!D22</f>
        <v>0</v>
      </c>
      <c r="E25" s="91">
        <f>'Model (Matrix)'!E22-'Model (SC)'!E22</f>
        <v>0</v>
      </c>
      <c r="F25" s="91">
        <f>'Model (Matrix)'!F22-'Model (SC)'!F22</f>
        <v>0</v>
      </c>
      <c r="G25" s="91">
        <f>'Model (Matrix)'!G22-'Model (SC)'!G22</f>
        <v>0</v>
      </c>
      <c r="H25" s="91">
        <f>'Model (Matrix)'!H22-'Model (SC)'!H22</f>
        <v>0</v>
      </c>
      <c r="I25" s="91">
        <f>'Model (Matrix)'!I22-'Model (SC)'!I22</f>
        <v>0</v>
      </c>
      <c r="J25" s="91">
        <f>'Model (Matrix)'!J22-'Model (SC)'!J22</f>
        <v>0</v>
      </c>
      <c r="K25" s="91">
        <f>'Model (Matrix)'!K22-'Model (SC)'!K22</f>
        <v>0</v>
      </c>
      <c r="L25" s="91">
        <f>'Model (Matrix)'!L22-'Model (SC)'!L22</f>
        <v>0</v>
      </c>
      <c r="M25" s="91">
        <f>'Model (Matrix)'!M22-'Model (SC)'!M22</f>
        <v>0</v>
      </c>
      <c r="N25" s="91">
        <f>'Model (Matrix)'!N22-'Model (SC)'!N22</f>
        <v>0</v>
      </c>
      <c r="O25" s="91">
        <f>'Model (Matrix)'!O22-'Model (SC)'!O22</f>
        <v>0</v>
      </c>
      <c r="P25" s="91">
        <f>'Model (Matrix)'!P22-'Model (SC)'!P22</f>
        <v>0</v>
      </c>
      <c r="Q25" s="91">
        <f>'Model (Matrix)'!Q22-'Model (SC)'!Q22</f>
        <v>0</v>
      </c>
      <c r="R25" s="91">
        <f>'Model (Matrix)'!R22-'Model (SC)'!R22</f>
        <v>0</v>
      </c>
      <c r="S25" s="91">
        <f>'Model (Matrix)'!S22-'Model (SC)'!S22</f>
        <v>0</v>
      </c>
      <c r="T25" s="91">
        <f>'Model (Matrix)'!T22-'Model (SC)'!T22</f>
        <v>0</v>
      </c>
      <c r="U25" s="91">
        <f>'Model (Matrix)'!U22-'Model (SC)'!U22</f>
        <v>0</v>
      </c>
      <c r="V25" s="91">
        <f>'Model (Matrix)'!V22-'Model (SC)'!V22</f>
        <v>0</v>
      </c>
    </row>
    <row r="26" spans="1:22" x14ac:dyDescent="0.25">
      <c r="A26" s="82"/>
      <c r="B26" s="63" t="s">
        <v>139</v>
      </c>
      <c r="C26" s="91">
        <f>'Model (Matrix)'!C23-'Model (SC)'!C23</f>
        <v>0</v>
      </c>
      <c r="D26" s="91">
        <f>'Model (Matrix)'!D23-'Model (SC)'!D23</f>
        <v>0</v>
      </c>
      <c r="E26" s="91">
        <f>'Model (Matrix)'!E23-'Model (SC)'!E23</f>
        <v>0</v>
      </c>
      <c r="F26" s="91">
        <f>'Model (Matrix)'!F23-'Model (SC)'!F23</f>
        <v>0</v>
      </c>
      <c r="G26" s="91">
        <f>'Model (Matrix)'!G23-'Model (SC)'!G23</f>
        <v>0</v>
      </c>
      <c r="H26" s="91">
        <f>'Model (Matrix)'!H23-'Model (SC)'!H23</f>
        <v>0</v>
      </c>
      <c r="I26" s="91">
        <f>'Model (Matrix)'!I23-'Model (SC)'!I23</f>
        <v>0</v>
      </c>
      <c r="J26" s="91">
        <f>'Model (Matrix)'!J23-'Model (SC)'!J23</f>
        <v>0</v>
      </c>
      <c r="K26" s="91">
        <f>'Model (Matrix)'!K23-'Model (SC)'!K23</f>
        <v>0</v>
      </c>
      <c r="L26" s="91">
        <f>'Model (Matrix)'!L23-'Model (SC)'!L23</f>
        <v>0</v>
      </c>
      <c r="M26" s="91">
        <f>'Model (Matrix)'!M23-'Model (SC)'!M23</f>
        <v>0</v>
      </c>
      <c r="N26" s="91">
        <f>'Model (Matrix)'!N23-'Model (SC)'!N23</f>
        <v>0</v>
      </c>
      <c r="O26" s="91">
        <f>'Model (Matrix)'!O23-'Model (SC)'!O23</f>
        <v>0</v>
      </c>
      <c r="P26" s="91">
        <f>'Model (Matrix)'!P23-'Model (SC)'!P23</f>
        <v>0</v>
      </c>
      <c r="Q26" s="91">
        <f>'Model (Matrix)'!Q23-'Model (SC)'!Q23</f>
        <v>0</v>
      </c>
      <c r="R26" s="91">
        <f>'Model (Matrix)'!R23-'Model (SC)'!R23</f>
        <v>0</v>
      </c>
      <c r="S26" s="91">
        <f>'Model (Matrix)'!S23-'Model (SC)'!S23</f>
        <v>0</v>
      </c>
      <c r="T26" s="91">
        <f>'Model (Matrix)'!T23-'Model (SC)'!T23</f>
        <v>0</v>
      </c>
      <c r="U26" s="91">
        <f>'Model (Matrix)'!U23-'Model (SC)'!U23</f>
        <v>0</v>
      </c>
      <c r="V26" s="91">
        <f>'Model (Matrix)'!V23-'Model (SC)'!V23</f>
        <v>0</v>
      </c>
    </row>
    <row r="27" spans="1:22" x14ac:dyDescent="0.25">
      <c r="A27" s="82"/>
      <c r="B27" s="63" t="s">
        <v>127</v>
      </c>
      <c r="C27" s="91"/>
      <c r="D27" s="91"/>
      <c r="E27" s="91"/>
      <c r="F27" s="91"/>
      <c r="G27" s="91"/>
      <c r="H27" s="91"/>
      <c r="I27" s="91"/>
      <c r="J27" s="91"/>
      <c r="K27" s="91"/>
      <c r="L27" s="91"/>
      <c r="M27" s="91"/>
      <c r="N27" s="91"/>
      <c r="O27" s="91"/>
      <c r="P27" s="91"/>
      <c r="Q27" s="91"/>
      <c r="R27" s="91"/>
      <c r="S27" s="91"/>
      <c r="T27" s="91"/>
      <c r="U27" s="91"/>
      <c r="V27" s="91"/>
    </row>
    <row r="28" spans="1:22" x14ac:dyDescent="0.25">
      <c r="A28" s="82"/>
      <c r="B28" s="63" t="s">
        <v>128</v>
      </c>
      <c r="C28" s="91">
        <f>'Model (Matrix)'!C25-'Model (SC)'!C25</f>
        <v>0</v>
      </c>
      <c r="D28" s="91">
        <f>'Model (Matrix)'!D25-'Model (SC)'!D25</f>
        <v>0</v>
      </c>
      <c r="E28" s="91">
        <f>'Model (Matrix)'!E25-'Model (SC)'!E25</f>
        <v>0</v>
      </c>
      <c r="F28" s="91">
        <f>'Model (Matrix)'!F25-'Model (SC)'!F25</f>
        <v>0</v>
      </c>
      <c r="G28" s="91">
        <f>'Model (Matrix)'!G25-'Model (SC)'!G25</f>
        <v>0</v>
      </c>
      <c r="H28" s="91">
        <f>'Model (Matrix)'!H25-'Model (SC)'!H25</f>
        <v>0</v>
      </c>
      <c r="I28" s="91">
        <f>'Model (Matrix)'!I25-'Model (SC)'!I25</f>
        <v>0</v>
      </c>
      <c r="J28" s="91">
        <f>'Model (Matrix)'!J25-'Model (SC)'!J25</f>
        <v>0</v>
      </c>
      <c r="K28" s="91">
        <f>'Model (Matrix)'!K25-'Model (SC)'!K25</f>
        <v>0</v>
      </c>
      <c r="L28" s="91">
        <f>'Model (Matrix)'!L25-'Model (SC)'!L25</f>
        <v>0</v>
      </c>
      <c r="M28" s="91">
        <f>'Model (Matrix)'!M25-'Model (SC)'!M25</f>
        <v>0</v>
      </c>
      <c r="N28" s="91">
        <f>'Model (Matrix)'!N25-'Model (SC)'!N25</f>
        <v>0</v>
      </c>
      <c r="O28" s="91">
        <f>'Model (Matrix)'!O25-'Model (SC)'!O25</f>
        <v>0</v>
      </c>
      <c r="P28" s="91">
        <f>'Model (Matrix)'!P25-'Model (SC)'!P25</f>
        <v>0</v>
      </c>
      <c r="Q28" s="91">
        <f>'Model (Matrix)'!Q25-'Model (SC)'!Q25</f>
        <v>0</v>
      </c>
      <c r="R28" s="91">
        <f>'Model (Matrix)'!R25-'Model (SC)'!R25</f>
        <v>0</v>
      </c>
      <c r="S28" s="91">
        <f>'Model (Matrix)'!S25-'Model (SC)'!S25</f>
        <v>0</v>
      </c>
      <c r="T28" s="91">
        <f>'Model (Matrix)'!T25-'Model (SC)'!T25</f>
        <v>0</v>
      </c>
      <c r="U28" s="91">
        <f>'Model (Matrix)'!U25-'Model (SC)'!U25</f>
        <v>0</v>
      </c>
      <c r="V28" s="91">
        <f>'Model (Matrix)'!V25-'Model (SC)'!V25</f>
        <v>0</v>
      </c>
    </row>
    <row r="29" spans="1:22" x14ac:dyDescent="0.25">
      <c r="A29" s="82"/>
      <c r="B29" s="63" t="s">
        <v>140</v>
      </c>
      <c r="C29" s="91">
        <f>'Model (Matrix)'!C26-'Model (SC)'!C26</f>
        <v>0</v>
      </c>
      <c r="D29" s="91">
        <f>'Model (Matrix)'!D26-'Model (SC)'!D26</f>
        <v>0</v>
      </c>
      <c r="E29" s="91">
        <f>'Model (Matrix)'!E26-'Model (SC)'!E26</f>
        <v>0</v>
      </c>
      <c r="F29" s="91">
        <f>'Model (Matrix)'!F26-'Model (SC)'!F26</f>
        <v>0</v>
      </c>
      <c r="G29" s="91">
        <f>'Model (Matrix)'!G26-'Model (SC)'!G26</f>
        <v>0</v>
      </c>
      <c r="H29" s="91">
        <f>'Model (Matrix)'!H26-'Model (SC)'!H26</f>
        <v>0</v>
      </c>
      <c r="I29" s="91">
        <f>'Model (Matrix)'!I26-'Model (SC)'!I26</f>
        <v>0</v>
      </c>
      <c r="J29" s="91">
        <f>'Model (Matrix)'!J26-'Model (SC)'!J26</f>
        <v>0</v>
      </c>
      <c r="K29" s="91">
        <f>'Model (Matrix)'!K26-'Model (SC)'!K26</f>
        <v>0</v>
      </c>
      <c r="L29" s="91">
        <f>'Model (Matrix)'!L26-'Model (SC)'!L26</f>
        <v>0</v>
      </c>
      <c r="M29" s="91">
        <f>'Model (Matrix)'!M26-'Model (SC)'!M26</f>
        <v>0</v>
      </c>
      <c r="N29" s="91">
        <f>'Model (Matrix)'!N26-'Model (SC)'!N26</f>
        <v>0</v>
      </c>
      <c r="O29" s="91">
        <f>'Model (Matrix)'!O26-'Model (SC)'!O26</f>
        <v>0</v>
      </c>
      <c r="P29" s="91">
        <f>'Model (Matrix)'!P26-'Model (SC)'!P26</f>
        <v>0</v>
      </c>
      <c r="Q29" s="91">
        <f>'Model (Matrix)'!Q26-'Model (SC)'!Q26</f>
        <v>0</v>
      </c>
      <c r="R29" s="91">
        <f>'Model (Matrix)'!R26-'Model (SC)'!R26</f>
        <v>0</v>
      </c>
      <c r="S29" s="91">
        <f>'Model (Matrix)'!S26-'Model (SC)'!S26</f>
        <v>0</v>
      </c>
      <c r="T29" s="91">
        <f>'Model (Matrix)'!T26-'Model (SC)'!T26</f>
        <v>0</v>
      </c>
      <c r="U29" s="91">
        <f>'Model (Matrix)'!U26-'Model (SC)'!U26</f>
        <v>0</v>
      </c>
      <c r="V29" s="91">
        <f>'Model (Matrix)'!V26-'Model (SC)'!V26</f>
        <v>0</v>
      </c>
    </row>
    <row r="30" spans="1:22" x14ac:dyDescent="0.25">
      <c r="A30" s="82"/>
      <c r="B30" s="63" t="s">
        <v>141</v>
      </c>
      <c r="C30" s="91">
        <f>'Model (Matrix)'!C27-'Model (SC)'!C27</f>
        <v>0</v>
      </c>
      <c r="D30" s="91">
        <f>'Model (Matrix)'!D27-'Model (SC)'!D27</f>
        <v>0</v>
      </c>
      <c r="E30" s="91">
        <f>'Model (Matrix)'!E27-'Model (SC)'!E27</f>
        <v>0</v>
      </c>
      <c r="F30" s="91">
        <f>'Model (Matrix)'!F27-'Model (SC)'!F27</f>
        <v>0</v>
      </c>
      <c r="G30" s="91">
        <f>'Model (Matrix)'!G27-'Model (SC)'!G27</f>
        <v>0</v>
      </c>
      <c r="H30" s="91">
        <f>'Model (Matrix)'!H27-'Model (SC)'!H27</f>
        <v>0</v>
      </c>
      <c r="I30" s="91">
        <f>'Model (Matrix)'!I27-'Model (SC)'!I27</f>
        <v>0</v>
      </c>
      <c r="J30" s="91">
        <f>'Model (Matrix)'!J27-'Model (SC)'!J27</f>
        <v>0</v>
      </c>
      <c r="K30" s="91">
        <f>'Model (Matrix)'!K27-'Model (SC)'!K27</f>
        <v>0</v>
      </c>
      <c r="L30" s="91">
        <f>'Model (Matrix)'!L27-'Model (SC)'!L27</f>
        <v>0</v>
      </c>
      <c r="M30" s="91">
        <f>'Model (Matrix)'!M27-'Model (SC)'!M27</f>
        <v>0</v>
      </c>
      <c r="N30" s="91">
        <f>'Model (Matrix)'!N27-'Model (SC)'!N27</f>
        <v>0</v>
      </c>
      <c r="O30" s="91">
        <f>'Model (Matrix)'!O27-'Model (SC)'!O27</f>
        <v>0</v>
      </c>
      <c r="P30" s="91">
        <f>'Model (Matrix)'!P27-'Model (SC)'!P27</f>
        <v>0</v>
      </c>
      <c r="Q30" s="91">
        <f>'Model (Matrix)'!Q27-'Model (SC)'!Q27</f>
        <v>0</v>
      </c>
      <c r="R30" s="91">
        <f>'Model (Matrix)'!R27-'Model (SC)'!R27</f>
        <v>0</v>
      </c>
      <c r="S30" s="91">
        <f>'Model (Matrix)'!S27-'Model (SC)'!S27</f>
        <v>0</v>
      </c>
      <c r="T30" s="91">
        <f>'Model (Matrix)'!T27-'Model (SC)'!T27</f>
        <v>0</v>
      </c>
      <c r="U30" s="91">
        <f>'Model (Matrix)'!U27-'Model (SC)'!U27</f>
        <v>0</v>
      </c>
      <c r="V30" s="91">
        <f>'Model (Matrix)'!V27-'Model (SC)'!V27</f>
        <v>0</v>
      </c>
    </row>
    <row r="31" spans="1:22" x14ac:dyDescent="0.25">
      <c r="A31" s="82"/>
      <c r="B31" s="63" t="s">
        <v>142</v>
      </c>
      <c r="C31" s="91">
        <f>'Model (Matrix)'!C28-'Model (SC)'!C28</f>
        <v>0</v>
      </c>
      <c r="D31" s="91">
        <f>'Model (Matrix)'!D28-'Model (SC)'!D28</f>
        <v>0</v>
      </c>
      <c r="E31" s="91">
        <f>'Model (Matrix)'!E28-'Model (SC)'!E28</f>
        <v>0</v>
      </c>
      <c r="F31" s="91">
        <f>'Model (Matrix)'!F28-'Model (SC)'!F28</f>
        <v>0</v>
      </c>
      <c r="G31" s="91">
        <f>'Model (Matrix)'!G28-'Model (SC)'!G28</f>
        <v>0</v>
      </c>
      <c r="H31" s="91">
        <f>'Model (Matrix)'!H28-'Model (SC)'!H28</f>
        <v>0</v>
      </c>
      <c r="I31" s="91">
        <f>'Model (Matrix)'!I28-'Model (SC)'!I28</f>
        <v>0</v>
      </c>
      <c r="J31" s="91">
        <f>'Model (Matrix)'!J28-'Model (SC)'!J28</f>
        <v>0</v>
      </c>
      <c r="K31" s="91">
        <f>'Model (Matrix)'!K28-'Model (SC)'!K28</f>
        <v>0</v>
      </c>
      <c r="L31" s="91">
        <f>'Model (Matrix)'!L28-'Model (SC)'!L28</f>
        <v>0</v>
      </c>
      <c r="M31" s="91">
        <f>'Model (Matrix)'!M28-'Model (SC)'!M28</f>
        <v>0</v>
      </c>
      <c r="N31" s="91">
        <f>'Model (Matrix)'!N28-'Model (SC)'!N28</f>
        <v>0</v>
      </c>
      <c r="O31" s="91">
        <f>'Model (Matrix)'!O28-'Model (SC)'!O28</f>
        <v>0</v>
      </c>
      <c r="P31" s="91">
        <f>'Model (Matrix)'!P28-'Model (SC)'!P28</f>
        <v>0</v>
      </c>
      <c r="Q31" s="91">
        <f>'Model (Matrix)'!Q28-'Model (SC)'!Q28</f>
        <v>0</v>
      </c>
      <c r="R31" s="91">
        <f>'Model (Matrix)'!R28-'Model (SC)'!R28</f>
        <v>0</v>
      </c>
      <c r="S31" s="91">
        <f>'Model (Matrix)'!S28-'Model (SC)'!S28</f>
        <v>0</v>
      </c>
      <c r="T31" s="91">
        <f>'Model (Matrix)'!T28-'Model (SC)'!T28</f>
        <v>0</v>
      </c>
      <c r="U31" s="91">
        <f>'Model (Matrix)'!U28-'Model (SC)'!U28</f>
        <v>0</v>
      </c>
      <c r="V31" s="91">
        <f>'Model (Matrix)'!V28-'Model (SC)'!V28</f>
        <v>0</v>
      </c>
    </row>
    <row r="32" spans="1:22" x14ac:dyDescent="0.25">
      <c r="A32" s="82"/>
      <c r="B32" s="64" t="s">
        <v>130</v>
      </c>
      <c r="C32" s="91">
        <f>'Model (Matrix)'!C29-'Model (SC)'!C29</f>
        <v>0</v>
      </c>
      <c r="D32" s="91">
        <f>'Model (Matrix)'!D29-'Model (SC)'!D29</f>
        <v>0</v>
      </c>
      <c r="E32" s="91">
        <f>'Model (Matrix)'!E29-'Model (SC)'!E29</f>
        <v>0</v>
      </c>
      <c r="F32" s="91">
        <f>'Model (Matrix)'!F29-'Model (SC)'!F29</f>
        <v>0</v>
      </c>
      <c r="G32" s="91">
        <f>'Model (Matrix)'!G29-'Model (SC)'!G29</f>
        <v>0</v>
      </c>
      <c r="H32" s="91">
        <f>'Model (Matrix)'!H29-'Model (SC)'!H29</f>
        <v>0</v>
      </c>
      <c r="I32" s="91">
        <f>'Model (Matrix)'!I29-'Model (SC)'!I29</f>
        <v>0</v>
      </c>
      <c r="J32" s="91">
        <f>'Model (Matrix)'!J29-'Model (SC)'!J29</f>
        <v>0</v>
      </c>
      <c r="K32" s="91">
        <f>'Model (Matrix)'!K29-'Model (SC)'!K29</f>
        <v>0</v>
      </c>
      <c r="L32" s="91">
        <f>'Model (Matrix)'!L29-'Model (SC)'!L29</f>
        <v>0</v>
      </c>
      <c r="M32" s="91">
        <f>'Model (Matrix)'!M29-'Model (SC)'!M29</f>
        <v>0</v>
      </c>
      <c r="N32" s="91">
        <f>'Model (Matrix)'!N29-'Model (SC)'!N29</f>
        <v>0</v>
      </c>
      <c r="O32" s="91">
        <f>'Model (Matrix)'!O29-'Model (SC)'!O29</f>
        <v>0</v>
      </c>
      <c r="P32" s="91">
        <f>'Model (Matrix)'!P29-'Model (SC)'!P29</f>
        <v>0</v>
      </c>
      <c r="Q32" s="91">
        <f>'Model (Matrix)'!Q29-'Model (SC)'!Q29</f>
        <v>0</v>
      </c>
      <c r="R32" s="91">
        <f>'Model (Matrix)'!R29-'Model (SC)'!R29</f>
        <v>0</v>
      </c>
      <c r="S32" s="91">
        <f>'Model (Matrix)'!S29-'Model (SC)'!S29</f>
        <v>0</v>
      </c>
      <c r="T32" s="91">
        <f>'Model (Matrix)'!T29-'Model (SC)'!T29</f>
        <v>0</v>
      </c>
      <c r="U32" s="91">
        <f>'Model (Matrix)'!U29-'Model (SC)'!U29</f>
        <v>0</v>
      </c>
      <c r="V32" s="91">
        <f>'Model (Matrix)'!V29-'Model (SC)'!V29</f>
        <v>0</v>
      </c>
    </row>
    <row r="33" spans="1:22" x14ac:dyDescent="0.25">
      <c r="A33" s="82"/>
      <c r="B33" s="63" t="s">
        <v>143</v>
      </c>
      <c r="C33" s="91">
        <f>'Model (Matrix)'!C30-'Model (SC)'!C30</f>
        <v>0</v>
      </c>
      <c r="D33" s="91">
        <f>'Model (Matrix)'!D30-'Model (SC)'!D30</f>
        <v>0</v>
      </c>
      <c r="E33" s="91">
        <f>'Model (Matrix)'!E30-'Model (SC)'!E30</f>
        <v>0</v>
      </c>
      <c r="F33" s="91">
        <f>'Model (Matrix)'!F30-'Model (SC)'!F30</f>
        <v>0</v>
      </c>
      <c r="G33" s="91">
        <f>'Model (Matrix)'!G30-'Model (SC)'!G30</f>
        <v>0</v>
      </c>
      <c r="H33" s="91">
        <f>'Model (Matrix)'!H30-'Model (SC)'!H30</f>
        <v>0</v>
      </c>
      <c r="I33" s="91">
        <f>'Model (Matrix)'!I30-'Model (SC)'!I30</f>
        <v>0</v>
      </c>
      <c r="J33" s="91">
        <f>'Model (Matrix)'!J30-'Model (SC)'!J30</f>
        <v>0</v>
      </c>
      <c r="K33" s="91">
        <f>'Model (Matrix)'!K30-'Model (SC)'!K30</f>
        <v>0</v>
      </c>
      <c r="L33" s="91">
        <f>'Model (Matrix)'!L30-'Model (SC)'!L30</f>
        <v>0</v>
      </c>
      <c r="M33" s="91">
        <f>'Model (Matrix)'!M30-'Model (SC)'!M30</f>
        <v>0</v>
      </c>
      <c r="N33" s="91">
        <f>'Model (Matrix)'!N30-'Model (SC)'!N30</f>
        <v>0</v>
      </c>
      <c r="O33" s="91">
        <f>'Model (Matrix)'!O30-'Model (SC)'!O30</f>
        <v>0</v>
      </c>
      <c r="P33" s="91">
        <f>'Model (Matrix)'!P30-'Model (SC)'!P30</f>
        <v>0</v>
      </c>
      <c r="Q33" s="91">
        <f>'Model (Matrix)'!Q30-'Model (SC)'!Q30</f>
        <v>0</v>
      </c>
      <c r="R33" s="91">
        <f>'Model (Matrix)'!R30-'Model (SC)'!R30</f>
        <v>0</v>
      </c>
      <c r="S33" s="91">
        <f>'Model (Matrix)'!S30-'Model (SC)'!S30</f>
        <v>0</v>
      </c>
      <c r="T33" s="91">
        <f>'Model (Matrix)'!T30-'Model (SC)'!T30</f>
        <v>0</v>
      </c>
      <c r="U33" s="91">
        <f>'Model (Matrix)'!U30-'Model (SC)'!U30</f>
        <v>0</v>
      </c>
      <c r="V33" s="91">
        <f>'Model (Matrix)'!V30-'Model (SC)'!V30</f>
        <v>0</v>
      </c>
    </row>
    <row r="34" spans="1:22" x14ac:dyDescent="0.25">
      <c r="A34" s="82"/>
      <c r="B34" s="63" t="s">
        <v>616</v>
      </c>
      <c r="C34" s="91">
        <f>'Model (Matrix)'!C31-'Model (SC)'!C31</f>
        <v>0</v>
      </c>
      <c r="D34" s="91">
        <f>'Model (Matrix)'!D31-'Model (SC)'!D31</f>
        <v>0</v>
      </c>
      <c r="E34" s="91">
        <f>'Model (Matrix)'!E31-'Model (SC)'!E31</f>
        <v>0</v>
      </c>
      <c r="F34" s="91">
        <f>'Model (Matrix)'!F31-'Model (SC)'!F31</f>
        <v>0</v>
      </c>
      <c r="G34" s="91">
        <f>'Model (Matrix)'!G31-'Model (SC)'!G31</f>
        <v>0</v>
      </c>
      <c r="H34" s="91">
        <f>'Model (Matrix)'!H31-'Model (SC)'!H31</f>
        <v>0</v>
      </c>
      <c r="I34" s="91">
        <f>'Model (Matrix)'!I31-'Model (SC)'!I31</f>
        <v>0</v>
      </c>
      <c r="J34" s="91">
        <f>'Model (Matrix)'!J31-'Model (SC)'!J31</f>
        <v>0</v>
      </c>
      <c r="K34" s="91">
        <f>'Model (Matrix)'!K31-'Model (SC)'!K31</f>
        <v>0</v>
      </c>
      <c r="L34" s="91">
        <f>'Model (Matrix)'!L31-'Model (SC)'!L31</f>
        <v>0</v>
      </c>
      <c r="M34" s="91">
        <f>'Model (Matrix)'!M31-'Model (SC)'!M31</f>
        <v>0</v>
      </c>
      <c r="N34" s="91">
        <f>'Model (Matrix)'!N31-'Model (SC)'!N31</f>
        <v>0</v>
      </c>
      <c r="O34" s="91">
        <f>'Model (Matrix)'!O31-'Model (SC)'!O31</f>
        <v>0</v>
      </c>
      <c r="P34" s="91">
        <f>'Model (Matrix)'!P31-'Model (SC)'!P31</f>
        <v>0</v>
      </c>
      <c r="Q34" s="91">
        <f>'Model (Matrix)'!Q31-'Model (SC)'!Q31</f>
        <v>0</v>
      </c>
      <c r="R34" s="91">
        <f>'Model (Matrix)'!R31-'Model (SC)'!R31</f>
        <v>0</v>
      </c>
      <c r="S34" s="91">
        <f>'Model (Matrix)'!S31-'Model (SC)'!S31</f>
        <v>0</v>
      </c>
      <c r="T34" s="91">
        <f>'Model (Matrix)'!T31-'Model (SC)'!T31</f>
        <v>0</v>
      </c>
      <c r="U34" s="91">
        <f>'Model (Matrix)'!U31-'Model (SC)'!U31</f>
        <v>0</v>
      </c>
      <c r="V34" s="91">
        <f>'Model (Matrix)'!V31-'Model (SC)'!V31</f>
        <v>0</v>
      </c>
    </row>
    <row r="35" spans="1:22" x14ac:dyDescent="0.25">
      <c r="A35" s="82"/>
      <c r="B35" s="63" t="s">
        <v>144</v>
      </c>
      <c r="C35" s="91">
        <f>'Model (Matrix)'!C32-'Model (SC)'!C32</f>
        <v>0</v>
      </c>
      <c r="D35" s="91">
        <f>'Model (Matrix)'!D32-'Model (SC)'!D32</f>
        <v>0</v>
      </c>
      <c r="E35" s="91">
        <f>'Model (Matrix)'!E32-'Model (SC)'!E32</f>
        <v>0</v>
      </c>
      <c r="F35" s="91">
        <f>'Model (Matrix)'!F32-'Model (SC)'!F32</f>
        <v>0</v>
      </c>
      <c r="G35" s="91">
        <f>'Model (Matrix)'!G32-'Model (SC)'!G32</f>
        <v>0</v>
      </c>
      <c r="H35" s="91">
        <f>'Model (Matrix)'!H32-'Model (SC)'!H32</f>
        <v>0</v>
      </c>
      <c r="I35" s="91">
        <f>'Model (Matrix)'!I32-'Model (SC)'!I32</f>
        <v>0</v>
      </c>
      <c r="J35" s="91">
        <f>'Model (Matrix)'!J32-'Model (SC)'!J32</f>
        <v>0</v>
      </c>
      <c r="K35" s="91">
        <f>'Model (Matrix)'!K32-'Model (SC)'!K32</f>
        <v>0</v>
      </c>
      <c r="L35" s="91">
        <f>'Model (Matrix)'!L32-'Model (SC)'!L32</f>
        <v>0</v>
      </c>
      <c r="M35" s="91">
        <f>'Model (Matrix)'!M32-'Model (SC)'!M32</f>
        <v>0</v>
      </c>
      <c r="N35" s="91">
        <f>'Model (Matrix)'!N32-'Model (SC)'!N32</f>
        <v>0</v>
      </c>
      <c r="O35" s="91">
        <f>'Model (Matrix)'!O32-'Model (SC)'!O32</f>
        <v>0</v>
      </c>
      <c r="P35" s="91">
        <f>'Model (Matrix)'!P32-'Model (SC)'!P32</f>
        <v>0</v>
      </c>
      <c r="Q35" s="91">
        <f>'Model (Matrix)'!Q32-'Model (SC)'!Q32</f>
        <v>0</v>
      </c>
      <c r="R35" s="91">
        <f>'Model (Matrix)'!R32-'Model (SC)'!R32</f>
        <v>0</v>
      </c>
      <c r="S35" s="91">
        <f>'Model (Matrix)'!S32-'Model (SC)'!S32</f>
        <v>0</v>
      </c>
      <c r="T35" s="91">
        <f>'Model (Matrix)'!T32-'Model (SC)'!T32</f>
        <v>0</v>
      </c>
      <c r="U35" s="91">
        <f>'Model (Matrix)'!U32-'Model (SC)'!U32</f>
        <v>0</v>
      </c>
      <c r="V35" s="91">
        <f>'Model (Matrix)'!V32-'Model (SC)'!V32</f>
        <v>0</v>
      </c>
    </row>
    <row r="36" spans="1:22" x14ac:dyDescent="0.25">
      <c r="A36" s="82"/>
      <c r="B36" s="63" t="s">
        <v>145</v>
      </c>
      <c r="C36" s="91">
        <f>'Model (Matrix)'!C33-'Model (SC)'!C33</f>
        <v>0</v>
      </c>
      <c r="D36" s="91">
        <f>'Model (Matrix)'!D33-'Model (SC)'!D33</f>
        <v>0</v>
      </c>
      <c r="E36" s="91">
        <f>'Model (Matrix)'!E33-'Model (SC)'!E33</f>
        <v>0</v>
      </c>
      <c r="F36" s="91">
        <f>'Model (Matrix)'!F33-'Model (SC)'!F33</f>
        <v>0</v>
      </c>
      <c r="G36" s="91">
        <f>'Model (Matrix)'!G33-'Model (SC)'!G33</f>
        <v>0</v>
      </c>
      <c r="H36" s="91">
        <f>'Model (Matrix)'!H33-'Model (SC)'!H33</f>
        <v>0</v>
      </c>
      <c r="I36" s="91">
        <f>'Model (Matrix)'!I33-'Model (SC)'!I33</f>
        <v>0</v>
      </c>
      <c r="J36" s="91">
        <f>'Model (Matrix)'!J33-'Model (SC)'!J33</f>
        <v>0</v>
      </c>
      <c r="K36" s="91">
        <f>'Model (Matrix)'!K33-'Model (SC)'!K33</f>
        <v>0</v>
      </c>
      <c r="L36" s="91">
        <f>'Model (Matrix)'!L33-'Model (SC)'!L33</f>
        <v>0</v>
      </c>
      <c r="M36" s="91">
        <f>'Model (Matrix)'!M33-'Model (SC)'!M33</f>
        <v>0</v>
      </c>
      <c r="N36" s="91">
        <f>'Model (Matrix)'!N33-'Model (SC)'!N33</f>
        <v>0</v>
      </c>
      <c r="O36" s="91">
        <f>'Model (Matrix)'!O33-'Model (SC)'!O33</f>
        <v>0</v>
      </c>
      <c r="P36" s="91">
        <f>'Model (Matrix)'!P33-'Model (SC)'!P33</f>
        <v>0</v>
      </c>
      <c r="Q36" s="91">
        <f>'Model (Matrix)'!Q33-'Model (SC)'!Q33</f>
        <v>0</v>
      </c>
      <c r="R36" s="91">
        <f>'Model (Matrix)'!R33-'Model (SC)'!R33</f>
        <v>0</v>
      </c>
      <c r="S36" s="91">
        <f>'Model (Matrix)'!S33-'Model (SC)'!S33</f>
        <v>0</v>
      </c>
      <c r="T36" s="91">
        <f>'Model (Matrix)'!T33-'Model (SC)'!T33</f>
        <v>0</v>
      </c>
      <c r="U36" s="91">
        <f>'Model (Matrix)'!U33-'Model (SC)'!U33</f>
        <v>0</v>
      </c>
      <c r="V36" s="91">
        <f>'Model (Matrix)'!V33-'Model (SC)'!V33</f>
        <v>0</v>
      </c>
    </row>
    <row r="37" spans="1:22" x14ac:dyDescent="0.25">
      <c r="A37" s="82"/>
      <c r="B37" s="63" t="s">
        <v>146</v>
      </c>
      <c r="C37" s="91">
        <f>'Model (Matrix)'!C34-'Model (SC)'!C34</f>
        <v>0</v>
      </c>
      <c r="D37" s="91">
        <f>'Model (Matrix)'!D34-'Model (SC)'!D34</f>
        <v>0</v>
      </c>
      <c r="E37" s="91">
        <f>'Model (Matrix)'!E34-'Model (SC)'!E34</f>
        <v>0</v>
      </c>
      <c r="F37" s="91">
        <f>'Model (Matrix)'!F34-'Model (SC)'!F34</f>
        <v>0</v>
      </c>
      <c r="G37" s="91">
        <f>'Model (Matrix)'!G34-'Model (SC)'!G34</f>
        <v>0</v>
      </c>
      <c r="H37" s="91">
        <f>'Model (Matrix)'!H34-'Model (SC)'!H34</f>
        <v>0</v>
      </c>
      <c r="I37" s="91">
        <f>'Model (Matrix)'!I34-'Model (SC)'!I34</f>
        <v>0</v>
      </c>
      <c r="J37" s="91">
        <f>'Model (Matrix)'!J34-'Model (SC)'!J34</f>
        <v>0</v>
      </c>
      <c r="K37" s="91">
        <f>'Model (Matrix)'!K34-'Model (SC)'!K34</f>
        <v>0</v>
      </c>
      <c r="L37" s="91">
        <f>'Model (Matrix)'!L34-'Model (SC)'!L34</f>
        <v>0</v>
      </c>
      <c r="M37" s="91">
        <f>'Model (Matrix)'!M34-'Model (SC)'!M34</f>
        <v>0</v>
      </c>
      <c r="N37" s="91">
        <f>'Model (Matrix)'!N34-'Model (SC)'!N34</f>
        <v>0</v>
      </c>
      <c r="O37" s="91">
        <f>'Model (Matrix)'!O34-'Model (SC)'!O34</f>
        <v>0</v>
      </c>
      <c r="P37" s="91">
        <f>'Model (Matrix)'!P34-'Model (SC)'!P34</f>
        <v>0</v>
      </c>
      <c r="Q37" s="91">
        <f>'Model (Matrix)'!Q34-'Model (SC)'!Q34</f>
        <v>0</v>
      </c>
      <c r="R37" s="91">
        <f>'Model (Matrix)'!R34-'Model (SC)'!R34</f>
        <v>0</v>
      </c>
      <c r="S37" s="91">
        <f>'Model (Matrix)'!S34-'Model (SC)'!S34</f>
        <v>0</v>
      </c>
      <c r="T37" s="91">
        <f>'Model (Matrix)'!T34-'Model (SC)'!T34</f>
        <v>0</v>
      </c>
      <c r="U37" s="91">
        <f>'Model (Matrix)'!U34-'Model (SC)'!U34</f>
        <v>0</v>
      </c>
      <c r="V37" s="91">
        <f>'Model (Matrix)'!V34-'Model (SC)'!V34</f>
        <v>0</v>
      </c>
    </row>
    <row r="38" spans="1:22" x14ac:dyDescent="0.25">
      <c r="A38" s="82"/>
      <c r="B38" s="98" t="s">
        <v>131</v>
      </c>
      <c r="C38" s="91">
        <f>'Model (Matrix)'!C35-'Model (SC)'!C35</f>
        <v>0</v>
      </c>
      <c r="D38" s="91">
        <f>'Model (Matrix)'!D35-'Model (SC)'!D35</f>
        <v>0</v>
      </c>
      <c r="E38" s="91">
        <f>'Model (Matrix)'!E35-'Model (SC)'!E35</f>
        <v>0</v>
      </c>
      <c r="F38" s="91">
        <f>'Model (Matrix)'!F35-'Model (SC)'!F35</f>
        <v>0</v>
      </c>
      <c r="G38" s="91">
        <f>'Model (Matrix)'!G35-'Model (SC)'!G35</f>
        <v>0</v>
      </c>
      <c r="H38" s="91">
        <f>'Model (Matrix)'!H35-'Model (SC)'!H35</f>
        <v>0</v>
      </c>
      <c r="I38" s="91">
        <f>'Model (Matrix)'!I35-'Model (SC)'!I35</f>
        <v>0</v>
      </c>
      <c r="J38" s="91">
        <f>'Model (Matrix)'!J35-'Model (SC)'!J35</f>
        <v>0</v>
      </c>
      <c r="K38" s="91">
        <f>'Model (Matrix)'!K35-'Model (SC)'!K35</f>
        <v>0</v>
      </c>
      <c r="L38" s="91">
        <f>'Model (Matrix)'!L35-'Model (SC)'!L35</f>
        <v>0</v>
      </c>
      <c r="M38" s="91">
        <f>'Model (Matrix)'!M35-'Model (SC)'!M35</f>
        <v>0</v>
      </c>
      <c r="N38" s="91">
        <f>'Model (Matrix)'!N35-'Model (SC)'!N35</f>
        <v>0</v>
      </c>
      <c r="O38" s="91">
        <f>'Model (Matrix)'!O35-'Model (SC)'!O35</f>
        <v>0</v>
      </c>
      <c r="P38" s="91">
        <f>'Model (Matrix)'!P35-'Model (SC)'!P35</f>
        <v>0</v>
      </c>
      <c r="Q38" s="91">
        <f>'Model (Matrix)'!Q35-'Model (SC)'!Q35</f>
        <v>0</v>
      </c>
      <c r="R38" s="91">
        <f>'Model (Matrix)'!R35-'Model (SC)'!R35</f>
        <v>0</v>
      </c>
      <c r="S38" s="91">
        <f>'Model (Matrix)'!S35-'Model (SC)'!S35</f>
        <v>0</v>
      </c>
      <c r="T38" s="91">
        <f>'Model (Matrix)'!T35-'Model (SC)'!T35</f>
        <v>0</v>
      </c>
      <c r="U38" s="91">
        <f>'Model (Matrix)'!U35-'Model (SC)'!U35</f>
        <v>0</v>
      </c>
      <c r="V38" s="91">
        <f>'Model (Matrix)'!V35-'Model (SC)'!V35</f>
        <v>0</v>
      </c>
    </row>
    <row r="39" spans="1:22" x14ac:dyDescent="0.25">
      <c r="A39" s="86" t="s">
        <v>315</v>
      </c>
      <c r="B39" s="64"/>
      <c r="C39" s="91"/>
      <c r="D39" s="91"/>
      <c r="E39" s="91"/>
      <c r="F39" s="91"/>
      <c r="G39" s="91"/>
      <c r="H39" s="91"/>
      <c r="I39" s="91"/>
      <c r="J39" s="91"/>
      <c r="K39" s="91"/>
      <c r="L39" s="91"/>
      <c r="M39" s="91"/>
      <c r="N39" s="91"/>
      <c r="O39" s="91"/>
      <c r="P39" s="91"/>
      <c r="Q39" s="91"/>
      <c r="R39" s="91"/>
      <c r="S39" s="91"/>
      <c r="T39" s="91"/>
      <c r="U39" s="91"/>
      <c r="V39" s="91"/>
    </row>
    <row r="40" spans="1:22" x14ac:dyDescent="0.25">
      <c r="A40" s="82"/>
      <c r="B40" s="64" t="s">
        <v>124</v>
      </c>
      <c r="C40" s="91">
        <f>'Model (Matrix)'!C37-'Model (SC)'!C37</f>
        <v>0</v>
      </c>
      <c r="D40" s="91">
        <f>'Model (Matrix)'!D37-'Model (SC)'!D37</f>
        <v>0</v>
      </c>
      <c r="E40" s="91">
        <f>'Model (Matrix)'!E37-'Model (SC)'!E37</f>
        <v>0</v>
      </c>
      <c r="F40" s="91">
        <f>'Model (Matrix)'!F37-'Model (SC)'!F37</f>
        <v>0</v>
      </c>
      <c r="G40" s="91">
        <f>'Model (Matrix)'!G37-'Model (SC)'!G37</f>
        <v>0</v>
      </c>
      <c r="H40" s="91">
        <f>'Model (Matrix)'!H37-'Model (SC)'!H37</f>
        <v>0</v>
      </c>
      <c r="I40" s="91">
        <f>'Model (Matrix)'!I37-'Model (SC)'!I37</f>
        <v>0</v>
      </c>
      <c r="J40" s="91">
        <f>'Model (Matrix)'!J37-'Model (SC)'!J37</f>
        <v>0</v>
      </c>
      <c r="K40" s="91">
        <f>'Model (Matrix)'!K37-'Model (SC)'!K37</f>
        <v>0</v>
      </c>
      <c r="L40" s="91">
        <f>'Model (Matrix)'!L37-'Model (SC)'!L37</f>
        <v>0</v>
      </c>
      <c r="M40" s="91">
        <f>'Model (Matrix)'!M37-'Model (SC)'!M37</f>
        <v>0</v>
      </c>
      <c r="N40" s="91">
        <f>'Model (Matrix)'!N37-'Model (SC)'!N37</f>
        <v>0</v>
      </c>
      <c r="O40" s="91">
        <f>'Model (Matrix)'!O37-'Model (SC)'!O37</f>
        <v>0</v>
      </c>
      <c r="P40" s="91">
        <f>'Model (Matrix)'!P37-'Model (SC)'!P37</f>
        <v>0</v>
      </c>
      <c r="Q40" s="91">
        <f>'Model (Matrix)'!Q37-'Model (SC)'!Q37</f>
        <v>0</v>
      </c>
      <c r="R40" s="91">
        <f>'Model (Matrix)'!R37-'Model (SC)'!R37</f>
        <v>0</v>
      </c>
      <c r="S40" s="91">
        <f>'Model (Matrix)'!S37-'Model (SC)'!S37</f>
        <v>0</v>
      </c>
      <c r="T40" s="91">
        <f>'Model (Matrix)'!T37-'Model (SC)'!T37</f>
        <v>0</v>
      </c>
      <c r="U40" s="91">
        <f>'Model (Matrix)'!U37-'Model (SC)'!U37</f>
        <v>0</v>
      </c>
      <c r="V40" s="91">
        <f>'Model (Matrix)'!V37-'Model (SC)'!V37</f>
        <v>0</v>
      </c>
    </row>
    <row r="41" spans="1:22" x14ac:dyDescent="0.25">
      <c r="A41" s="82"/>
      <c r="B41" s="64" t="s">
        <v>125</v>
      </c>
      <c r="C41" s="91">
        <f>'Model (Matrix)'!C38-'Model (SC)'!C38</f>
        <v>0</v>
      </c>
      <c r="D41" s="91">
        <f>'Model (Matrix)'!D38-'Model (SC)'!D38</f>
        <v>0</v>
      </c>
      <c r="E41" s="91">
        <f>'Model (Matrix)'!E38-'Model (SC)'!E38</f>
        <v>0</v>
      </c>
      <c r="F41" s="91">
        <f>'Model (Matrix)'!F38-'Model (SC)'!F38</f>
        <v>0</v>
      </c>
      <c r="G41" s="91">
        <f>'Model (Matrix)'!G38-'Model (SC)'!G38</f>
        <v>0</v>
      </c>
      <c r="H41" s="91">
        <f>'Model (Matrix)'!H38-'Model (SC)'!H38</f>
        <v>0</v>
      </c>
      <c r="I41" s="91">
        <f>'Model (Matrix)'!I38-'Model (SC)'!I38</f>
        <v>0</v>
      </c>
      <c r="J41" s="91">
        <f>'Model (Matrix)'!J38-'Model (SC)'!J38</f>
        <v>0</v>
      </c>
      <c r="K41" s="91">
        <f>'Model (Matrix)'!K38-'Model (SC)'!K38</f>
        <v>0</v>
      </c>
      <c r="L41" s="91">
        <f>'Model (Matrix)'!L38-'Model (SC)'!L38</f>
        <v>0</v>
      </c>
      <c r="M41" s="91">
        <f>'Model (Matrix)'!M38-'Model (SC)'!M38</f>
        <v>0</v>
      </c>
      <c r="N41" s="91">
        <f>'Model (Matrix)'!N38-'Model (SC)'!N38</f>
        <v>0</v>
      </c>
      <c r="O41" s="91">
        <f>'Model (Matrix)'!O38-'Model (SC)'!O38</f>
        <v>0</v>
      </c>
      <c r="P41" s="91">
        <f>'Model (Matrix)'!P38-'Model (SC)'!P38</f>
        <v>0</v>
      </c>
      <c r="Q41" s="91">
        <f>'Model (Matrix)'!Q38-'Model (SC)'!Q38</f>
        <v>0</v>
      </c>
      <c r="R41" s="91">
        <f>'Model (Matrix)'!R38-'Model (SC)'!R38</f>
        <v>0</v>
      </c>
      <c r="S41" s="91">
        <f>'Model (Matrix)'!S38-'Model (SC)'!S38</f>
        <v>0</v>
      </c>
      <c r="T41" s="91">
        <f>'Model (Matrix)'!T38-'Model (SC)'!T38</f>
        <v>0</v>
      </c>
      <c r="U41" s="91">
        <f>'Model (Matrix)'!U38-'Model (SC)'!U38</f>
        <v>0</v>
      </c>
      <c r="V41" s="91">
        <f>'Model (Matrix)'!V38-'Model (SC)'!V38</f>
        <v>0</v>
      </c>
    </row>
    <row r="42" spans="1:22" x14ac:dyDescent="0.25">
      <c r="A42" s="82"/>
      <c r="B42" s="64" t="s">
        <v>147</v>
      </c>
      <c r="C42" s="91">
        <f>'Model (Matrix)'!C39-'Model (SC)'!C39</f>
        <v>0</v>
      </c>
      <c r="D42" s="91">
        <f>'Model (Matrix)'!D39-'Model (SC)'!D39</f>
        <v>0</v>
      </c>
      <c r="E42" s="91">
        <f>'Model (Matrix)'!E39-'Model (SC)'!E39</f>
        <v>0</v>
      </c>
      <c r="F42" s="91">
        <f>'Model (Matrix)'!F39-'Model (SC)'!F39</f>
        <v>0</v>
      </c>
      <c r="G42" s="91">
        <f>'Model (Matrix)'!G39-'Model (SC)'!G39</f>
        <v>0</v>
      </c>
      <c r="H42" s="91">
        <f>'Model (Matrix)'!H39-'Model (SC)'!H39</f>
        <v>0</v>
      </c>
      <c r="I42" s="91">
        <f>'Model (Matrix)'!I39-'Model (SC)'!I39</f>
        <v>0</v>
      </c>
      <c r="J42" s="91">
        <f>'Model (Matrix)'!J39-'Model (SC)'!J39</f>
        <v>0</v>
      </c>
      <c r="K42" s="91">
        <f>'Model (Matrix)'!K39-'Model (SC)'!K39</f>
        <v>0</v>
      </c>
      <c r="L42" s="91">
        <f>'Model (Matrix)'!L39-'Model (SC)'!L39</f>
        <v>0</v>
      </c>
      <c r="M42" s="91">
        <f>'Model (Matrix)'!M39-'Model (SC)'!M39</f>
        <v>0</v>
      </c>
      <c r="N42" s="91">
        <f>'Model (Matrix)'!N39-'Model (SC)'!N39</f>
        <v>0</v>
      </c>
      <c r="O42" s="91">
        <f>'Model (Matrix)'!O39-'Model (SC)'!O39</f>
        <v>0</v>
      </c>
      <c r="P42" s="91">
        <f>'Model (Matrix)'!P39-'Model (SC)'!P39</f>
        <v>0</v>
      </c>
      <c r="Q42" s="91">
        <f>'Model (Matrix)'!Q39-'Model (SC)'!Q39</f>
        <v>0</v>
      </c>
      <c r="R42" s="91">
        <f>'Model (Matrix)'!R39-'Model (SC)'!R39</f>
        <v>0</v>
      </c>
      <c r="S42" s="91">
        <f>'Model (Matrix)'!S39-'Model (SC)'!S39</f>
        <v>0</v>
      </c>
      <c r="T42" s="91">
        <f>'Model (Matrix)'!T39-'Model (SC)'!T39</f>
        <v>0</v>
      </c>
      <c r="U42" s="91">
        <f>'Model (Matrix)'!U39-'Model (SC)'!U39</f>
        <v>0</v>
      </c>
      <c r="V42" s="91">
        <f>'Model (Matrix)'!V39-'Model (SC)'!V39</f>
        <v>0</v>
      </c>
    </row>
    <row r="43" spans="1:22" x14ac:dyDescent="0.25">
      <c r="A43" s="82"/>
      <c r="B43" s="63" t="s">
        <v>148</v>
      </c>
      <c r="C43" s="91">
        <f>'Model (Matrix)'!C40-'Model (SC)'!C40</f>
        <v>0</v>
      </c>
      <c r="D43" s="91">
        <f>'Model (Matrix)'!D40-'Model (SC)'!D40</f>
        <v>0</v>
      </c>
      <c r="E43" s="91">
        <f>'Model (Matrix)'!E40-'Model (SC)'!E40</f>
        <v>0</v>
      </c>
      <c r="F43" s="91">
        <f>'Model (Matrix)'!F40-'Model (SC)'!F40</f>
        <v>0</v>
      </c>
      <c r="G43" s="91">
        <f>'Model (Matrix)'!G40-'Model (SC)'!G40</f>
        <v>0</v>
      </c>
      <c r="H43" s="91">
        <f>'Model (Matrix)'!H40-'Model (SC)'!H40</f>
        <v>0</v>
      </c>
      <c r="I43" s="91">
        <f>'Model (Matrix)'!I40-'Model (SC)'!I40</f>
        <v>0</v>
      </c>
      <c r="J43" s="91">
        <f>'Model (Matrix)'!J40-'Model (SC)'!J40</f>
        <v>0</v>
      </c>
      <c r="K43" s="91">
        <f>'Model (Matrix)'!K40-'Model (SC)'!K40</f>
        <v>0</v>
      </c>
      <c r="L43" s="91">
        <f>'Model (Matrix)'!L40-'Model (SC)'!L40</f>
        <v>0</v>
      </c>
      <c r="M43" s="91">
        <f>'Model (Matrix)'!M40-'Model (SC)'!M40</f>
        <v>0</v>
      </c>
      <c r="N43" s="91">
        <f>'Model (Matrix)'!N40-'Model (SC)'!N40</f>
        <v>0</v>
      </c>
      <c r="O43" s="91">
        <f>'Model (Matrix)'!O40-'Model (SC)'!O40</f>
        <v>0</v>
      </c>
      <c r="P43" s="91">
        <f>'Model (Matrix)'!P40-'Model (SC)'!P40</f>
        <v>0</v>
      </c>
      <c r="Q43" s="91">
        <f>'Model (Matrix)'!Q40-'Model (SC)'!Q40</f>
        <v>0</v>
      </c>
      <c r="R43" s="91">
        <f>'Model (Matrix)'!R40-'Model (SC)'!R40</f>
        <v>0</v>
      </c>
      <c r="S43" s="91">
        <f>'Model (Matrix)'!S40-'Model (SC)'!S40</f>
        <v>0</v>
      </c>
      <c r="T43" s="91">
        <f>'Model (Matrix)'!T40-'Model (SC)'!T40</f>
        <v>0</v>
      </c>
      <c r="U43" s="91">
        <f>'Model (Matrix)'!U40-'Model (SC)'!U40</f>
        <v>0</v>
      </c>
      <c r="V43" s="91">
        <f>'Model (Matrix)'!V40-'Model (SC)'!V40</f>
        <v>0</v>
      </c>
    </row>
    <row r="44" spans="1:22" x14ac:dyDescent="0.25">
      <c r="A44" s="82"/>
      <c r="B44" s="64" t="s">
        <v>133</v>
      </c>
      <c r="C44" s="91">
        <f>'Model (Matrix)'!C41-'Model (SC)'!C41</f>
        <v>0</v>
      </c>
      <c r="D44" s="91">
        <f>'Model (Matrix)'!D41-'Model (SC)'!D41</f>
        <v>0</v>
      </c>
      <c r="E44" s="91">
        <f>'Model (Matrix)'!E41-'Model (SC)'!E41</f>
        <v>0</v>
      </c>
      <c r="F44" s="91">
        <f>'Model (Matrix)'!F41-'Model (SC)'!F41</f>
        <v>0</v>
      </c>
      <c r="G44" s="91">
        <f>'Model (Matrix)'!G41-'Model (SC)'!G41</f>
        <v>0</v>
      </c>
      <c r="H44" s="91">
        <f>'Model (Matrix)'!H41-'Model (SC)'!H41</f>
        <v>0</v>
      </c>
      <c r="I44" s="91">
        <f>'Model (Matrix)'!I41-'Model (SC)'!I41</f>
        <v>0</v>
      </c>
      <c r="J44" s="91">
        <f>'Model (Matrix)'!J41-'Model (SC)'!J41</f>
        <v>0</v>
      </c>
      <c r="K44" s="91">
        <f>'Model (Matrix)'!K41-'Model (SC)'!K41</f>
        <v>0</v>
      </c>
      <c r="L44" s="91">
        <f>'Model (Matrix)'!L41-'Model (SC)'!L41</f>
        <v>0</v>
      </c>
      <c r="M44" s="91">
        <f>'Model (Matrix)'!M41-'Model (SC)'!M41</f>
        <v>0</v>
      </c>
      <c r="N44" s="91">
        <f>'Model (Matrix)'!N41-'Model (SC)'!N41</f>
        <v>0</v>
      </c>
      <c r="O44" s="91">
        <f>'Model (Matrix)'!O41-'Model (SC)'!O41</f>
        <v>0</v>
      </c>
      <c r="P44" s="91">
        <f>'Model (Matrix)'!P41-'Model (SC)'!P41</f>
        <v>0</v>
      </c>
      <c r="Q44" s="91">
        <f>'Model (Matrix)'!Q41-'Model (SC)'!Q41</f>
        <v>0</v>
      </c>
      <c r="R44" s="91">
        <f>'Model (Matrix)'!R41-'Model (SC)'!R41</f>
        <v>0</v>
      </c>
      <c r="S44" s="91">
        <f>'Model (Matrix)'!S41-'Model (SC)'!S41</f>
        <v>0</v>
      </c>
      <c r="T44" s="91">
        <f>'Model (Matrix)'!T41-'Model (SC)'!T41</f>
        <v>0</v>
      </c>
      <c r="U44" s="91">
        <f>'Model (Matrix)'!U41-'Model (SC)'!U41</f>
        <v>0</v>
      </c>
      <c r="V44" s="91">
        <f>'Model (Matrix)'!V41-'Model (SC)'!V41</f>
        <v>0</v>
      </c>
    </row>
    <row r="45" spans="1:22" x14ac:dyDescent="0.25">
      <c r="A45" s="82"/>
      <c r="B45" s="64" t="s">
        <v>126</v>
      </c>
      <c r="C45" s="91">
        <f>'Model (Matrix)'!C42-'Model (SC)'!C42</f>
        <v>0</v>
      </c>
      <c r="D45" s="91">
        <f>'Model (Matrix)'!D42-'Model (SC)'!D42</f>
        <v>0</v>
      </c>
      <c r="E45" s="91">
        <f>'Model (Matrix)'!E42-'Model (SC)'!E42</f>
        <v>0</v>
      </c>
      <c r="F45" s="91">
        <f>'Model (Matrix)'!F42-'Model (SC)'!F42</f>
        <v>0</v>
      </c>
      <c r="G45" s="91">
        <f>'Model (Matrix)'!G42-'Model (SC)'!G42</f>
        <v>0</v>
      </c>
      <c r="H45" s="91">
        <f>'Model (Matrix)'!H42-'Model (SC)'!H42</f>
        <v>0</v>
      </c>
      <c r="I45" s="91">
        <f>'Model (Matrix)'!I42-'Model (SC)'!I42</f>
        <v>0</v>
      </c>
      <c r="J45" s="91">
        <f>'Model (Matrix)'!J42-'Model (SC)'!J42</f>
        <v>0</v>
      </c>
      <c r="K45" s="91">
        <f>'Model (Matrix)'!K42-'Model (SC)'!K42</f>
        <v>0</v>
      </c>
      <c r="L45" s="91">
        <f>'Model (Matrix)'!L42-'Model (SC)'!L42</f>
        <v>0</v>
      </c>
      <c r="M45" s="91">
        <f>'Model (Matrix)'!M42-'Model (SC)'!M42</f>
        <v>0</v>
      </c>
      <c r="N45" s="91">
        <f>'Model (Matrix)'!N42-'Model (SC)'!N42</f>
        <v>0</v>
      </c>
      <c r="O45" s="91">
        <f>'Model (Matrix)'!O42-'Model (SC)'!O42</f>
        <v>0</v>
      </c>
      <c r="P45" s="91">
        <f>'Model (Matrix)'!P42-'Model (SC)'!P42</f>
        <v>0</v>
      </c>
      <c r="Q45" s="91">
        <f>'Model (Matrix)'!Q42-'Model (SC)'!Q42</f>
        <v>0</v>
      </c>
      <c r="R45" s="91">
        <f>'Model (Matrix)'!R42-'Model (SC)'!R42</f>
        <v>0</v>
      </c>
      <c r="S45" s="91">
        <f>'Model (Matrix)'!S42-'Model (SC)'!S42</f>
        <v>0</v>
      </c>
      <c r="T45" s="91">
        <f>'Model (Matrix)'!T42-'Model (SC)'!T42</f>
        <v>0</v>
      </c>
      <c r="U45" s="91">
        <f>'Model (Matrix)'!U42-'Model (SC)'!U42</f>
        <v>0</v>
      </c>
      <c r="V45" s="91">
        <f>'Model (Matrix)'!V42-'Model (SC)'!V42</f>
        <v>0</v>
      </c>
    </row>
    <row r="46" spans="1:22" x14ac:dyDescent="0.25">
      <c r="A46" s="82"/>
      <c r="B46" s="63" t="s">
        <v>134</v>
      </c>
      <c r="C46" s="91">
        <f>'Model (Matrix)'!C43-'Model (SC)'!C43</f>
        <v>0</v>
      </c>
      <c r="D46" s="91">
        <f>'Model (Matrix)'!D43-'Model (SC)'!D43</f>
        <v>0</v>
      </c>
      <c r="E46" s="91">
        <f>'Model (Matrix)'!E43-'Model (SC)'!E43</f>
        <v>0</v>
      </c>
      <c r="F46" s="91">
        <f>'Model (Matrix)'!F43-'Model (SC)'!F43</f>
        <v>0</v>
      </c>
      <c r="G46" s="91">
        <f>'Model (Matrix)'!G43-'Model (SC)'!G43</f>
        <v>0</v>
      </c>
      <c r="H46" s="91">
        <f>'Model (Matrix)'!H43-'Model (SC)'!H43</f>
        <v>0</v>
      </c>
      <c r="I46" s="91">
        <f>'Model (Matrix)'!I43-'Model (SC)'!I43</f>
        <v>0</v>
      </c>
      <c r="J46" s="91">
        <f>'Model (Matrix)'!J43-'Model (SC)'!J43</f>
        <v>0</v>
      </c>
      <c r="K46" s="91">
        <f>'Model (Matrix)'!K43-'Model (SC)'!K43</f>
        <v>0</v>
      </c>
      <c r="L46" s="91">
        <f>'Model (Matrix)'!L43-'Model (SC)'!L43</f>
        <v>0</v>
      </c>
      <c r="M46" s="91">
        <f>'Model (Matrix)'!M43-'Model (SC)'!M43</f>
        <v>0</v>
      </c>
      <c r="N46" s="91">
        <f>'Model (Matrix)'!N43-'Model (SC)'!N43</f>
        <v>0</v>
      </c>
      <c r="O46" s="91">
        <f>'Model (Matrix)'!O43-'Model (SC)'!O43</f>
        <v>0</v>
      </c>
      <c r="P46" s="91">
        <f>'Model (Matrix)'!P43-'Model (SC)'!P43</f>
        <v>0</v>
      </c>
      <c r="Q46" s="91">
        <f>'Model (Matrix)'!Q43-'Model (SC)'!Q43</f>
        <v>0</v>
      </c>
      <c r="R46" s="91">
        <f>'Model (Matrix)'!R43-'Model (SC)'!R43</f>
        <v>0</v>
      </c>
      <c r="S46" s="91">
        <f>'Model (Matrix)'!S43-'Model (SC)'!S43</f>
        <v>0</v>
      </c>
      <c r="T46" s="91">
        <f>'Model (Matrix)'!T43-'Model (SC)'!T43</f>
        <v>0</v>
      </c>
      <c r="U46" s="91">
        <f>'Model (Matrix)'!U43-'Model (SC)'!U43</f>
        <v>0</v>
      </c>
      <c r="V46" s="91">
        <f>'Model (Matrix)'!V43-'Model (SC)'!V43</f>
        <v>0</v>
      </c>
    </row>
    <row r="47" spans="1:22" x14ac:dyDescent="0.25">
      <c r="A47" s="82"/>
      <c r="B47" s="63" t="s">
        <v>623</v>
      </c>
      <c r="C47" s="91">
        <f>'Model (Matrix)'!C44-'Model (SC)'!C44</f>
        <v>0</v>
      </c>
      <c r="D47" s="91">
        <f>'Model (Matrix)'!D44-'Model (SC)'!D44</f>
        <v>0</v>
      </c>
      <c r="E47" s="91">
        <f>'Model (Matrix)'!E44-'Model (SC)'!E44</f>
        <v>0</v>
      </c>
      <c r="F47" s="91">
        <f>'Model (Matrix)'!F44-'Model (SC)'!F44</f>
        <v>0</v>
      </c>
      <c r="G47" s="91">
        <f>'Model (Matrix)'!G44-'Model (SC)'!G44</f>
        <v>0</v>
      </c>
      <c r="H47" s="91">
        <f>'Model (Matrix)'!H44-'Model (SC)'!H44</f>
        <v>0</v>
      </c>
      <c r="I47" s="91">
        <f>'Model (Matrix)'!I44-'Model (SC)'!I44</f>
        <v>0</v>
      </c>
      <c r="J47" s="91">
        <f>'Model (Matrix)'!J44-'Model (SC)'!J44</f>
        <v>0</v>
      </c>
      <c r="K47" s="91">
        <f>'Model (Matrix)'!K44-'Model (SC)'!K44</f>
        <v>0</v>
      </c>
      <c r="L47" s="91">
        <f>'Model (Matrix)'!L44-'Model (SC)'!L44</f>
        <v>0</v>
      </c>
      <c r="M47" s="91">
        <f>'Model (Matrix)'!M44-'Model (SC)'!M44</f>
        <v>0</v>
      </c>
      <c r="N47" s="91">
        <f>'Model (Matrix)'!N44-'Model (SC)'!N44</f>
        <v>0</v>
      </c>
      <c r="O47" s="91">
        <f>'Model (Matrix)'!O44-'Model (SC)'!O44</f>
        <v>0</v>
      </c>
      <c r="P47" s="91">
        <f>'Model (Matrix)'!P44-'Model (SC)'!P44</f>
        <v>0</v>
      </c>
      <c r="Q47" s="91">
        <f>'Model (Matrix)'!Q44-'Model (SC)'!Q44</f>
        <v>0</v>
      </c>
      <c r="R47" s="91">
        <f>'Model (Matrix)'!R44-'Model (SC)'!R44</f>
        <v>0</v>
      </c>
      <c r="S47" s="91">
        <f>'Model (Matrix)'!S44-'Model (SC)'!S44</f>
        <v>0</v>
      </c>
      <c r="T47" s="91">
        <f>'Model (Matrix)'!T44-'Model (SC)'!T44</f>
        <v>0</v>
      </c>
      <c r="U47" s="91">
        <f>'Model (Matrix)'!U44-'Model (SC)'!U44</f>
        <v>0</v>
      </c>
      <c r="V47" s="91">
        <f>'Model (Matrix)'!V44-'Model (SC)'!V44</f>
        <v>0</v>
      </c>
    </row>
    <row r="48" spans="1:22" x14ac:dyDescent="0.25">
      <c r="A48" s="82"/>
      <c r="B48" s="63" t="s">
        <v>618</v>
      </c>
      <c r="C48" s="91">
        <f>'Model (Matrix)'!C45-'Model (SC)'!C45</f>
        <v>0</v>
      </c>
      <c r="D48" s="91">
        <f>'Model (Matrix)'!D45-'Model (SC)'!D45</f>
        <v>0</v>
      </c>
      <c r="E48" s="91">
        <f>'Model (Matrix)'!E45-'Model (SC)'!E45</f>
        <v>0</v>
      </c>
      <c r="F48" s="91">
        <f>'Model (Matrix)'!F45-'Model (SC)'!F45</f>
        <v>0</v>
      </c>
      <c r="G48" s="91">
        <f>'Model (Matrix)'!G45-'Model (SC)'!G45</f>
        <v>0</v>
      </c>
      <c r="H48" s="91">
        <f>'Model (Matrix)'!H45-'Model (SC)'!H45</f>
        <v>0</v>
      </c>
      <c r="I48" s="91">
        <f>'Model (Matrix)'!I45-'Model (SC)'!I45</f>
        <v>0</v>
      </c>
      <c r="J48" s="91">
        <f>'Model (Matrix)'!J45-'Model (SC)'!J45</f>
        <v>0</v>
      </c>
      <c r="K48" s="91">
        <f>'Model (Matrix)'!K45-'Model (SC)'!K45</f>
        <v>0</v>
      </c>
      <c r="L48" s="91">
        <f>'Model (Matrix)'!L45-'Model (SC)'!L45</f>
        <v>0</v>
      </c>
      <c r="M48" s="91">
        <f>'Model (Matrix)'!M45-'Model (SC)'!M45</f>
        <v>0</v>
      </c>
      <c r="N48" s="91">
        <f>'Model (Matrix)'!N45-'Model (SC)'!N45</f>
        <v>0</v>
      </c>
      <c r="O48" s="91">
        <f>'Model (Matrix)'!O45-'Model (SC)'!O45</f>
        <v>0</v>
      </c>
      <c r="P48" s="91">
        <f>'Model (Matrix)'!P45-'Model (SC)'!P45</f>
        <v>0</v>
      </c>
      <c r="Q48" s="91">
        <f>'Model (Matrix)'!Q45-'Model (SC)'!Q45</f>
        <v>0</v>
      </c>
      <c r="R48" s="91">
        <f>'Model (Matrix)'!R45-'Model (SC)'!R45</f>
        <v>0</v>
      </c>
      <c r="S48" s="91">
        <f>'Model (Matrix)'!S45-'Model (SC)'!S45</f>
        <v>0</v>
      </c>
      <c r="T48" s="91">
        <f>'Model (Matrix)'!T45-'Model (SC)'!T45</f>
        <v>0</v>
      </c>
      <c r="U48" s="91">
        <f>'Model (Matrix)'!U45-'Model (SC)'!U45</f>
        <v>0</v>
      </c>
      <c r="V48" s="91">
        <f>'Model (Matrix)'!V45-'Model (SC)'!V45</f>
        <v>0</v>
      </c>
    </row>
    <row r="49" spans="1:22" x14ac:dyDescent="0.25">
      <c r="A49" s="82"/>
      <c r="B49" s="63" t="s">
        <v>149</v>
      </c>
      <c r="C49" s="91">
        <f>'Model (Matrix)'!C46-'Model (SC)'!C46</f>
        <v>0</v>
      </c>
      <c r="D49" s="91">
        <f>'Model (Matrix)'!D46-'Model (SC)'!D46</f>
        <v>0</v>
      </c>
      <c r="E49" s="91">
        <f>'Model (Matrix)'!E46-'Model (SC)'!E46</f>
        <v>0</v>
      </c>
      <c r="F49" s="91">
        <f>'Model (Matrix)'!F46-'Model (SC)'!F46</f>
        <v>0</v>
      </c>
      <c r="G49" s="91">
        <f>'Model (Matrix)'!G46-'Model (SC)'!G46</f>
        <v>0</v>
      </c>
      <c r="H49" s="91">
        <f>'Model (Matrix)'!H46-'Model (SC)'!H46</f>
        <v>0</v>
      </c>
      <c r="I49" s="91">
        <f>'Model (Matrix)'!I46-'Model (SC)'!I46</f>
        <v>0</v>
      </c>
      <c r="J49" s="91">
        <f>'Model (Matrix)'!J46-'Model (SC)'!J46</f>
        <v>0</v>
      </c>
      <c r="K49" s="91">
        <f>'Model (Matrix)'!K46-'Model (SC)'!K46</f>
        <v>0</v>
      </c>
      <c r="L49" s="91">
        <f>'Model (Matrix)'!L46-'Model (SC)'!L46</f>
        <v>0</v>
      </c>
      <c r="M49" s="91">
        <f>'Model (Matrix)'!M46-'Model (SC)'!M46</f>
        <v>0</v>
      </c>
      <c r="N49" s="91">
        <f>'Model (Matrix)'!N46-'Model (SC)'!N46</f>
        <v>0</v>
      </c>
      <c r="O49" s="91">
        <f>'Model (Matrix)'!O46-'Model (SC)'!O46</f>
        <v>0</v>
      </c>
      <c r="P49" s="91">
        <f>'Model (Matrix)'!P46-'Model (SC)'!P46</f>
        <v>0</v>
      </c>
      <c r="Q49" s="91">
        <f>'Model (Matrix)'!Q46-'Model (SC)'!Q46</f>
        <v>0</v>
      </c>
      <c r="R49" s="91">
        <f>'Model (Matrix)'!R46-'Model (SC)'!R46</f>
        <v>0</v>
      </c>
      <c r="S49" s="91">
        <f>'Model (Matrix)'!S46-'Model (SC)'!S46</f>
        <v>0</v>
      </c>
      <c r="T49" s="91">
        <f>'Model (Matrix)'!T46-'Model (SC)'!T46</f>
        <v>0</v>
      </c>
      <c r="U49" s="91">
        <f>'Model (Matrix)'!U46-'Model (SC)'!U46</f>
        <v>0</v>
      </c>
      <c r="V49" s="91">
        <f>'Model (Matrix)'!V46-'Model (SC)'!V46</f>
        <v>0</v>
      </c>
    </row>
    <row r="50" spans="1:22" x14ac:dyDescent="0.25">
      <c r="A50" s="82"/>
      <c r="B50" s="63" t="s">
        <v>150</v>
      </c>
      <c r="C50" s="91">
        <f>'Model (Matrix)'!C47-'Model (SC)'!C47</f>
        <v>0</v>
      </c>
      <c r="D50" s="91">
        <f>'Model (Matrix)'!D47-'Model (SC)'!D47</f>
        <v>0</v>
      </c>
      <c r="E50" s="91">
        <f>'Model (Matrix)'!E47-'Model (SC)'!E47</f>
        <v>0</v>
      </c>
      <c r="F50" s="91">
        <f>'Model (Matrix)'!F47-'Model (SC)'!F47</f>
        <v>0</v>
      </c>
      <c r="G50" s="91">
        <f>'Model (Matrix)'!G47-'Model (SC)'!G47</f>
        <v>0</v>
      </c>
      <c r="H50" s="91">
        <f>'Model (Matrix)'!H47-'Model (SC)'!H47</f>
        <v>0</v>
      </c>
      <c r="I50" s="91">
        <f>'Model (Matrix)'!I47-'Model (SC)'!I47</f>
        <v>0</v>
      </c>
      <c r="J50" s="91">
        <f>'Model (Matrix)'!J47-'Model (SC)'!J47</f>
        <v>0</v>
      </c>
      <c r="K50" s="91">
        <f>'Model (Matrix)'!K47-'Model (SC)'!K47</f>
        <v>0</v>
      </c>
      <c r="L50" s="91">
        <f>'Model (Matrix)'!L47-'Model (SC)'!L47</f>
        <v>0</v>
      </c>
      <c r="M50" s="91">
        <f>'Model (Matrix)'!M47-'Model (SC)'!M47</f>
        <v>0</v>
      </c>
      <c r="N50" s="91">
        <f>'Model (Matrix)'!N47-'Model (SC)'!N47</f>
        <v>0</v>
      </c>
      <c r="O50" s="91">
        <f>'Model (Matrix)'!O47-'Model (SC)'!O47</f>
        <v>0</v>
      </c>
      <c r="P50" s="91">
        <f>'Model (Matrix)'!P47-'Model (SC)'!P47</f>
        <v>0</v>
      </c>
      <c r="Q50" s="91">
        <f>'Model (Matrix)'!Q47-'Model (SC)'!Q47</f>
        <v>0</v>
      </c>
      <c r="R50" s="91">
        <f>'Model (Matrix)'!R47-'Model (SC)'!R47</f>
        <v>0</v>
      </c>
      <c r="S50" s="91">
        <f>'Model (Matrix)'!S47-'Model (SC)'!S47</f>
        <v>0</v>
      </c>
      <c r="T50" s="91">
        <f>'Model (Matrix)'!T47-'Model (SC)'!T47</f>
        <v>0</v>
      </c>
      <c r="U50" s="91">
        <f>'Model (Matrix)'!U47-'Model (SC)'!U47</f>
        <v>0</v>
      </c>
      <c r="V50" s="91">
        <f>'Model (Matrix)'!V47-'Model (SC)'!V47</f>
        <v>0</v>
      </c>
    </row>
    <row r="51" spans="1:22" x14ac:dyDescent="0.25">
      <c r="A51" s="82"/>
      <c r="B51" s="63" t="s">
        <v>617</v>
      </c>
      <c r="C51" s="91">
        <f>'Model (Matrix)'!C48-'Model (SC)'!C48</f>
        <v>0</v>
      </c>
      <c r="D51" s="91">
        <f>'Model (Matrix)'!D48-'Model (SC)'!D48</f>
        <v>0</v>
      </c>
      <c r="E51" s="91">
        <f>'Model (Matrix)'!E48-'Model (SC)'!E48</f>
        <v>0</v>
      </c>
      <c r="F51" s="91">
        <f>'Model (Matrix)'!F48-'Model (SC)'!F48</f>
        <v>0</v>
      </c>
      <c r="G51" s="91">
        <f>'Model (Matrix)'!G48-'Model (SC)'!G48</f>
        <v>0</v>
      </c>
      <c r="H51" s="91">
        <f>'Model (Matrix)'!H48-'Model (SC)'!H48</f>
        <v>0</v>
      </c>
      <c r="I51" s="91">
        <f>'Model (Matrix)'!I48-'Model (SC)'!I48</f>
        <v>0</v>
      </c>
      <c r="J51" s="91">
        <f>'Model (Matrix)'!J48-'Model (SC)'!J48</f>
        <v>0</v>
      </c>
      <c r="K51" s="91">
        <f>'Model (Matrix)'!K48-'Model (SC)'!K48</f>
        <v>0</v>
      </c>
      <c r="L51" s="91">
        <f>'Model (Matrix)'!L48-'Model (SC)'!L48</f>
        <v>0</v>
      </c>
      <c r="M51" s="91">
        <f>'Model (Matrix)'!M48-'Model (SC)'!M48</f>
        <v>0</v>
      </c>
      <c r="N51" s="91">
        <f>'Model (Matrix)'!N48-'Model (SC)'!N48</f>
        <v>0</v>
      </c>
      <c r="O51" s="91">
        <f>'Model (Matrix)'!O48-'Model (SC)'!O48</f>
        <v>0</v>
      </c>
      <c r="P51" s="91">
        <f>'Model (Matrix)'!P48-'Model (SC)'!P48</f>
        <v>0</v>
      </c>
      <c r="Q51" s="91">
        <f>'Model (Matrix)'!Q48-'Model (SC)'!Q48</f>
        <v>0</v>
      </c>
      <c r="R51" s="91">
        <f>'Model (Matrix)'!R48-'Model (SC)'!R48</f>
        <v>0</v>
      </c>
      <c r="S51" s="91">
        <f>'Model (Matrix)'!S48-'Model (SC)'!S48</f>
        <v>0</v>
      </c>
      <c r="T51" s="91">
        <f>'Model (Matrix)'!T48-'Model (SC)'!T48</f>
        <v>0</v>
      </c>
      <c r="U51" s="91">
        <f>'Model (Matrix)'!U48-'Model (SC)'!U48</f>
        <v>0</v>
      </c>
      <c r="V51" s="91">
        <f>'Model (Matrix)'!V48-'Model (SC)'!V48</f>
        <v>0</v>
      </c>
    </row>
    <row r="52" spans="1:22" x14ac:dyDescent="0.25">
      <c r="A52" s="82"/>
      <c r="B52" s="63" t="s">
        <v>136</v>
      </c>
      <c r="C52" s="91">
        <f>'Model (Matrix)'!C49-'Model (SC)'!C49</f>
        <v>0</v>
      </c>
      <c r="D52" s="91">
        <f>'Model (Matrix)'!D49-'Model (SC)'!D49</f>
        <v>0</v>
      </c>
      <c r="E52" s="91">
        <f>'Model (Matrix)'!E49-'Model (SC)'!E49</f>
        <v>0</v>
      </c>
      <c r="F52" s="91">
        <f>'Model (Matrix)'!F49-'Model (SC)'!F49</f>
        <v>0</v>
      </c>
      <c r="G52" s="91">
        <f>'Model (Matrix)'!G49-'Model (SC)'!G49</f>
        <v>0</v>
      </c>
      <c r="H52" s="91">
        <f>'Model (Matrix)'!H49-'Model (SC)'!H49</f>
        <v>0</v>
      </c>
      <c r="I52" s="91">
        <f>'Model (Matrix)'!I49-'Model (SC)'!I49</f>
        <v>0</v>
      </c>
      <c r="J52" s="91">
        <f>'Model (Matrix)'!J49-'Model (SC)'!J49</f>
        <v>0</v>
      </c>
      <c r="K52" s="91">
        <f>'Model (Matrix)'!K49-'Model (SC)'!K49</f>
        <v>0</v>
      </c>
      <c r="L52" s="91">
        <f>'Model (Matrix)'!L49-'Model (SC)'!L49</f>
        <v>0</v>
      </c>
      <c r="M52" s="91">
        <f>'Model (Matrix)'!M49-'Model (SC)'!M49</f>
        <v>0</v>
      </c>
      <c r="N52" s="91">
        <f>'Model (Matrix)'!N49-'Model (SC)'!N49</f>
        <v>0</v>
      </c>
      <c r="O52" s="91">
        <f>'Model (Matrix)'!O49-'Model (SC)'!O49</f>
        <v>0</v>
      </c>
      <c r="P52" s="91">
        <f>'Model (Matrix)'!P49-'Model (SC)'!P49</f>
        <v>0</v>
      </c>
      <c r="Q52" s="91">
        <f>'Model (Matrix)'!Q49-'Model (SC)'!Q49</f>
        <v>0</v>
      </c>
      <c r="R52" s="91">
        <f>'Model (Matrix)'!R49-'Model (SC)'!R49</f>
        <v>0</v>
      </c>
      <c r="S52" s="91">
        <f>'Model (Matrix)'!S49-'Model (SC)'!S49</f>
        <v>0</v>
      </c>
      <c r="T52" s="91">
        <f>'Model (Matrix)'!T49-'Model (SC)'!T49</f>
        <v>0</v>
      </c>
      <c r="U52" s="91">
        <f>'Model (Matrix)'!U49-'Model (SC)'!U49</f>
        <v>0</v>
      </c>
      <c r="V52" s="91">
        <f>'Model (Matrix)'!V49-'Model (SC)'!V49</f>
        <v>0</v>
      </c>
    </row>
    <row r="53" spans="1:22" x14ac:dyDescent="0.25">
      <c r="A53" s="82"/>
      <c r="B53" s="63" t="s">
        <v>619</v>
      </c>
      <c r="C53" s="91">
        <f>'Model (Matrix)'!C50-'Model (SC)'!C50</f>
        <v>0</v>
      </c>
      <c r="D53" s="91">
        <f>'Model (Matrix)'!D50-'Model (SC)'!D50</f>
        <v>0</v>
      </c>
      <c r="E53" s="91">
        <f>'Model (Matrix)'!E50-'Model (SC)'!E50</f>
        <v>0</v>
      </c>
      <c r="F53" s="91">
        <f>'Model (Matrix)'!F50-'Model (SC)'!F50</f>
        <v>0</v>
      </c>
      <c r="G53" s="91">
        <f>'Model (Matrix)'!G50-'Model (SC)'!G50</f>
        <v>0</v>
      </c>
      <c r="H53" s="91">
        <f>'Model (Matrix)'!H50-'Model (SC)'!H50</f>
        <v>0</v>
      </c>
      <c r="I53" s="91">
        <f>'Model (Matrix)'!I50-'Model (SC)'!I50</f>
        <v>0</v>
      </c>
      <c r="J53" s="91">
        <f>'Model (Matrix)'!J50-'Model (SC)'!J50</f>
        <v>0</v>
      </c>
      <c r="K53" s="91">
        <f>'Model (Matrix)'!K50-'Model (SC)'!K50</f>
        <v>0</v>
      </c>
      <c r="L53" s="91">
        <f>'Model (Matrix)'!L50-'Model (SC)'!L50</f>
        <v>0</v>
      </c>
      <c r="M53" s="91">
        <f>'Model (Matrix)'!M50-'Model (SC)'!M50</f>
        <v>0</v>
      </c>
      <c r="N53" s="91">
        <f>'Model (Matrix)'!N50-'Model (SC)'!N50</f>
        <v>0</v>
      </c>
      <c r="O53" s="91">
        <f>'Model (Matrix)'!O50-'Model (SC)'!O50</f>
        <v>0</v>
      </c>
      <c r="P53" s="91">
        <f>'Model (Matrix)'!P50-'Model (SC)'!P50</f>
        <v>0</v>
      </c>
      <c r="Q53" s="91">
        <f>'Model (Matrix)'!Q50-'Model (SC)'!Q50</f>
        <v>0</v>
      </c>
      <c r="R53" s="91">
        <f>'Model (Matrix)'!R50-'Model (SC)'!R50</f>
        <v>0</v>
      </c>
      <c r="S53" s="91">
        <f>'Model (Matrix)'!S50-'Model (SC)'!S50</f>
        <v>0</v>
      </c>
      <c r="T53" s="91">
        <f>'Model (Matrix)'!T50-'Model (SC)'!T50</f>
        <v>0</v>
      </c>
      <c r="U53" s="91">
        <f>'Model (Matrix)'!U50-'Model (SC)'!U50</f>
        <v>0</v>
      </c>
      <c r="V53" s="91">
        <f>'Model (Matrix)'!V50-'Model (SC)'!V50</f>
        <v>0</v>
      </c>
    </row>
    <row r="54" spans="1:22" x14ac:dyDescent="0.25">
      <c r="A54" s="82"/>
      <c r="B54" s="63" t="s">
        <v>137</v>
      </c>
      <c r="C54" s="91">
        <f>'Model (Matrix)'!C51-'Model (SC)'!C51</f>
        <v>0</v>
      </c>
      <c r="D54" s="91">
        <f>'Model (Matrix)'!D51-'Model (SC)'!D51</f>
        <v>0</v>
      </c>
      <c r="E54" s="91">
        <f>'Model (Matrix)'!E51-'Model (SC)'!E51</f>
        <v>0</v>
      </c>
      <c r="F54" s="91">
        <f>'Model (Matrix)'!F51-'Model (SC)'!F51</f>
        <v>0</v>
      </c>
      <c r="G54" s="91">
        <f>'Model (Matrix)'!G51-'Model (SC)'!G51</f>
        <v>0</v>
      </c>
      <c r="H54" s="91">
        <f>'Model (Matrix)'!H51-'Model (SC)'!H51</f>
        <v>0</v>
      </c>
      <c r="I54" s="91">
        <f>'Model (Matrix)'!I51-'Model (SC)'!I51</f>
        <v>0</v>
      </c>
      <c r="J54" s="91">
        <f>'Model (Matrix)'!J51-'Model (SC)'!J51</f>
        <v>0</v>
      </c>
      <c r="K54" s="91">
        <f>'Model (Matrix)'!K51-'Model (SC)'!K51</f>
        <v>0</v>
      </c>
      <c r="L54" s="91">
        <f>'Model (Matrix)'!L51-'Model (SC)'!L51</f>
        <v>0</v>
      </c>
      <c r="M54" s="91">
        <f>'Model (Matrix)'!M51-'Model (SC)'!M51</f>
        <v>0</v>
      </c>
      <c r="N54" s="91">
        <f>'Model (Matrix)'!N51-'Model (SC)'!N51</f>
        <v>0</v>
      </c>
      <c r="O54" s="91">
        <f>'Model (Matrix)'!O51-'Model (SC)'!O51</f>
        <v>0</v>
      </c>
      <c r="P54" s="91">
        <f>'Model (Matrix)'!P51-'Model (SC)'!P51</f>
        <v>0</v>
      </c>
      <c r="Q54" s="91">
        <f>'Model (Matrix)'!Q51-'Model (SC)'!Q51</f>
        <v>0</v>
      </c>
      <c r="R54" s="91">
        <f>'Model (Matrix)'!R51-'Model (SC)'!R51</f>
        <v>0</v>
      </c>
      <c r="S54" s="91">
        <f>'Model (Matrix)'!S51-'Model (SC)'!S51</f>
        <v>0</v>
      </c>
      <c r="T54" s="91">
        <f>'Model (Matrix)'!T51-'Model (SC)'!T51</f>
        <v>0</v>
      </c>
      <c r="U54" s="91">
        <f>'Model (Matrix)'!U51-'Model (SC)'!U51</f>
        <v>0</v>
      </c>
      <c r="V54" s="91">
        <f>'Model (Matrix)'!V51-'Model (SC)'!V51</f>
        <v>0</v>
      </c>
    </row>
    <row r="55" spans="1:22" x14ac:dyDescent="0.25">
      <c r="A55" s="82"/>
      <c r="B55" s="63" t="s">
        <v>138</v>
      </c>
      <c r="C55" s="91">
        <f>'Model (Matrix)'!C52-'Model (SC)'!C52</f>
        <v>0</v>
      </c>
      <c r="D55" s="91">
        <f>'Model (Matrix)'!D52-'Model (SC)'!D52</f>
        <v>0</v>
      </c>
      <c r="E55" s="91">
        <f>'Model (Matrix)'!E52-'Model (SC)'!E52</f>
        <v>0</v>
      </c>
      <c r="F55" s="91">
        <f>'Model (Matrix)'!F52-'Model (SC)'!F52</f>
        <v>0</v>
      </c>
      <c r="G55" s="91">
        <f>'Model (Matrix)'!G52-'Model (SC)'!G52</f>
        <v>0</v>
      </c>
      <c r="H55" s="91">
        <f>'Model (Matrix)'!H52-'Model (SC)'!H52</f>
        <v>0</v>
      </c>
      <c r="I55" s="91">
        <f>'Model (Matrix)'!I52-'Model (SC)'!I52</f>
        <v>0</v>
      </c>
      <c r="J55" s="91">
        <f>'Model (Matrix)'!J52-'Model (SC)'!J52</f>
        <v>0</v>
      </c>
      <c r="K55" s="91">
        <f>'Model (Matrix)'!K52-'Model (SC)'!K52</f>
        <v>0</v>
      </c>
      <c r="L55" s="91">
        <f>'Model (Matrix)'!L52-'Model (SC)'!L52</f>
        <v>0</v>
      </c>
      <c r="M55" s="91">
        <f>'Model (Matrix)'!M52-'Model (SC)'!M52</f>
        <v>0</v>
      </c>
      <c r="N55" s="91">
        <f>'Model (Matrix)'!N52-'Model (SC)'!N52</f>
        <v>0</v>
      </c>
      <c r="O55" s="91">
        <f>'Model (Matrix)'!O52-'Model (SC)'!O52</f>
        <v>0</v>
      </c>
      <c r="P55" s="91">
        <f>'Model (Matrix)'!P52-'Model (SC)'!P52</f>
        <v>0</v>
      </c>
      <c r="Q55" s="91">
        <f>'Model (Matrix)'!Q52-'Model (SC)'!Q52</f>
        <v>0</v>
      </c>
      <c r="R55" s="91">
        <f>'Model (Matrix)'!R52-'Model (SC)'!R52</f>
        <v>0</v>
      </c>
      <c r="S55" s="91">
        <f>'Model (Matrix)'!S52-'Model (SC)'!S52</f>
        <v>0</v>
      </c>
      <c r="T55" s="91">
        <f>'Model (Matrix)'!T52-'Model (SC)'!T52</f>
        <v>0</v>
      </c>
      <c r="U55" s="91">
        <f>'Model (Matrix)'!U52-'Model (SC)'!U52</f>
        <v>0</v>
      </c>
      <c r="V55" s="91">
        <f>'Model (Matrix)'!V52-'Model (SC)'!V52</f>
        <v>0</v>
      </c>
    </row>
    <row r="56" spans="1:22" x14ac:dyDescent="0.25">
      <c r="A56" s="82"/>
      <c r="B56" s="63" t="s">
        <v>139</v>
      </c>
      <c r="C56" s="91">
        <f>'Model (Matrix)'!C53-'Model (SC)'!C53</f>
        <v>0</v>
      </c>
      <c r="D56" s="91">
        <f>'Model (Matrix)'!D53-'Model (SC)'!D53</f>
        <v>0</v>
      </c>
      <c r="E56" s="91">
        <f>'Model (Matrix)'!E53-'Model (SC)'!E53</f>
        <v>0</v>
      </c>
      <c r="F56" s="91">
        <f>'Model (Matrix)'!F53-'Model (SC)'!F53</f>
        <v>0</v>
      </c>
      <c r="G56" s="91">
        <f>'Model (Matrix)'!G53-'Model (SC)'!G53</f>
        <v>0</v>
      </c>
      <c r="H56" s="91">
        <f>'Model (Matrix)'!H53-'Model (SC)'!H53</f>
        <v>0</v>
      </c>
      <c r="I56" s="91">
        <f>'Model (Matrix)'!I53-'Model (SC)'!I53</f>
        <v>0</v>
      </c>
      <c r="J56" s="91">
        <f>'Model (Matrix)'!J53-'Model (SC)'!J53</f>
        <v>0</v>
      </c>
      <c r="K56" s="91">
        <f>'Model (Matrix)'!K53-'Model (SC)'!K53</f>
        <v>0</v>
      </c>
      <c r="L56" s="91">
        <f>'Model (Matrix)'!L53-'Model (SC)'!L53</f>
        <v>0</v>
      </c>
      <c r="M56" s="91">
        <f>'Model (Matrix)'!M53-'Model (SC)'!M53</f>
        <v>0</v>
      </c>
      <c r="N56" s="91">
        <f>'Model (Matrix)'!N53-'Model (SC)'!N53</f>
        <v>0</v>
      </c>
      <c r="O56" s="91">
        <f>'Model (Matrix)'!O53-'Model (SC)'!O53</f>
        <v>0</v>
      </c>
      <c r="P56" s="91">
        <f>'Model (Matrix)'!P53-'Model (SC)'!P53</f>
        <v>0</v>
      </c>
      <c r="Q56" s="91">
        <f>'Model (Matrix)'!Q53-'Model (SC)'!Q53</f>
        <v>0</v>
      </c>
      <c r="R56" s="91">
        <f>'Model (Matrix)'!R53-'Model (SC)'!R53</f>
        <v>0</v>
      </c>
      <c r="S56" s="91">
        <f>'Model (Matrix)'!S53-'Model (SC)'!S53</f>
        <v>0</v>
      </c>
      <c r="T56" s="91">
        <f>'Model (Matrix)'!T53-'Model (SC)'!T53</f>
        <v>0</v>
      </c>
      <c r="U56" s="91">
        <f>'Model (Matrix)'!U53-'Model (SC)'!U53</f>
        <v>0</v>
      </c>
      <c r="V56" s="91">
        <f>'Model (Matrix)'!V53-'Model (SC)'!V53</f>
        <v>0</v>
      </c>
    </row>
    <row r="57" spans="1:22" x14ac:dyDescent="0.25">
      <c r="A57" s="82"/>
      <c r="B57" s="63" t="s">
        <v>127</v>
      </c>
      <c r="C57" s="91">
        <f>'Model (Matrix)'!C54-'Model (SC)'!C54</f>
        <v>0</v>
      </c>
      <c r="D57" s="91">
        <f>'Model (Matrix)'!D54-'Model (SC)'!D54</f>
        <v>0</v>
      </c>
      <c r="E57" s="91">
        <f>'Model (Matrix)'!E54-'Model (SC)'!E54</f>
        <v>0</v>
      </c>
      <c r="F57" s="91">
        <f>'Model (Matrix)'!F54-'Model (SC)'!F54</f>
        <v>0</v>
      </c>
      <c r="G57" s="91">
        <f>'Model (Matrix)'!G54-'Model (SC)'!G54</f>
        <v>0</v>
      </c>
      <c r="H57" s="91">
        <f>'Model (Matrix)'!H54-'Model (SC)'!H54</f>
        <v>0</v>
      </c>
      <c r="I57" s="91">
        <f>'Model (Matrix)'!I54-'Model (SC)'!I54</f>
        <v>0</v>
      </c>
      <c r="J57" s="91">
        <f>'Model (Matrix)'!J54-'Model (SC)'!J54</f>
        <v>0</v>
      </c>
      <c r="K57" s="91">
        <f>'Model (Matrix)'!K54-'Model (SC)'!K54</f>
        <v>0</v>
      </c>
      <c r="L57" s="91">
        <f>'Model (Matrix)'!L54-'Model (SC)'!L54</f>
        <v>0</v>
      </c>
      <c r="M57" s="91">
        <f>'Model (Matrix)'!M54-'Model (SC)'!M54</f>
        <v>0</v>
      </c>
      <c r="N57" s="91">
        <f>'Model (Matrix)'!N54-'Model (SC)'!N54</f>
        <v>0</v>
      </c>
      <c r="O57" s="91">
        <f>'Model (Matrix)'!O54-'Model (SC)'!O54</f>
        <v>0</v>
      </c>
      <c r="P57" s="91">
        <f>'Model (Matrix)'!P54-'Model (SC)'!P54</f>
        <v>0</v>
      </c>
      <c r="Q57" s="91">
        <f>'Model (Matrix)'!Q54-'Model (SC)'!Q54</f>
        <v>0</v>
      </c>
      <c r="R57" s="91">
        <f>'Model (Matrix)'!R54-'Model (SC)'!R54</f>
        <v>0</v>
      </c>
      <c r="S57" s="91">
        <f>'Model (Matrix)'!S54-'Model (SC)'!S54</f>
        <v>0</v>
      </c>
      <c r="T57" s="91">
        <f>'Model (Matrix)'!T54-'Model (SC)'!T54</f>
        <v>0</v>
      </c>
      <c r="U57" s="91">
        <f>'Model (Matrix)'!U54-'Model (SC)'!U54</f>
        <v>0</v>
      </c>
      <c r="V57" s="91">
        <f>'Model (Matrix)'!V54-'Model (SC)'!V54</f>
        <v>0</v>
      </c>
    </row>
    <row r="58" spans="1:22" x14ac:dyDescent="0.25">
      <c r="A58" s="82"/>
      <c r="B58" s="63" t="s">
        <v>128</v>
      </c>
      <c r="C58" s="91">
        <f>'Model (Matrix)'!C55-'Model (SC)'!C55</f>
        <v>0</v>
      </c>
      <c r="D58" s="91">
        <f>'Model (Matrix)'!D55-'Model (SC)'!D55</f>
        <v>0</v>
      </c>
      <c r="E58" s="91">
        <f>'Model (Matrix)'!E55-'Model (SC)'!E55</f>
        <v>0</v>
      </c>
      <c r="F58" s="91">
        <f>'Model (Matrix)'!F55-'Model (SC)'!F55</f>
        <v>0</v>
      </c>
      <c r="G58" s="91">
        <f>'Model (Matrix)'!G55-'Model (SC)'!G55</f>
        <v>0</v>
      </c>
      <c r="H58" s="91">
        <f>'Model (Matrix)'!H55-'Model (SC)'!H55</f>
        <v>0</v>
      </c>
      <c r="I58" s="91">
        <f>'Model (Matrix)'!I55-'Model (SC)'!I55</f>
        <v>0</v>
      </c>
      <c r="J58" s="91">
        <f>'Model (Matrix)'!J55-'Model (SC)'!J55</f>
        <v>0</v>
      </c>
      <c r="K58" s="91">
        <f>'Model (Matrix)'!K55-'Model (SC)'!K55</f>
        <v>0</v>
      </c>
      <c r="L58" s="91">
        <f>'Model (Matrix)'!L55-'Model (SC)'!L55</f>
        <v>0</v>
      </c>
      <c r="M58" s="91">
        <f>'Model (Matrix)'!M55-'Model (SC)'!M55</f>
        <v>0</v>
      </c>
      <c r="N58" s="91">
        <f>'Model (Matrix)'!N55-'Model (SC)'!N55</f>
        <v>0</v>
      </c>
      <c r="O58" s="91">
        <f>'Model (Matrix)'!O55-'Model (SC)'!O55</f>
        <v>0</v>
      </c>
      <c r="P58" s="91">
        <f>'Model (Matrix)'!P55-'Model (SC)'!P55</f>
        <v>0</v>
      </c>
      <c r="Q58" s="91">
        <f>'Model (Matrix)'!Q55-'Model (SC)'!Q55</f>
        <v>0</v>
      </c>
      <c r="R58" s="91">
        <f>'Model (Matrix)'!R55-'Model (SC)'!R55</f>
        <v>0</v>
      </c>
      <c r="S58" s="91">
        <f>'Model (Matrix)'!S55-'Model (SC)'!S55</f>
        <v>0</v>
      </c>
      <c r="T58" s="91">
        <f>'Model (Matrix)'!T55-'Model (SC)'!T55</f>
        <v>0</v>
      </c>
      <c r="U58" s="91">
        <f>'Model (Matrix)'!U55-'Model (SC)'!U55</f>
        <v>0</v>
      </c>
      <c r="V58" s="91">
        <f>'Model (Matrix)'!V55-'Model (SC)'!V55</f>
        <v>0</v>
      </c>
    </row>
    <row r="59" spans="1:22" x14ac:dyDescent="0.25">
      <c r="A59" s="82"/>
      <c r="B59" s="63" t="s">
        <v>151</v>
      </c>
      <c r="C59" s="91">
        <f>'Model (Matrix)'!C56-'Model (SC)'!C56</f>
        <v>0</v>
      </c>
      <c r="D59" s="91">
        <f>'Model (Matrix)'!D56-'Model (SC)'!D56</f>
        <v>0</v>
      </c>
      <c r="E59" s="91">
        <f>'Model (Matrix)'!E56-'Model (SC)'!E56</f>
        <v>0</v>
      </c>
      <c r="F59" s="91">
        <f>'Model (Matrix)'!F56-'Model (SC)'!F56</f>
        <v>0</v>
      </c>
      <c r="G59" s="91">
        <f>'Model (Matrix)'!G56-'Model (SC)'!G56</f>
        <v>0</v>
      </c>
      <c r="H59" s="91">
        <f>'Model (Matrix)'!H56-'Model (SC)'!H56</f>
        <v>0</v>
      </c>
      <c r="I59" s="91">
        <f>'Model (Matrix)'!I56-'Model (SC)'!I56</f>
        <v>0</v>
      </c>
      <c r="J59" s="91">
        <f>'Model (Matrix)'!J56-'Model (SC)'!J56</f>
        <v>0</v>
      </c>
      <c r="K59" s="91">
        <f>'Model (Matrix)'!K56-'Model (SC)'!K56</f>
        <v>0</v>
      </c>
      <c r="L59" s="91">
        <f>'Model (Matrix)'!L56-'Model (SC)'!L56</f>
        <v>0</v>
      </c>
      <c r="M59" s="91">
        <f>'Model (Matrix)'!M56-'Model (SC)'!M56</f>
        <v>0</v>
      </c>
      <c r="N59" s="91">
        <f>'Model (Matrix)'!N56-'Model (SC)'!N56</f>
        <v>0</v>
      </c>
      <c r="O59" s="91">
        <f>'Model (Matrix)'!O56-'Model (SC)'!O56</f>
        <v>0</v>
      </c>
      <c r="P59" s="91">
        <f>'Model (Matrix)'!P56-'Model (SC)'!P56</f>
        <v>0</v>
      </c>
      <c r="Q59" s="91">
        <f>'Model (Matrix)'!Q56-'Model (SC)'!Q56</f>
        <v>0</v>
      </c>
      <c r="R59" s="91">
        <f>'Model (Matrix)'!R56-'Model (SC)'!R56</f>
        <v>0</v>
      </c>
      <c r="S59" s="91">
        <f>'Model (Matrix)'!S56-'Model (SC)'!S56</f>
        <v>0</v>
      </c>
      <c r="T59" s="91">
        <f>'Model (Matrix)'!T56-'Model (SC)'!T56</f>
        <v>0</v>
      </c>
      <c r="U59" s="91">
        <f>'Model (Matrix)'!U56-'Model (SC)'!U56</f>
        <v>0</v>
      </c>
      <c r="V59" s="91">
        <f>'Model (Matrix)'!V56-'Model (SC)'!V56</f>
        <v>0</v>
      </c>
    </row>
    <row r="60" spans="1:22" x14ac:dyDescent="0.25">
      <c r="A60" s="82"/>
      <c r="B60" s="63" t="s">
        <v>152</v>
      </c>
      <c r="C60" s="91">
        <f>'Model (Matrix)'!C57-'Model (SC)'!C57</f>
        <v>0</v>
      </c>
      <c r="D60" s="91">
        <f>'Model (Matrix)'!D57-'Model (SC)'!D57</f>
        <v>0</v>
      </c>
      <c r="E60" s="91">
        <f>'Model (Matrix)'!E57-'Model (SC)'!E57</f>
        <v>0</v>
      </c>
      <c r="F60" s="91">
        <f>'Model (Matrix)'!F57-'Model (SC)'!F57</f>
        <v>0</v>
      </c>
      <c r="G60" s="91">
        <f>'Model (Matrix)'!G57-'Model (SC)'!G57</f>
        <v>0</v>
      </c>
      <c r="H60" s="91">
        <f>'Model (Matrix)'!H57-'Model (SC)'!H57</f>
        <v>0</v>
      </c>
      <c r="I60" s="91">
        <f>'Model (Matrix)'!I57-'Model (SC)'!I57</f>
        <v>0</v>
      </c>
      <c r="J60" s="91">
        <f>'Model (Matrix)'!J57-'Model (SC)'!J57</f>
        <v>0</v>
      </c>
      <c r="K60" s="91">
        <f>'Model (Matrix)'!K57-'Model (SC)'!K57</f>
        <v>0</v>
      </c>
      <c r="L60" s="91">
        <f>'Model (Matrix)'!L57-'Model (SC)'!L57</f>
        <v>0</v>
      </c>
      <c r="M60" s="91">
        <f>'Model (Matrix)'!M57-'Model (SC)'!M57</f>
        <v>0</v>
      </c>
      <c r="N60" s="91">
        <f>'Model (Matrix)'!N57-'Model (SC)'!N57</f>
        <v>0</v>
      </c>
      <c r="O60" s="91">
        <f>'Model (Matrix)'!O57-'Model (SC)'!O57</f>
        <v>0</v>
      </c>
      <c r="P60" s="91">
        <f>'Model (Matrix)'!P57-'Model (SC)'!P57</f>
        <v>0</v>
      </c>
      <c r="Q60" s="91">
        <f>'Model (Matrix)'!Q57-'Model (SC)'!Q57</f>
        <v>0</v>
      </c>
      <c r="R60" s="91">
        <f>'Model (Matrix)'!R57-'Model (SC)'!R57</f>
        <v>0</v>
      </c>
      <c r="S60" s="91">
        <f>'Model (Matrix)'!S57-'Model (SC)'!S57</f>
        <v>0</v>
      </c>
      <c r="T60" s="91">
        <f>'Model (Matrix)'!T57-'Model (SC)'!T57</f>
        <v>0</v>
      </c>
      <c r="U60" s="91">
        <f>'Model (Matrix)'!U57-'Model (SC)'!U57</f>
        <v>0</v>
      </c>
      <c r="V60" s="91">
        <f>'Model (Matrix)'!V57-'Model (SC)'!V57</f>
        <v>0</v>
      </c>
    </row>
    <row r="61" spans="1:22" x14ac:dyDescent="0.25">
      <c r="A61" s="82"/>
      <c r="B61" s="63" t="s">
        <v>153</v>
      </c>
      <c r="C61" s="91">
        <f>'Model (Matrix)'!C58-'Model (SC)'!C58</f>
        <v>0</v>
      </c>
      <c r="D61" s="91">
        <f>'Model (Matrix)'!D58-'Model (SC)'!D58</f>
        <v>0</v>
      </c>
      <c r="E61" s="91">
        <f>'Model (Matrix)'!E58-'Model (SC)'!E58</f>
        <v>0</v>
      </c>
      <c r="F61" s="91">
        <f>'Model (Matrix)'!F58-'Model (SC)'!F58</f>
        <v>0</v>
      </c>
      <c r="G61" s="91">
        <f>'Model (Matrix)'!G58-'Model (SC)'!G58</f>
        <v>0</v>
      </c>
      <c r="H61" s="91">
        <f>'Model (Matrix)'!H58-'Model (SC)'!H58</f>
        <v>0</v>
      </c>
      <c r="I61" s="91">
        <f>'Model (Matrix)'!I58-'Model (SC)'!I58</f>
        <v>0</v>
      </c>
      <c r="J61" s="91">
        <f>'Model (Matrix)'!J58-'Model (SC)'!J58</f>
        <v>0</v>
      </c>
      <c r="K61" s="91">
        <f>'Model (Matrix)'!K58-'Model (SC)'!K58</f>
        <v>0</v>
      </c>
      <c r="L61" s="91">
        <f>'Model (Matrix)'!L58-'Model (SC)'!L58</f>
        <v>0</v>
      </c>
      <c r="M61" s="91">
        <f>'Model (Matrix)'!M58-'Model (SC)'!M58</f>
        <v>0</v>
      </c>
      <c r="N61" s="91">
        <f>'Model (Matrix)'!N58-'Model (SC)'!N58</f>
        <v>0</v>
      </c>
      <c r="O61" s="91">
        <f>'Model (Matrix)'!O58-'Model (SC)'!O58</f>
        <v>0</v>
      </c>
      <c r="P61" s="91">
        <f>'Model (Matrix)'!P58-'Model (SC)'!P58</f>
        <v>0</v>
      </c>
      <c r="Q61" s="91">
        <f>'Model (Matrix)'!Q58-'Model (SC)'!Q58</f>
        <v>0</v>
      </c>
      <c r="R61" s="91">
        <f>'Model (Matrix)'!R58-'Model (SC)'!R58</f>
        <v>0</v>
      </c>
      <c r="S61" s="91">
        <f>'Model (Matrix)'!S58-'Model (SC)'!S58</f>
        <v>0</v>
      </c>
      <c r="T61" s="91">
        <f>'Model (Matrix)'!T58-'Model (SC)'!T58</f>
        <v>0</v>
      </c>
      <c r="U61" s="91">
        <f>'Model (Matrix)'!U58-'Model (SC)'!U58</f>
        <v>0</v>
      </c>
      <c r="V61" s="91">
        <f>'Model (Matrix)'!V58-'Model (SC)'!V58</f>
        <v>0</v>
      </c>
    </row>
    <row r="62" spans="1:22" x14ac:dyDescent="0.25">
      <c r="A62" s="82"/>
      <c r="B62" s="63" t="s">
        <v>142</v>
      </c>
      <c r="C62" s="91">
        <f>'Model (Matrix)'!C59-'Model (SC)'!C59</f>
        <v>0</v>
      </c>
      <c r="D62" s="91">
        <f>'Model (Matrix)'!D59-'Model (SC)'!D59</f>
        <v>0</v>
      </c>
      <c r="E62" s="91">
        <f>'Model (Matrix)'!E59-'Model (SC)'!E59</f>
        <v>0</v>
      </c>
      <c r="F62" s="91">
        <f>'Model (Matrix)'!F59-'Model (SC)'!F59</f>
        <v>0</v>
      </c>
      <c r="G62" s="91">
        <f>'Model (Matrix)'!G59-'Model (SC)'!G59</f>
        <v>0</v>
      </c>
      <c r="H62" s="91">
        <f>'Model (Matrix)'!H59-'Model (SC)'!H59</f>
        <v>0</v>
      </c>
      <c r="I62" s="91">
        <f>'Model (Matrix)'!I59-'Model (SC)'!I59</f>
        <v>0</v>
      </c>
      <c r="J62" s="91">
        <f>'Model (Matrix)'!J59-'Model (SC)'!J59</f>
        <v>0</v>
      </c>
      <c r="K62" s="91">
        <f>'Model (Matrix)'!K59-'Model (SC)'!K59</f>
        <v>0</v>
      </c>
      <c r="L62" s="91">
        <f>'Model (Matrix)'!L59-'Model (SC)'!L59</f>
        <v>0</v>
      </c>
      <c r="M62" s="91">
        <f>'Model (Matrix)'!M59-'Model (SC)'!M59</f>
        <v>0</v>
      </c>
      <c r="N62" s="91">
        <f>'Model (Matrix)'!N59-'Model (SC)'!N59</f>
        <v>0</v>
      </c>
      <c r="O62" s="91">
        <f>'Model (Matrix)'!O59-'Model (SC)'!O59</f>
        <v>0</v>
      </c>
      <c r="P62" s="91">
        <f>'Model (Matrix)'!P59-'Model (SC)'!P59</f>
        <v>0</v>
      </c>
      <c r="Q62" s="91">
        <f>'Model (Matrix)'!Q59-'Model (SC)'!Q59</f>
        <v>0</v>
      </c>
      <c r="R62" s="91">
        <f>'Model (Matrix)'!R59-'Model (SC)'!R59</f>
        <v>0</v>
      </c>
      <c r="S62" s="91">
        <f>'Model (Matrix)'!S59-'Model (SC)'!S59</f>
        <v>0</v>
      </c>
      <c r="T62" s="91">
        <f>'Model (Matrix)'!T59-'Model (SC)'!T59</f>
        <v>0</v>
      </c>
      <c r="U62" s="91">
        <f>'Model (Matrix)'!U59-'Model (SC)'!U59</f>
        <v>0</v>
      </c>
      <c r="V62" s="91">
        <f>'Model (Matrix)'!V59-'Model (SC)'!V59</f>
        <v>0</v>
      </c>
    </row>
    <row r="63" spans="1:22" x14ac:dyDescent="0.25">
      <c r="A63" s="82"/>
      <c r="B63" s="64" t="s">
        <v>130</v>
      </c>
      <c r="C63" s="91">
        <f>'Model (Matrix)'!C60-'Model (SC)'!C60</f>
        <v>0</v>
      </c>
      <c r="D63" s="91">
        <f>'Model (Matrix)'!D60-'Model (SC)'!D60</f>
        <v>0</v>
      </c>
      <c r="E63" s="91">
        <f>'Model (Matrix)'!E60-'Model (SC)'!E60</f>
        <v>0</v>
      </c>
      <c r="F63" s="91">
        <f>'Model (Matrix)'!F60-'Model (SC)'!F60</f>
        <v>0</v>
      </c>
      <c r="G63" s="91">
        <f>'Model (Matrix)'!G60-'Model (SC)'!G60</f>
        <v>0</v>
      </c>
      <c r="H63" s="91">
        <f>'Model (Matrix)'!H60-'Model (SC)'!H60</f>
        <v>0</v>
      </c>
      <c r="I63" s="91">
        <f>'Model (Matrix)'!I60-'Model (SC)'!I60</f>
        <v>0</v>
      </c>
      <c r="J63" s="91">
        <f>'Model (Matrix)'!J60-'Model (SC)'!J60</f>
        <v>0</v>
      </c>
      <c r="K63" s="91">
        <f>'Model (Matrix)'!K60-'Model (SC)'!K60</f>
        <v>0</v>
      </c>
      <c r="L63" s="91">
        <f>'Model (Matrix)'!L60-'Model (SC)'!L60</f>
        <v>0</v>
      </c>
      <c r="M63" s="91">
        <f>'Model (Matrix)'!M60-'Model (SC)'!M60</f>
        <v>0</v>
      </c>
      <c r="N63" s="91">
        <f>'Model (Matrix)'!N60-'Model (SC)'!N60</f>
        <v>0</v>
      </c>
      <c r="O63" s="91">
        <f>'Model (Matrix)'!O60-'Model (SC)'!O60</f>
        <v>0</v>
      </c>
      <c r="P63" s="91">
        <f>'Model (Matrix)'!P60-'Model (SC)'!P60</f>
        <v>0</v>
      </c>
      <c r="Q63" s="91">
        <f>'Model (Matrix)'!Q60-'Model (SC)'!Q60</f>
        <v>0</v>
      </c>
      <c r="R63" s="91">
        <f>'Model (Matrix)'!R60-'Model (SC)'!R60</f>
        <v>0</v>
      </c>
      <c r="S63" s="91">
        <f>'Model (Matrix)'!S60-'Model (SC)'!S60</f>
        <v>0</v>
      </c>
      <c r="T63" s="91">
        <f>'Model (Matrix)'!T60-'Model (SC)'!T60</f>
        <v>0</v>
      </c>
      <c r="U63" s="91">
        <f>'Model (Matrix)'!U60-'Model (SC)'!U60</f>
        <v>0</v>
      </c>
      <c r="V63" s="91">
        <f>'Model (Matrix)'!V60-'Model (SC)'!V60</f>
        <v>0</v>
      </c>
    </row>
    <row r="64" spans="1:22" x14ac:dyDescent="0.25">
      <c r="A64" s="82"/>
      <c r="B64" s="63" t="s">
        <v>143</v>
      </c>
      <c r="C64" s="91">
        <f>'Model (Matrix)'!C61-'Model (SC)'!C61</f>
        <v>0</v>
      </c>
      <c r="D64" s="91">
        <f>'Model (Matrix)'!D61-'Model (SC)'!D61</f>
        <v>0</v>
      </c>
      <c r="E64" s="91">
        <f>'Model (Matrix)'!E61-'Model (SC)'!E61</f>
        <v>0</v>
      </c>
      <c r="F64" s="91">
        <f>'Model (Matrix)'!F61-'Model (SC)'!F61</f>
        <v>0</v>
      </c>
      <c r="G64" s="91">
        <f>'Model (Matrix)'!G61-'Model (SC)'!G61</f>
        <v>0</v>
      </c>
      <c r="H64" s="91">
        <f>'Model (Matrix)'!H61-'Model (SC)'!H61</f>
        <v>0</v>
      </c>
      <c r="I64" s="91">
        <f>'Model (Matrix)'!I61-'Model (SC)'!I61</f>
        <v>0</v>
      </c>
      <c r="J64" s="91">
        <f>'Model (Matrix)'!J61-'Model (SC)'!J61</f>
        <v>0</v>
      </c>
      <c r="K64" s="91">
        <f>'Model (Matrix)'!K61-'Model (SC)'!K61</f>
        <v>0</v>
      </c>
      <c r="L64" s="91">
        <f>'Model (Matrix)'!L61-'Model (SC)'!L61</f>
        <v>0</v>
      </c>
      <c r="M64" s="91">
        <f>'Model (Matrix)'!M61-'Model (SC)'!M61</f>
        <v>0</v>
      </c>
      <c r="N64" s="91">
        <f>'Model (Matrix)'!N61-'Model (SC)'!N61</f>
        <v>0</v>
      </c>
      <c r="O64" s="91">
        <f>'Model (Matrix)'!O61-'Model (SC)'!O61</f>
        <v>0</v>
      </c>
      <c r="P64" s="91">
        <f>'Model (Matrix)'!P61-'Model (SC)'!P61</f>
        <v>0</v>
      </c>
      <c r="Q64" s="91">
        <f>'Model (Matrix)'!Q61-'Model (SC)'!Q61</f>
        <v>0</v>
      </c>
      <c r="R64" s="91">
        <f>'Model (Matrix)'!R61-'Model (SC)'!R61</f>
        <v>0</v>
      </c>
      <c r="S64" s="91">
        <f>'Model (Matrix)'!S61-'Model (SC)'!S61</f>
        <v>0</v>
      </c>
      <c r="T64" s="91">
        <f>'Model (Matrix)'!T61-'Model (SC)'!T61</f>
        <v>0</v>
      </c>
      <c r="U64" s="91">
        <f>'Model (Matrix)'!U61-'Model (SC)'!U61</f>
        <v>0</v>
      </c>
      <c r="V64" s="91">
        <f>'Model (Matrix)'!V61-'Model (SC)'!V61</f>
        <v>0</v>
      </c>
    </row>
    <row r="65" spans="1:22" x14ac:dyDescent="0.25">
      <c r="A65" s="82"/>
      <c r="B65" s="63" t="s">
        <v>636</v>
      </c>
      <c r="C65" s="91">
        <f>'Model (Matrix)'!C62-'Model (SC)'!C62</f>
        <v>0</v>
      </c>
      <c r="D65" s="91">
        <f>'Model (Matrix)'!D62-'Model (SC)'!D62</f>
        <v>0</v>
      </c>
      <c r="E65" s="91">
        <f>'Model (Matrix)'!E62-'Model (SC)'!E62</f>
        <v>0</v>
      </c>
      <c r="F65" s="91">
        <f>'Model (Matrix)'!F62-'Model (SC)'!F62</f>
        <v>0</v>
      </c>
      <c r="G65" s="91">
        <f>'Model (Matrix)'!G62-'Model (SC)'!G62</f>
        <v>0</v>
      </c>
      <c r="H65" s="91">
        <f>'Model (Matrix)'!H62-'Model (SC)'!H62</f>
        <v>0</v>
      </c>
      <c r="I65" s="91">
        <f>'Model (Matrix)'!I62-'Model (SC)'!I62</f>
        <v>0</v>
      </c>
      <c r="J65" s="91">
        <f>'Model (Matrix)'!J62-'Model (SC)'!J62</f>
        <v>0</v>
      </c>
      <c r="K65" s="91">
        <f>'Model (Matrix)'!K62-'Model (SC)'!K62</f>
        <v>0</v>
      </c>
      <c r="L65" s="91">
        <f>'Model (Matrix)'!L62-'Model (SC)'!L62</f>
        <v>0</v>
      </c>
      <c r="M65" s="91">
        <f>'Model (Matrix)'!M62-'Model (SC)'!M62</f>
        <v>0</v>
      </c>
      <c r="N65" s="91">
        <f>'Model (Matrix)'!N62-'Model (SC)'!N62</f>
        <v>0</v>
      </c>
      <c r="O65" s="91">
        <f>'Model (Matrix)'!O62-'Model (SC)'!O62</f>
        <v>0</v>
      </c>
      <c r="P65" s="91">
        <f>'Model (Matrix)'!P62-'Model (SC)'!P62</f>
        <v>0</v>
      </c>
      <c r="Q65" s="91">
        <f>'Model (Matrix)'!Q62-'Model (SC)'!Q62</f>
        <v>0</v>
      </c>
      <c r="R65" s="91">
        <f>'Model (Matrix)'!R62-'Model (SC)'!R62</f>
        <v>0</v>
      </c>
      <c r="S65" s="91">
        <f>'Model (Matrix)'!S62-'Model (SC)'!S62</f>
        <v>0</v>
      </c>
      <c r="T65" s="91">
        <f>'Model (Matrix)'!T62-'Model (SC)'!T62</f>
        <v>0</v>
      </c>
      <c r="U65" s="91">
        <f>'Model (Matrix)'!U62-'Model (SC)'!U62</f>
        <v>0</v>
      </c>
      <c r="V65" s="91">
        <f>'Model (Matrix)'!V62-'Model (SC)'!V62</f>
        <v>0</v>
      </c>
    </row>
    <row r="66" spans="1:22" x14ac:dyDescent="0.25">
      <c r="A66" s="82"/>
      <c r="B66" s="63" t="s">
        <v>620</v>
      </c>
      <c r="C66" s="91">
        <f>'Model (Matrix)'!C63-'Model (SC)'!C63</f>
        <v>0</v>
      </c>
      <c r="D66" s="91">
        <f>'Model (Matrix)'!D63-'Model (SC)'!D63</f>
        <v>0</v>
      </c>
      <c r="E66" s="91">
        <f>'Model (Matrix)'!E63-'Model (SC)'!E63</f>
        <v>0</v>
      </c>
      <c r="F66" s="91">
        <f>'Model (Matrix)'!F63-'Model (SC)'!F63</f>
        <v>0</v>
      </c>
      <c r="G66" s="91">
        <f>'Model (Matrix)'!G63-'Model (SC)'!G63</f>
        <v>0</v>
      </c>
      <c r="H66" s="91">
        <f>'Model (Matrix)'!H63-'Model (SC)'!H63</f>
        <v>0</v>
      </c>
      <c r="I66" s="91">
        <f>'Model (Matrix)'!I63-'Model (SC)'!I63</f>
        <v>0</v>
      </c>
      <c r="J66" s="91">
        <f>'Model (Matrix)'!J63-'Model (SC)'!J63</f>
        <v>0</v>
      </c>
      <c r="K66" s="91">
        <f>'Model (Matrix)'!K63-'Model (SC)'!K63</f>
        <v>0</v>
      </c>
      <c r="L66" s="91">
        <f>'Model (Matrix)'!L63-'Model (SC)'!L63</f>
        <v>0</v>
      </c>
      <c r="M66" s="91">
        <f>'Model (Matrix)'!M63-'Model (SC)'!M63</f>
        <v>0</v>
      </c>
      <c r="N66" s="91">
        <f>'Model (Matrix)'!N63-'Model (SC)'!N63</f>
        <v>0</v>
      </c>
      <c r="O66" s="91">
        <f>'Model (Matrix)'!O63-'Model (SC)'!O63</f>
        <v>0</v>
      </c>
      <c r="P66" s="91">
        <f>'Model (Matrix)'!P63-'Model (SC)'!P63</f>
        <v>0</v>
      </c>
      <c r="Q66" s="91">
        <f>'Model (Matrix)'!Q63-'Model (SC)'!Q63</f>
        <v>0</v>
      </c>
      <c r="R66" s="91">
        <f>'Model (Matrix)'!R63-'Model (SC)'!R63</f>
        <v>0</v>
      </c>
      <c r="S66" s="91">
        <f>'Model (Matrix)'!S63-'Model (SC)'!S63</f>
        <v>0</v>
      </c>
      <c r="T66" s="91">
        <f>'Model (Matrix)'!T63-'Model (SC)'!T63</f>
        <v>0</v>
      </c>
      <c r="U66" s="91">
        <f>'Model (Matrix)'!U63-'Model (SC)'!U63</f>
        <v>0</v>
      </c>
      <c r="V66" s="91">
        <f>'Model (Matrix)'!V63-'Model (SC)'!V63</f>
        <v>0</v>
      </c>
    </row>
    <row r="67" spans="1:22" x14ac:dyDescent="0.25">
      <c r="A67" s="82"/>
      <c r="B67" s="63" t="s">
        <v>154</v>
      </c>
      <c r="C67" s="91">
        <f>'Model (Matrix)'!C64-'Model (SC)'!C64</f>
        <v>0</v>
      </c>
      <c r="D67" s="91">
        <f>'Model (Matrix)'!D64-'Model (SC)'!D64</f>
        <v>0</v>
      </c>
      <c r="E67" s="91">
        <f>'Model (Matrix)'!E64-'Model (SC)'!E64</f>
        <v>0</v>
      </c>
      <c r="F67" s="91">
        <f>'Model (Matrix)'!F64-'Model (SC)'!F64</f>
        <v>0</v>
      </c>
      <c r="G67" s="91">
        <f>'Model (Matrix)'!G64-'Model (SC)'!G64</f>
        <v>0</v>
      </c>
      <c r="H67" s="91">
        <f>'Model (Matrix)'!H64-'Model (SC)'!H64</f>
        <v>0</v>
      </c>
      <c r="I67" s="91">
        <f>'Model (Matrix)'!I64-'Model (SC)'!I64</f>
        <v>0</v>
      </c>
      <c r="J67" s="91">
        <f>'Model (Matrix)'!J64-'Model (SC)'!J64</f>
        <v>0</v>
      </c>
      <c r="K67" s="91">
        <f>'Model (Matrix)'!K64-'Model (SC)'!K64</f>
        <v>0</v>
      </c>
      <c r="L67" s="91">
        <f>'Model (Matrix)'!L64-'Model (SC)'!L64</f>
        <v>0</v>
      </c>
      <c r="M67" s="91">
        <f>'Model (Matrix)'!M64-'Model (SC)'!M64</f>
        <v>0</v>
      </c>
      <c r="N67" s="91">
        <f>'Model (Matrix)'!N64-'Model (SC)'!N64</f>
        <v>0</v>
      </c>
      <c r="O67" s="91">
        <f>'Model (Matrix)'!O64-'Model (SC)'!O64</f>
        <v>0</v>
      </c>
      <c r="P67" s="91">
        <f>'Model (Matrix)'!P64-'Model (SC)'!P64</f>
        <v>0</v>
      </c>
      <c r="Q67" s="91">
        <f>'Model (Matrix)'!Q64-'Model (SC)'!Q64</f>
        <v>0</v>
      </c>
      <c r="R67" s="91">
        <f>'Model (Matrix)'!R64-'Model (SC)'!R64</f>
        <v>0</v>
      </c>
      <c r="S67" s="91">
        <f>'Model (Matrix)'!S64-'Model (SC)'!S64</f>
        <v>0</v>
      </c>
      <c r="T67" s="91">
        <f>'Model (Matrix)'!T64-'Model (SC)'!T64</f>
        <v>0</v>
      </c>
      <c r="U67" s="91">
        <f>'Model (Matrix)'!U64-'Model (SC)'!U64</f>
        <v>0</v>
      </c>
      <c r="V67" s="91">
        <f>'Model (Matrix)'!V64-'Model (SC)'!V64</f>
        <v>0</v>
      </c>
    </row>
    <row r="68" spans="1:22" x14ac:dyDescent="0.25">
      <c r="A68" s="82"/>
      <c r="B68" s="63" t="s">
        <v>155</v>
      </c>
      <c r="C68" s="91">
        <f>'Model (Matrix)'!C65-'Model (SC)'!C65</f>
        <v>0</v>
      </c>
      <c r="D68" s="91">
        <f>'Model (Matrix)'!D65-'Model (SC)'!D65</f>
        <v>0</v>
      </c>
      <c r="E68" s="91">
        <f>'Model (Matrix)'!E65-'Model (SC)'!E65</f>
        <v>0</v>
      </c>
      <c r="F68" s="91">
        <f>'Model (Matrix)'!F65-'Model (SC)'!F65</f>
        <v>0</v>
      </c>
      <c r="G68" s="91">
        <f>'Model (Matrix)'!G65-'Model (SC)'!G65</f>
        <v>0</v>
      </c>
      <c r="H68" s="91">
        <f>'Model (Matrix)'!H65-'Model (SC)'!H65</f>
        <v>0</v>
      </c>
      <c r="I68" s="91">
        <f>'Model (Matrix)'!I65-'Model (SC)'!I65</f>
        <v>0</v>
      </c>
      <c r="J68" s="91">
        <f>'Model (Matrix)'!J65-'Model (SC)'!J65</f>
        <v>0</v>
      </c>
      <c r="K68" s="91">
        <f>'Model (Matrix)'!K65-'Model (SC)'!K65</f>
        <v>0</v>
      </c>
      <c r="L68" s="91">
        <f>'Model (Matrix)'!L65-'Model (SC)'!L65</f>
        <v>0</v>
      </c>
      <c r="M68" s="91">
        <f>'Model (Matrix)'!M65-'Model (SC)'!M65</f>
        <v>0</v>
      </c>
      <c r="N68" s="91">
        <f>'Model (Matrix)'!N65-'Model (SC)'!N65</f>
        <v>0</v>
      </c>
      <c r="O68" s="91">
        <f>'Model (Matrix)'!O65-'Model (SC)'!O65</f>
        <v>0</v>
      </c>
      <c r="P68" s="91">
        <f>'Model (Matrix)'!P65-'Model (SC)'!P65</f>
        <v>0</v>
      </c>
      <c r="Q68" s="91">
        <f>'Model (Matrix)'!Q65-'Model (SC)'!Q65</f>
        <v>0</v>
      </c>
      <c r="R68" s="91">
        <f>'Model (Matrix)'!R65-'Model (SC)'!R65</f>
        <v>0</v>
      </c>
      <c r="S68" s="91">
        <f>'Model (Matrix)'!S65-'Model (SC)'!S65</f>
        <v>0</v>
      </c>
      <c r="T68" s="91">
        <f>'Model (Matrix)'!T65-'Model (SC)'!T65</f>
        <v>0</v>
      </c>
      <c r="U68" s="91">
        <f>'Model (Matrix)'!U65-'Model (SC)'!U65</f>
        <v>0</v>
      </c>
      <c r="V68" s="91">
        <f>'Model (Matrix)'!V65-'Model (SC)'!V65</f>
        <v>0</v>
      </c>
    </row>
    <row r="69" spans="1:22" x14ac:dyDescent="0.25">
      <c r="A69" s="82"/>
      <c r="B69" s="63" t="s">
        <v>621</v>
      </c>
      <c r="C69" s="91">
        <f>'Model (Matrix)'!C66-'Model (SC)'!C66</f>
        <v>0</v>
      </c>
      <c r="D69" s="91">
        <f>'Model (Matrix)'!D66-'Model (SC)'!D66</f>
        <v>0</v>
      </c>
      <c r="E69" s="91">
        <f>'Model (Matrix)'!E66-'Model (SC)'!E66</f>
        <v>0</v>
      </c>
      <c r="F69" s="91">
        <f>'Model (Matrix)'!F66-'Model (SC)'!F66</f>
        <v>0</v>
      </c>
      <c r="G69" s="91">
        <f>'Model (Matrix)'!G66-'Model (SC)'!G66</f>
        <v>0</v>
      </c>
      <c r="H69" s="91">
        <f>'Model (Matrix)'!H66-'Model (SC)'!H66</f>
        <v>0</v>
      </c>
      <c r="I69" s="91">
        <f>'Model (Matrix)'!I66-'Model (SC)'!I66</f>
        <v>0</v>
      </c>
      <c r="J69" s="91">
        <f>'Model (Matrix)'!J66-'Model (SC)'!J66</f>
        <v>0</v>
      </c>
      <c r="K69" s="91">
        <f>'Model (Matrix)'!K66-'Model (SC)'!K66</f>
        <v>0</v>
      </c>
      <c r="L69" s="91">
        <f>'Model (Matrix)'!L66-'Model (SC)'!L66</f>
        <v>0</v>
      </c>
      <c r="M69" s="91">
        <f>'Model (Matrix)'!M66-'Model (SC)'!M66</f>
        <v>0</v>
      </c>
      <c r="N69" s="91">
        <f>'Model (Matrix)'!N66-'Model (SC)'!N66</f>
        <v>0</v>
      </c>
      <c r="O69" s="91">
        <f>'Model (Matrix)'!O66-'Model (SC)'!O66</f>
        <v>0</v>
      </c>
      <c r="P69" s="91">
        <f>'Model (Matrix)'!P66-'Model (SC)'!P66</f>
        <v>0</v>
      </c>
      <c r="Q69" s="91">
        <f>'Model (Matrix)'!Q66-'Model (SC)'!Q66</f>
        <v>0</v>
      </c>
      <c r="R69" s="91">
        <f>'Model (Matrix)'!R66-'Model (SC)'!R66</f>
        <v>0</v>
      </c>
      <c r="S69" s="91">
        <f>'Model (Matrix)'!S66-'Model (SC)'!S66</f>
        <v>0</v>
      </c>
      <c r="T69" s="91">
        <f>'Model (Matrix)'!T66-'Model (SC)'!T66</f>
        <v>0</v>
      </c>
      <c r="U69" s="91">
        <f>'Model (Matrix)'!U66-'Model (SC)'!U66</f>
        <v>0</v>
      </c>
      <c r="V69" s="91">
        <f>'Model (Matrix)'!V66-'Model (SC)'!V66</f>
        <v>0</v>
      </c>
    </row>
    <row r="70" spans="1:22" x14ac:dyDescent="0.25">
      <c r="A70" s="82"/>
      <c r="B70" s="63" t="s">
        <v>145</v>
      </c>
      <c r="C70" s="91">
        <f>'Model (Matrix)'!C67-'Model (SC)'!C67</f>
        <v>0</v>
      </c>
      <c r="D70" s="91">
        <f>'Model (Matrix)'!D67-'Model (SC)'!D67</f>
        <v>0</v>
      </c>
      <c r="E70" s="91">
        <f>'Model (Matrix)'!E67-'Model (SC)'!E67</f>
        <v>0</v>
      </c>
      <c r="F70" s="91">
        <f>'Model (Matrix)'!F67-'Model (SC)'!F67</f>
        <v>0</v>
      </c>
      <c r="G70" s="91">
        <f>'Model (Matrix)'!G67-'Model (SC)'!G67</f>
        <v>0</v>
      </c>
      <c r="H70" s="91">
        <f>'Model (Matrix)'!H67-'Model (SC)'!H67</f>
        <v>0</v>
      </c>
      <c r="I70" s="91">
        <f>'Model (Matrix)'!I67-'Model (SC)'!I67</f>
        <v>0</v>
      </c>
      <c r="J70" s="91">
        <f>'Model (Matrix)'!J67-'Model (SC)'!J67</f>
        <v>0</v>
      </c>
      <c r="K70" s="91">
        <f>'Model (Matrix)'!K67-'Model (SC)'!K67</f>
        <v>0</v>
      </c>
      <c r="L70" s="91">
        <f>'Model (Matrix)'!L67-'Model (SC)'!L67</f>
        <v>0</v>
      </c>
      <c r="M70" s="91">
        <f>'Model (Matrix)'!M67-'Model (SC)'!M67</f>
        <v>0</v>
      </c>
      <c r="N70" s="91">
        <f>'Model (Matrix)'!N67-'Model (SC)'!N67</f>
        <v>0</v>
      </c>
      <c r="O70" s="91">
        <f>'Model (Matrix)'!O67-'Model (SC)'!O67</f>
        <v>0</v>
      </c>
      <c r="P70" s="91">
        <f>'Model (Matrix)'!P67-'Model (SC)'!P67</f>
        <v>0</v>
      </c>
      <c r="Q70" s="91">
        <f>'Model (Matrix)'!Q67-'Model (SC)'!Q67</f>
        <v>0</v>
      </c>
      <c r="R70" s="91">
        <f>'Model (Matrix)'!R67-'Model (SC)'!R67</f>
        <v>0</v>
      </c>
      <c r="S70" s="91">
        <f>'Model (Matrix)'!S67-'Model (SC)'!S67</f>
        <v>0</v>
      </c>
      <c r="T70" s="91">
        <f>'Model (Matrix)'!T67-'Model (SC)'!T67</f>
        <v>0</v>
      </c>
      <c r="U70" s="91">
        <f>'Model (Matrix)'!U67-'Model (SC)'!U67</f>
        <v>0</v>
      </c>
      <c r="V70" s="91">
        <f>'Model (Matrix)'!V67-'Model (SC)'!V67</f>
        <v>0</v>
      </c>
    </row>
    <row r="71" spans="1:22" x14ac:dyDescent="0.25">
      <c r="A71" s="82"/>
      <c r="B71" s="63" t="s">
        <v>622</v>
      </c>
      <c r="C71" s="91">
        <f>'Model (Matrix)'!C68-'Model (SC)'!C68</f>
        <v>0</v>
      </c>
      <c r="D71" s="91">
        <f>'Model (Matrix)'!D68-'Model (SC)'!D68</f>
        <v>0</v>
      </c>
      <c r="E71" s="91">
        <f>'Model (Matrix)'!E68-'Model (SC)'!E68</f>
        <v>0</v>
      </c>
      <c r="F71" s="91">
        <f>'Model (Matrix)'!F68-'Model (SC)'!F68</f>
        <v>0</v>
      </c>
      <c r="G71" s="91">
        <f>'Model (Matrix)'!G68-'Model (SC)'!G68</f>
        <v>0</v>
      </c>
      <c r="H71" s="91">
        <f>'Model (Matrix)'!H68-'Model (SC)'!H68</f>
        <v>0</v>
      </c>
      <c r="I71" s="91">
        <f>'Model (Matrix)'!I68-'Model (SC)'!I68</f>
        <v>0</v>
      </c>
      <c r="J71" s="91">
        <f>'Model (Matrix)'!J68-'Model (SC)'!J68</f>
        <v>0</v>
      </c>
      <c r="K71" s="91">
        <f>'Model (Matrix)'!K68-'Model (SC)'!K68</f>
        <v>0</v>
      </c>
      <c r="L71" s="91">
        <f>'Model (Matrix)'!L68-'Model (SC)'!L68</f>
        <v>0</v>
      </c>
      <c r="M71" s="91">
        <f>'Model (Matrix)'!M68-'Model (SC)'!M68</f>
        <v>0</v>
      </c>
      <c r="N71" s="91">
        <f>'Model (Matrix)'!N68-'Model (SC)'!N68</f>
        <v>0</v>
      </c>
      <c r="O71" s="91">
        <f>'Model (Matrix)'!O68-'Model (SC)'!O68</f>
        <v>0</v>
      </c>
      <c r="P71" s="91">
        <f>'Model (Matrix)'!P68-'Model (SC)'!P68</f>
        <v>0</v>
      </c>
      <c r="Q71" s="91">
        <f>'Model (Matrix)'!Q68-'Model (SC)'!Q68</f>
        <v>0</v>
      </c>
      <c r="R71" s="91">
        <f>'Model (Matrix)'!R68-'Model (SC)'!R68</f>
        <v>0</v>
      </c>
      <c r="S71" s="91">
        <f>'Model (Matrix)'!S68-'Model (SC)'!S68</f>
        <v>0</v>
      </c>
      <c r="T71" s="91">
        <f>'Model (Matrix)'!T68-'Model (SC)'!T68</f>
        <v>0</v>
      </c>
      <c r="U71" s="91">
        <f>'Model (Matrix)'!U68-'Model (SC)'!U68</f>
        <v>0</v>
      </c>
      <c r="V71" s="91">
        <f>'Model (Matrix)'!V68-'Model (SC)'!V68</f>
        <v>0</v>
      </c>
    </row>
    <row r="72" spans="1:22" x14ac:dyDescent="0.25">
      <c r="A72" s="82"/>
      <c r="B72" s="64" t="s">
        <v>146</v>
      </c>
      <c r="C72" s="91">
        <f>'Model (Matrix)'!C69-'Model (SC)'!C69</f>
        <v>0</v>
      </c>
      <c r="D72" s="91">
        <f>'Model (Matrix)'!D69-'Model (SC)'!D69</f>
        <v>0</v>
      </c>
      <c r="E72" s="91">
        <f>'Model (Matrix)'!E69-'Model (SC)'!E69</f>
        <v>0</v>
      </c>
      <c r="F72" s="91">
        <f>'Model (Matrix)'!F69-'Model (SC)'!F69</f>
        <v>0</v>
      </c>
      <c r="G72" s="91">
        <f>'Model (Matrix)'!G69-'Model (SC)'!G69</f>
        <v>0</v>
      </c>
      <c r="H72" s="91">
        <f>'Model (Matrix)'!H69-'Model (SC)'!H69</f>
        <v>0</v>
      </c>
      <c r="I72" s="91">
        <f>'Model (Matrix)'!I69-'Model (SC)'!I69</f>
        <v>0</v>
      </c>
      <c r="J72" s="91">
        <f>'Model (Matrix)'!J69-'Model (SC)'!J69</f>
        <v>0</v>
      </c>
      <c r="K72" s="91">
        <f>'Model (Matrix)'!K69-'Model (SC)'!K69</f>
        <v>0</v>
      </c>
      <c r="L72" s="91">
        <f>'Model (Matrix)'!L69-'Model (SC)'!L69</f>
        <v>0</v>
      </c>
      <c r="M72" s="91">
        <f>'Model (Matrix)'!M69-'Model (SC)'!M69</f>
        <v>0</v>
      </c>
      <c r="N72" s="91">
        <f>'Model (Matrix)'!N69-'Model (SC)'!N69</f>
        <v>0</v>
      </c>
      <c r="O72" s="91">
        <f>'Model (Matrix)'!O69-'Model (SC)'!O69</f>
        <v>0</v>
      </c>
      <c r="P72" s="91">
        <f>'Model (Matrix)'!P69-'Model (SC)'!P69</f>
        <v>0</v>
      </c>
      <c r="Q72" s="91">
        <f>'Model (Matrix)'!Q69-'Model (SC)'!Q69</f>
        <v>0</v>
      </c>
      <c r="R72" s="91">
        <f>'Model (Matrix)'!R69-'Model (SC)'!R69</f>
        <v>0</v>
      </c>
      <c r="S72" s="91">
        <f>'Model (Matrix)'!S69-'Model (SC)'!S69</f>
        <v>0</v>
      </c>
      <c r="T72" s="91">
        <f>'Model (Matrix)'!T69-'Model (SC)'!T69</f>
        <v>0</v>
      </c>
      <c r="U72" s="91">
        <f>'Model (Matrix)'!U69-'Model (SC)'!U69</f>
        <v>0</v>
      </c>
      <c r="V72" s="91">
        <f>'Model (Matrix)'!V69-'Model (SC)'!V69</f>
        <v>0</v>
      </c>
    </row>
    <row r="73" spans="1:22" x14ac:dyDescent="0.25">
      <c r="A73" s="82"/>
      <c r="B73" s="98" t="s">
        <v>131</v>
      </c>
      <c r="C73" s="100">
        <f>'Model (Matrix)'!C70-'Model (SC)'!C70</f>
        <v>0</v>
      </c>
      <c r="D73" s="100">
        <f>'Model (Matrix)'!D70-'Model (SC)'!D70</f>
        <v>0</v>
      </c>
      <c r="E73" s="100">
        <f>'Model (Matrix)'!E70-'Model (SC)'!E70</f>
        <v>0</v>
      </c>
      <c r="F73" s="100">
        <f>'Model (Matrix)'!F70-'Model (SC)'!F70</f>
        <v>0</v>
      </c>
      <c r="G73" s="100">
        <f>'Model (Matrix)'!G70-'Model (SC)'!G70</f>
        <v>0</v>
      </c>
      <c r="H73" s="100">
        <f>'Model (Matrix)'!H70-'Model (SC)'!H70</f>
        <v>0</v>
      </c>
      <c r="I73" s="100">
        <f>'Model (Matrix)'!I70-'Model (SC)'!I70</f>
        <v>0</v>
      </c>
      <c r="J73" s="100">
        <f>'Model (Matrix)'!J70-'Model (SC)'!J70</f>
        <v>0</v>
      </c>
      <c r="K73" s="100">
        <f>'Model (Matrix)'!K70-'Model (SC)'!K70</f>
        <v>0</v>
      </c>
      <c r="L73" s="100">
        <f>'Model (Matrix)'!L70-'Model (SC)'!L70</f>
        <v>0</v>
      </c>
      <c r="M73" s="100">
        <f>'Model (Matrix)'!M70-'Model (SC)'!M70</f>
        <v>0</v>
      </c>
      <c r="N73" s="100">
        <f>'Model (Matrix)'!N70-'Model (SC)'!N70</f>
        <v>0</v>
      </c>
      <c r="O73" s="100">
        <f>'Model (Matrix)'!O70-'Model (SC)'!O70</f>
        <v>0</v>
      </c>
      <c r="P73" s="100">
        <f>'Model (Matrix)'!P70-'Model (SC)'!P70</f>
        <v>0</v>
      </c>
      <c r="Q73" s="100">
        <f>'Model (Matrix)'!Q70-'Model (SC)'!Q70</f>
        <v>0</v>
      </c>
      <c r="R73" s="100">
        <f>'Model (Matrix)'!R70-'Model (SC)'!R70</f>
        <v>0</v>
      </c>
      <c r="S73" s="100">
        <f>'Model (Matrix)'!S70-'Model (SC)'!S70</f>
        <v>0</v>
      </c>
      <c r="T73" s="100">
        <f>'Model (Matrix)'!T70-'Model (SC)'!T70</f>
        <v>0</v>
      </c>
      <c r="U73" s="100">
        <f>'Model (Matrix)'!U70-'Model (SC)'!U70</f>
        <v>0</v>
      </c>
      <c r="V73" s="100">
        <f>'Model (Matrix)'!V70-'Model (SC)'!V70</f>
        <v>0</v>
      </c>
    </row>
    <row r="74" spans="1:22" s="88" customFormat="1" x14ac:dyDescent="0.25">
      <c r="A74" s="89"/>
      <c r="C74" s="106"/>
      <c r="D74" s="91"/>
      <c r="E74" s="176"/>
      <c r="F74" s="176"/>
      <c r="G74" s="176"/>
      <c r="H74" s="176"/>
      <c r="I74" s="176"/>
      <c r="J74" s="176"/>
      <c r="K74" s="176"/>
      <c r="L74" s="176"/>
      <c r="M74" s="176"/>
      <c r="N74" s="176"/>
      <c r="O74" s="176"/>
      <c r="P74" s="176"/>
      <c r="Q74" s="176"/>
      <c r="R74" s="176"/>
      <c r="S74" s="176"/>
      <c r="T74" s="64"/>
      <c r="U74" s="64"/>
      <c r="V74" s="64"/>
    </row>
    <row r="75" spans="1:22" s="64" customFormat="1" x14ac:dyDescent="0.25">
      <c r="A75" s="82"/>
      <c r="B75" s="105"/>
      <c r="C75" s="106"/>
      <c r="D75" s="91"/>
      <c r="E75" s="176"/>
      <c r="F75" s="176"/>
      <c r="G75" s="176"/>
      <c r="H75" s="176"/>
      <c r="I75" s="176"/>
      <c r="J75" s="176"/>
      <c r="K75" s="176"/>
      <c r="L75" s="176"/>
      <c r="M75" s="176"/>
      <c r="N75" s="176"/>
      <c r="O75" s="176"/>
      <c r="P75" s="176"/>
      <c r="Q75" s="176"/>
      <c r="R75" s="176"/>
      <c r="S75" s="176"/>
    </row>
    <row r="76" spans="1:22" s="64" customFormat="1" x14ac:dyDescent="0.25">
      <c r="A76" s="82"/>
      <c r="B76" s="107" t="s">
        <v>156</v>
      </c>
      <c r="C76" s="93">
        <f t="shared" ref="C76:V76" si="0">ROUNDDOWN(SUM(C6:C8)+SUM(C15:C23)+SUM(C40:C52),0)</f>
        <v>0</v>
      </c>
      <c r="D76" s="108">
        <f t="shared" si="0"/>
        <v>0</v>
      </c>
      <c r="E76" s="108">
        <f t="shared" si="0"/>
        <v>0</v>
      </c>
      <c r="F76" s="108">
        <f t="shared" si="0"/>
        <v>0</v>
      </c>
      <c r="G76" s="108">
        <f t="shared" si="0"/>
        <v>0</v>
      </c>
      <c r="H76" s="108">
        <f t="shared" si="0"/>
        <v>0</v>
      </c>
      <c r="I76" s="108">
        <f t="shared" si="0"/>
        <v>0</v>
      </c>
      <c r="J76" s="108">
        <f t="shared" si="0"/>
        <v>0</v>
      </c>
      <c r="K76" s="108">
        <f t="shared" si="0"/>
        <v>0</v>
      </c>
      <c r="L76" s="108">
        <f t="shared" si="0"/>
        <v>0</v>
      </c>
      <c r="M76" s="109">
        <f t="shared" si="0"/>
        <v>0</v>
      </c>
      <c r="N76" s="108">
        <f t="shared" si="0"/>
        <v>0</v>
      </c>
      <c r="O76" s="108">
        <f t="shared" si="0"/>
        <v>0</v>
      </c>
      <c r="P76" s="108">
        <f t="shared" si="0"/>
        <v>0</v>
      </c>
      <c r="Q76" s="108">
        <f t="shared" si="0"/>
        <v>0</v>
      </c>
      <c r="R76" s="108">
        <f t="shared" si="0"/>
        <v>0</v>
      </c>
      <c r="S76" s="108">
        <f t="shared" si="0"/>
        <v>0</v>
      </c>
      <c r="T76" s="108">
        <f t="shared" si="0"/>
        <v>0</v>
      </c>
      <c r="U76" s="108">
        <f t="shared" si="0"/>
        <v>0</v>
      </c>
      <c r="V76" s="108">
        <f t="shared" si="0"/>
        <v>0</v>
      </c>
    </row>
    <row r="77" spans="1:22" s="64" customFormat="1" x14ac:dyDescent="0.25">
      <c r="A77" s="82"/>
      <c r="B77" s="107" t="s">
        <v>157</v>
      </c>
      <c r="C77" s="110">
        <f>9257096*0.57</f>
        <v>5276544.72</v>
      </c>
      <c r="D77" s="111">
        <f>9409991*0.58</f>
        <v>5457794.7799999993</v>
      </c>
      <c r="E77" s="111">
        <f>9564449*0.58</f>
        <v>5547380.4199999999</v>
      </c>
      <c r="F77" s="111">
        <f>9720086*0.59</f>
        <v>5734850.7399999993</v>
      </c>
      <c r="G77" s="111">
        <f>9876402*0.59</f>
        <v>5827077.1799999997</v>
      </c>
      <c r="H77" s="111">
        <f>10032619*0.58</f>
        <v>5818919.0199999996</v>
      </c>
      <c r="I77" s="111">
        <f>9958000*0.59</f>
        <v>5875220</v>
      </c>
      <c r="J77" s="111">
        <f>9958000*0.59</f>
        <v>5875220</v>
      </c>
      <c r="K77" s="111" t="e">
        <f>'Model (SC)'!#REF!</f>
        <v>#REF!</v>
      </c>
      <c r="L77" s="111" t="e">
        <f>'Model (SC)'!#REF!</f>
        <v>#REF!</v>
      </c>
      <c r="M77" s="111" t="e">
        <f>'Model (SC)'!#REF!</f>
        <v>#REF!</v>
      </c>
      <c r="N77" s="111" t="e">
        <f>'Model (SC)'!#REF!</f>
        <v>#REF!</v>
      </c>
      <c r="O77" s="111" t="e">
        <f>'Model (SC)'!#REF!</f>
        <v>#REF!</v>
      </c>
      <c r="P77" s="111" t="e">
        <f>'Model (SC)'!#REF!</f>
        <v>#REF!</v>
      </c>
      <c r="Q77" s="111" t="e">
        <f>'Model (SC)'!#REF!</f>
        <v>#REF!</v>
      </c>
      <c r="R77" s="111" t="e">
        <f>'Model (SC)'!#REF!</f>
        <v>#REF!</v>
      </c>
      <c r="S77" s="111" t="e">
        <f>'Model (SC)'!#REF!</f>
        <v>#REF!</v>
      </c>
      <c r="T77" s="111" t="e">
        <f>'Model (SC)'!#REF!</f>
        <v>#REF!</v>
      </c>
      <c r="U77" s="111" t="e">
        <f>'Model (SC)'!#REF!</f>
        <v>#REF!</v>
      </c>
      <c r="V77" s="111" t="e">
        <f>'Model (SC)'!#REF!</f>
        <v>#REF!</v>
      </c>
    </row>
    <row r="78" spans="1:22" s="116" customFormat="1" x14ac:dyDescent="0.25">
      <c r="A78" s="112"/>
      <c r="B78" s="113" t="s">
        <v>158</v>
      </c>
      <c r="C78" s="114">
        <f t="shared" ref="C78:V78" si="1">C76/C77</f>
        <v>0</v>
      </c>
      <c r="D78" s="115">
        <f t="shared" si="1"/>
        <v>0</v>
      </c>
      <c r="E78" s="115">
        <f t="shared" si="1"/>
        <v>0</v>
      </c>
      <c r="F78" s="115">
        <f t="shared" si="1"/>
        <v>0</v>
      </c>
      <c r="G78" s="115">
        <f t="shared" si="1"/>
        <v>0</v>
      </c>
      <c r="H78" s="115">
        <f t="shared" si="1"/>
        <v>0</v>
      </c>
      <c r="I78" s="115">
        <f t="shared" si="1"/>
        <v>0</v>
      </c>
      <c r="J78" s="115">
        <f t="shared" si="1"/>
        <v>0</v>
      </c>
      <c r="K78" s="115" t="e">
        <f t="shared" si="1"/>
        <v>#REF!</v>
      </c>
      <c r="L78" s="115" t="e">
        <f t="shared" si="1"/>
        <v>#REF!</v>
      </c>
      <c r="M78" s="115" t="e">
        <f t="shared" si="1"/>
        <v>#REF!</v>
      </c>
      <c r="N78" s="115" t="e">
        <f t="shared" si="1"/>
        <v>#REF!</v>
      </c>
      <c r="O78" s="115" t="e">
        <f t="shared" si="1"/>
        <v>#REF!</v>
      </c>
      <c r="P78" s="115" t="e">
        <f t="shared" si="1"/>
        <v>#REF!</v>
      </c>
      <c r="Q78" s="115" t="e">
        <f t="shared" si="1"/>
        <v>#REF!</v>
      </c>
      <c r="R78" s="115" t="e">
        <f t="shared" si="1"/>
        <v>#REF!</v>
      </c>
      <c r="S78" s="115" t="e">
        <f t="shared" si="1"/>
        <v>#REF!</v>
      </c>
      <c r="T78" s="115" t="e">
        <f t="shared" si="1"/>
        <v>#REF!</v>
      </c>
      <c r="U78" s="115" t="e">
        <f t="shared" si="1"/>
        <v>#REF!</v>
      </c>
      <c r="V78" s="115" t="e">
        <f t="shared" si="1"/>
        <v>#REF!</v>
      </c>
    </row>
    <row r="79" spans="1:22" x14ac:dyDescent="0.25">
      <c r="C79" s="117"/>
      <c r="D79" s="265"/>
      <c r="E79" s="265"/>
      <c r="F79" s="265"/>
      <c r="G79" s="265"/>
      <c r="H79" s="176"/>
      <c r="I79" s="176"/>
      <c r="J79" s="176"/>
      <c r="K79" s="176"/>
      <c r="L79" s="176"/>
      <c r="M79" s="176"/>
      <c r="N79" s="176"/>
      <c r="O79" s="176"/>
      <c r="P79" s="176"/>
      <c r="Q79" s="176"/>
      <c r="R79" s="176"/>
      <c r="S79" s="104"/>
      <c r="T79" s="64"/>
    </row>
    <row r="80" spans="1:22" x14ac:dyDescent="0.25">
      <c r="A80" s="127" t="s">
        <v>159</v>
      </c>
      <c r="C80" s="117"/>
      <c r="D80" s="265"/>
      <c r="E80" s="265"/>
      <c r="F80" s="265"/>
      <c r="G80" s="265"/>
      <c r="H80" s="176"/>
      <c r="I80" s="176"/>
      <c r="J80" s="176"/>
      <c r="K80" s="176"/>
      <c r="L80" s="176"/>
      <c r="M80" s="176"/>
      <c r="N80" s="176"/>
      <c r="O80" s="176"/>
      <c r="P80" s="176"/>
      <c r="Q80" s="176"/>
      <c r="R80" s="176"/>
      <c r="S80" s="176"/>
      <c r="T80" s="64"/>
    </row>
    <row r="81" spans="1:20" x14ac:dyDescent="0.25">
      <c r="A81" s="118" t="s">
        <v>160</v>
      </c>
      <c r="C81" s="117"/>
      <c r="D81" s="265"/>
      <c r="E81" s="265"/>
      <c r="F81" s="265"/>
      <c r="G81" s="265"/>
      <c r="H81" s="176"/>
      <c r="I81" s="176"/>
      <c r="J81" s="176"/>
      <c r="K81" s="176"/>
      <c r="L81" s="176"/>
      <c r="M81" s="176"/>
      <c r="N81" s="176"/>
      <c r="O81" s="176"/>
      <c r="P81" s="176"/>
      <c r="Q81" s="176"/>
      <c r="R81" s="176"/>
      <c r="S81" s="176"/>
      <c r="T81" s="64"/>
    </row>
    <row r="82" spans="1:20" x14ac:dyDescent="0.25">
      <c r="C82" s="117"/>
      <c r="D82" s="265"/>
      <c r="E82" s="265"/>
      <c r="F82" s="265"/>
      <c r="G82" s="265"/>
      <c r="H82" s="176"/>
      <c r="I82" s="176"/>
      <c r="J82" s="176"/>
      <c r="K82" s="176"/>
      <c r="L82" s="176"/>
      <c r="M82" s="176"/>
      <c r="N82" s="176"/>
      <c r="O82" s="176"/>
      <c r="P82" s="176"/>
      <c r="Q82" s="176"/>
      <c r="R82" s="176"/>
      <c r="S82" s="176"/>
      <c r="T82" s="64"/>
    </row>
    <row r="83" spans="1:20" x14ac:dyDescent="0.25">
      <c r="A83" s="128" t="s">
        <v>161</v>
      </c>
      <c r="B83" s="265"/>
      <c r="C83" s="119"/>
      <c r="D83" s="265"/>
      <c r="E83" s="265"/>
      <c r="F83" s="265"/>
      <c r="G83" s="265"/>
      <c r="H83" s="176"/>
      <c r="I83" s="176"/>
      <c r="J83" s="176"/>
      <c r="K83" s="176"/>
      <c r="L83" s="176"/>
      <c r="M83" s="176"/>
      <c r="N83" s="176"/>
      <c r="O83" s="176"/>
      <c r="P83" s="176"/>
      <c r="Q83" s="176"/>
      <c r="R83" s="176"/>
      <c r="S83" s="176"/>
      <c r="T83" s="64"/>
    </row>
    <row r="84" spans="1:20" x14ac:dyDescent="0.25">
      <c r="A84" s="120"/>
      <c r="B84" s="121" t="s">
        <v>162</v>
      </c>
      <c r="C84" s="117"/>
      <c r="D84" s="265"/>
      <c r="E84" s="265"/>
      <c r="F84" s="265"/>
      <c r="G84" s="265"/>
      <c r="H84" s="176"/>
      <c r="I84" s="176"/>
      <c r="J84" s="176"/>
      <c r="K84" s="176"/>
      <c r="L84" s="176"/>
      <c r="M84" s="176"/>
      <c r="N84" s="176"/>
      <c r="O84" s="176"/>
      <c r="P84" s="176"/>
      <c r="Q84" s="176"/>
      <c r="R84" s="176"/>
      <c r="S84" s="176"/>
      <c r="T84" s="64"/>
    </row>
  </sheetData>
  <mergeCells count="2">
    <mergeCell ref="C2:K2"/>
    <mergeCell ref="L2:V2"/>
  </mergeCells>
  <printOptions horizontalCentered="1"/>
  <pageMargins left="0.5" right="0.5" top="0.75" bottom="0.75" header="0.3" footer="0.3"/>
  <pageSetup scale="77"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X79"/>
  <sheetViews>
    <sheetView zoomScaleNormal="100" workbookViewId="0">
      <pane xSplit="2" ySplit="5" topLeftCell="I6" activePane="bottomRight" state="frozen"/>
      <selection activeCell="E71" sqref="E71"/>
      <selection pane="topRight" activeCell="E71" sqref="E71"/>
      <selection pane="bottomLeft" activeCell="E71" sqref="E71"/>
      <selection pane="bottomRight" activeCell="V14" sqref="V14"/>
    </sheetView>
  </sheetViews>
  <sheetFormatPr defaultColWidth="9.140625" defaultRowHeight="15" x14ac:dyDescent="0.25"/>
  <cols>
    <col min="1" max="1" width="2.85546875" style="127" customWidth="1"/>
    <col min="2" max="2" width="23.42578125" style="127" customWidth="1"/>
    <col min="3" max="3" width="9.140625" style="226" customWidth="1"/>
    <col min="4" max="5" width="9.140625" style="127" customWidth="1"/>
    <col min="6" max="7" width="9.140625" style="127"/>
    <col min="8" max="8" width="9.140625" style="64"/>
    <col min="9" max="9" width="12.28515625" style="176" customWidth="1"/>
    <col min="10" max="11" width="9.140625" style="127"/>
    <col min="12" max="12" width="12.85546875" style="191" customWidth="1"/>
    <col min="13" max="14" width="9.140625" style="64"/>
    <col min="15" max="17" width="9.140625" style="127"/>
    <col min="18" max="19" width="9.140625" style="64"/>
    <col min="20" max="16384" width="9.140625" style="127"/>
  </cols>
  <sheetData>
    <row r="1" spans="1:24" s="5" customFormat="1" x14ac:dyDescent="0.25">
      <c r="A1" s="74" t="s">
        <v>288</v>
      </c>
      <c r="B1" s="143"/>
      <c r="C1" s="76"/>
      <c r="D1" s="75"/>
      <c r="E1" s="75"/>
      <c r="F1" s="75"/>
      <c r="G1" s="75"/>
      <c r="H1" s="75"/>
      <c r="I1" s="144"/>
      <c r="J1" s="75"/>
      <c r="K1" s="75"/>
      <c r="L1" s="206"/>
      <c r="M1" s="75"/>
      <c r="N1" s="75"/>
      <c r="O1" s="75"/>
      <c r="P1" s="75"/>
      <c r="Q1" s="75"/>
      <c r="R1" s="77"/>
      <c r="S1" s="77"/>
    </row>
    <row r="2" spans="1:24" s="5" customFormat="1" x14ac:dyDescent="0.25">
      <c r="A2" s="145"/>
      <c r="B2" s="146"/>
      <c r="C2" s="144"/>
      <c r="D2" s="77"/>
      <c r="E2" s="77"/>
      <c r="F2" s="77"/>
      <c r="G2" s="77"/>
      <c r="H2" s="77"/>
      <c r="I2" s="144"/>
      <c r="J2" s="77"/>
      <c r="K2" s="77"/>
      <c r="L2" s="207"/>
      <c r="M2" s="77"/>
      <c r="N2" s="77"/>
      <c r="O2" s="77"/>
      <c r="P2" s="77"/>
      <c r="Q2" s="77"/>
      <c r="R2" s="77"/>
      <c r="S2" s="77"/>
    </row>
    <row r="3" spans="1:24" s="13" customFormat="1" x14ac:dyDescent="0.25">
      <c r="A3" s="78"/>
      <c r="B3" s="123"/>
      <c r="C3" s="352" t="s">
        <v>105</v>
      </c>
      <c r="D3" s="354"/>
      <c r="E3" s="354"/>
      <c r="F3" s="354"/>
      <c r="G3" s="354"/>
      <c r="H3" s="354"/>
      <c r="I3" s="225"/>
      <c r="J3" s="225"/>
      <c r="K3" s="225"/>
      <c r="L3" s="133" t="s">
        <v>21</v>
      </c>
      <c r="M3" s="352" t="s">
        <v>106</v>
      </c>
      <c r="N3" s="355"/>
      <c r="O3" s="355"/>
      <c r="P3" s="355"/>
      <c r="Q3" s="355"/>
      <c r="R3" s="355"/>
      <c r="S3" s="355"/>
      <c r="T3" s="355"/>
      <c r="U3" s="355"/>
      <c r="V3" s="355"/>
    </row>
    <row r="4" spans="1:24" s="13" customFormat="1" x14ac:dyDescent="0.25">
      <c r="A4" s="78"/>
      <c r="B4" s="123"/>
      <c r="C4" s="79">
        <v>2004</v>
      </c>
      <c r="D4" s="80">
        <v>2005</v>
      </c>
      <c r="E4" s="80">
        <v>2006</v>
      </c>
      <c r="F4" s="80">
        <v>2007</v>
      </c>
      <c r="G4" s="80">
        <v>2008</v>
      </c>
      <c r="H4" s="80">
        <v>2009</v>
      </c>
      <c r="I4" s="80">
        <v>2010</v>
      </c>
      <c r="J4" s="80">
        <v>2011</v>
      </c>
      <c r="K4" s="80">
        <v>2012</v>
      </c>
      <c r="L4" s="136">
        <v>2013</v>
      </c>
      <c r="M4" s="80">
        <v>2014</v>
      </c>
      <c r="N4" s="81">
        <v>2015</v>
      </c>
      <c r="O4" s="80">
        <v>2016</v>
      </c>
      <c r="P4" s="80">
        <v>2017</v>
      </c>
      <c r="Q4" s="80">
        <v>2018</v>
      </c>
      <c r="R4" s="80">
        <v>2019</v>
      </c>
      <c r="S4" s="80">
        <v>2020</v>
      </c>
      <c r="T4" s="80">
        <v>2021</v>
      </c>
      <c r="U4" s="80">
        <v>2022</v>
      </c>
      <c r="V4" s="80">
        <v>2023</v>
      </c>
    </row>
    <row r="5" spans="1:24" x14ac:dyDescent="0.25">
      <c r="A5" s="82"/>
      <c r="B5" s="64"/>
      <c r="C5" s="83" t="s">
        <v>107</v>
      </c>
      <c r="D5" s="84" t="s">
        <v>108</v>
      </c>
      <c r="E5" s="84" t="s">
        <v>109</v>
      </c>
      <c r="F5" s="84" t="s">
        <v>110</v>
      </c>
      <c r="G5" s="84" t="s">
        <v>111</v>
      </c>
      <c r="H5" s="84" t="s">
        <v>112</v>
      </c>
      <c r="I5" s="84" t="s">
        <v>113</v>
      </c>
      <c r="J5" s="84" t="s">
        <v>114</v>
      </c>
      <c r="K5" s="84" t="s">
        <v>115</v>
      </c>
      <c r="L5" s="138" t="s">
        <v>116</v>
      </c>
      <c r="M5" s="84" t="s">
        <v>117</v>
      </c>
      <c r="N5" s="85" t="s">
        <v>118</v>
      </c>
      <c r="O5" s="84" t="s">
        <v>119</v>
      </c>
      <c r="P5" s="84" t="s">
        <v>120</v>
      </c>
      <c r="Q5" s="84" t="s">
        <v>121</v>
      </c>
      <c r="R5" s="84" t="s">
        <v>122</v>
      </c>
      <c r="S5" s="84" t="s">
        <v>123</v>
      </c>
      <c r="T5" s="84" t="s">
        <v>450</v>
      </c>
      <c r="U5" s="84" t="s">
        <v>451</v>
      </c>
      <c r="V5" s="84" t="s">
        <v>452</v>
      </c>
    </row>
    <row r="6" spans="1:24" x14ac:dyDescent="0.25">
      <c r="A6" s="86" t="s">
        <v>289</v>
      </c>
      <c r="B6" s="64"/>
      <c r="C6" s="147">
        <f>SUM('Model (Matrix)'!C3:C5)+SUM('Model (Matrix)'!C12:C15)+SUM('Model (Matrix)'!C23)+SUM('Model (Matrix)'!C37:C41)+SUM('Model (Matrix)'!C53)</f>
        <v>109999.99999999999</v>
      </c>
      <c r="D6" s="103">
        <f>SUM('Model (Matrix)'!D3:D5)+SUM('Model (Matrix)'!D12:D15)+SUM('Model (Matrix)'!D23)+SUM('Model (Matrix)'!D37:D41)+SUM('Model (Matrix)'!D53)</f>
        <v>108865.32614090553</v>
      </c>
      <c r="E6" s="103">
        <f>SUM('Model (Matrix)'!E3:E5)+SUM('Model (Matrix)'!E12:E15)+SUM('Model (Matrix)'!E23)+SUM('Model (Matrix)'!E37:E41)+SUM('Model (Matrix)'!E53)</f>
        <v>107186.10488664967</v>
      </c>
      <c r="F6" s="103">
        <f>SUM('Model (Matrix)'!F3:F5)+SUM('Model (Matrix)'!F12:F15)+SUM('Model (Matrix)'!F23)+SUM('Model (Matrix)'!F37:F41)+SUM('Model (Matrix)'!F53)</f>
        <v>106114.85830737992</v>
      </c>
      <c r="G6" s="103">
        <f>SUM('Model (Matrix)'!G3:G5)+SUM('Model (Matrix)'!G12:G15)+SUM('Model (Matrix)'!G23)+SUM('Model (Matrix)'!G37:G41)+SUM('Model (Matrix)'!G53)</f>
        <v>105203.29231464741</v>
      </c>
      <c r="H6" s="212">
        <f>SUM('Model (Matrix)'!H3:H5)+SUM('Model (Matrix)'!H12:H15)+SUM('Model (Matrix)'!H23)+SUM('Model (Matrix)'!H37:H41)+SUM('Model (Matrix)'!H53)</f>
        <v>105015.8836517671</v>
      </c>
      <c r="I6" s="100">
        <f>SUM('Model (Matrix)'!I3:I5)+SUM('Model (Matrix)'!I12:I15)+SUM('Model (Matrix)'!I23)+SUM('Model (Matrix)'!I37:I41)+SUM('Model (Matrix)'!I53)</f>
        <v>105711.90963227142</v>
      </c>
      <c r="J6" s="212">
        <f>SUM('Model (Matrix)'!J3:J5)+SUM('Model (Matrix)'!J12:J15)+SUM('Model (Matrix)'!J23)+SUM('Model (Matrix)'!J37:J41)+SUM('Model (Matrix)'!J53)</f>
        <v>106911.14478485817</v>
      </c>
      <c r="K6" s="103">
        <f>SUM('Model (Matrix)'!K3:K5)+SUM('Model (Matrix)'!K12:K15)+SUM('Model (Matrix)'!K23)+SUM('Model (Matrix)'!K37:K41)+SUM('Model (Matrix)'!K53)</f>
        <v>108462.5282678751</v>
      </c>
      <c r="L6" s="148">
        <f>SUM('Model (Matrix)'!L3:L5)+SUM('Model (Matrix)'!L12:L15)+SUM('Model (Matrix)'!L23)+SUM('Model (Matrix)'!L37:L41)+SUM('Model (Matrix)'!L53)</f>
        <v>110269.80103891363</v>
      </c>
      <c r="M6" s="103">
        <f>SUM('Model (Matrix)'!M3:M5)+SUM('Model (Matrix)'!M12:M15)+SUM('Model (Matrix)'!M23)+SUM('Model (Matrix)'!M37:M41)+SUM('Model (Matrix)'!M53)</f>
        <v>112298.61596289788</v>
      </c>
      <c r="N6" s="149">
        <f>SUM('Model (Matrix)'!N3:N5)+SUM('Model (Matrix)'!N12:N15)+SUM('Model (Matrix)'!N23)+SUM('Model (Matrix)'!N37:N41)+SUM('Model (Matrix)'!N53)</f>
        <v>114454.84544801108</v>
      </c>
      <c r="O6" s="103">
        <f>SUM('Model (Matrix)'!O3:O5)+SUM('Model (Matrix)'!O12:O15)+SUM('Model (Matrix)'!O23)+SUM('Model (Matrix)'!O37:O41)+SUM('Model (Matrix)'!O53)</f>
        <v>116671.20755361098</v>
      </c>
      <c r="P6" s="103">
        <f>SUM('Model (Matrix)'!P3:P5)+SUM('Model (Matrix)'!P12:P15)+SUM('Model (Matrix)'!P23)+SUM('Model (Matrix)'!P37:P41)+SUM('Model (Matrix)'!P53)</f>
        <v>118904.38513401868</v>
      </c>
      <c r="Q6" s="103">
        <f>SUM('Model (Matrix)'!Q3:Q5)+SUM('Model (Matrix)'!Q12:Q15)+SUM('Model (Matrix)'!Q23)+SUM('Model (Matrix)'!Q37:Q41)+SUM('Model (Matrix)'!Q53)</f>
        <v>121126.62659154748</v>
      </c>
      <c r="R6" s="103">
        <f>SUM('Model (Matrix)'!R3:R5)+SUM('Model (Matrix)'!R12:R15)+SUM('Model (Matrix)'!R23)+SUM('Model (Matrix)'!R37:R41)+SUM('Model (Matrix)'!R53)</f>
        <v>123320.57981486984</v>
      </c>
      <c r="S6" s="103">
        <f>SUM('Model (Matrix)'!S3:S5)+SUM('Model (Matrix)'!S12:S15)+SUM('Model (Matrix)'!S23)+SUM('Model (Matrix)'!S37:S41)+SUM('Model (Matrix)'!S53)</f>
        <v>125475.82379050124</v>
      </c>
      <c r="T6" s="100">
        <f>SUM('Model (Matrix)'!T3:T5)+SUM('Model (Matrix)'!T12:T15)+SUM('Model (Matrix)'!T23)+SUM('Model (Matrix)'!T37:T41)+SUM('Model (Matrix)'!T53)</f>
        <v>127586.51482468413</v>
      </c>
      <c r="U6" s="100">
        <f>SUM('Model (Matrix)'!U3:U5)+SUM('Model (Matrix)'!U12:U15)+SUM('Model (Matrix)'!U23)+SUM('Model (Matrix)'!U37:U41)+SUM('Model (Matrix)'!U53)</f>
        <v>129649.79222226456</v>
      </c>
      <c r="V6" s="100">
        <f>SUM('Model (Matrix)'!V3:V5)+SUM('Model (Matrix)'!V12:V15)+SUM('Model (Matrix)'!V23)+SUM('Model (Matrix)'!V37:V41)+SUM('Model (Matrix)'!V53)</f>
        <v>131664.7066997932</v>
      </c>
      <c r="W6" s="116"/>
    </row>
    <row r="7" spans="1:24" s="88" customFormat="1" x14ac:dyDescent="0.25">
      <c r="A7" s="150" t="s">
        <v>290</v>
      </c>
      <c r="C7" s="147"/>
      <c r="D7" s="103"/>
      <c r="E7" s="103"/>
      <c r="F7" s="103"/>
      <c r="G7" s="103"/>
      <c r="H7" s="91"/>
      <c r="I7" s="91"/>
      <c r="J7" s="91"/>
      <c r="K7" s="103"/>
      <c r="L7" s="148"/>
      <c r="M7" s="103"/>
      <c r="N7" s="149"/>
      <c r="O7" s="103"/>
      <c r="P7" s="103"/>
      <c r="Q7" s="103"/>
      <c r="R7" s="103"/>
      <c r="S7" s="103"/>
      <c r="T7" s="91"/>
      <c r="U7" s="91"/>
      <c r="V7" s="91"/>
      <c r="W7" s="64"/>
    </row>
    <row r="8" spans="1:24" s="64" customFormat="1" x14ac:dyDescent="0.25">
      <c r="A8" s="86"/>
      <c r="B8" s="64" t="s">
        <v>313</v>
      </c>
      <c r="C8" s="90">
        <f>'Model (Matrix)'!C3</f>
        <v>37328.860303712914</v>
      </c>
      <c r="D8" s="91">
        <f>'Model (Matrix)'!D3</f>
        <v>35944.615059052026</v>
      </c>
      <c r="E8" s="91">
        <f>'Model (Matrix)'!E3</f>
        <v>34129.366234797264</v>
      </c>
      <c r="F8" s="91">
        <f>'Model (Matrix)'!F3</f>
        <v>31815.830071853721</v>
      </c>
      <c r="G8" s="91">
        <f>'Model (Matrix)'!G3</f>
        <v>29383.723194820872</v>
      </c>
      <c r="H8" s="91">
        <f>'Model (Matrix)'!H3</f>
        <v>27210.270931858315</v>
      </c>
      <c r="I8" s="91">
        <f>'Model (Matrix)'!I3</f>
        <v>25832.823639290815</v>
      </c>
      <c r="J8" s="91">
        <f>'Model (Matrix)'!J3</f>
        <v>24959.85252502521</v>
      </c>
      <c r="K8" s="91">
        <f>'Model (Matrix)'!K3</f>
        <v>24406.598276783407</v>
      </c>
      <c r="L8" s="140">
        <f>'Model (Matrix)'!L3</f>
        <v>24055.967816971341</v>
      </c>
      <c r="M8" s="91">
        <f>'Model (Matrix)'!M3</f>
        <v>23833.752226691249</v>
      </c>
      <c r="N8" s="92">
        <f>'Model (Matrix)'!N3</f>
        <v>23692.920855138429</v>
      </c>
      <c r="O8" s="91">
        <f>'Model (Matrix)'!O3</f>
        <v>23603.667553025603</v>
      </c>
      <c r="P8" s="91">
        <f>'Model (Matrix)'!P3</f>
        <v>23547.102372624337</v>
      </c>
      <c r="Q8" s="91">
        <f>'Model (Matrix)'!Q3</f>
        <v>23511.253619042272</v>
      </c>
      <c r="R8" s="91">
        <f>'Model (Matrix)'!R3</f>
        <v>23488.534109897766</v>
      </c>
      <c r="S8" s="91">
        <f>'Model (Matrix)'!S3</f>
        <v>23474.135391833948</v>
      </c>
      <c r="T8" s="91">
        <f>'Model (Matrix)'!T3</f>
        <v>23465.010059039007</v>
      </c>
      <c r="U8" s="91">
        <f>'Model (Matrix)'!U3</f>
        <v>23459.226787344309</v>
      </c>
      <c r="V8" s="91">
        <f>'Model (Matrix)'!V3</f>
        <v>23455.561580579113</v>
      </c>
    </row>
    <row r="9" spans="1:24" s="64" customFormat="1" x14ac:dyDescent="0.25">
      <c r="A9" s="86"/>
      <c r="B9" s="64" t="s">
        <v>314</v>
      </c>
      <c r="C9" s="90">
        <f>'Model (Matrix)'!C12</f>
        <v>24973.444837624658</v>
      </c>
      <c r="D9" s="91">
        <f>'Model (Matrix)'!D12</f>
        <v>20500.671401428113</v>
      </c>
      <c r="E9" s="91">
        <f>'Model (Matrix)'!E12</f>
        <v>17889.256500904772</v>
      </c>
      <c r="F9" s="91">
        <f>'Model (Matrix)'!F12</f>
        <v>15317.99220921191</v>
      </c>
      <c r="G9" s="91">
        <f>'Model (Matrix)'!G12</f>
        <v>13634.693039370628</v>
      </c>
      <c r="H9" s="91">
        <f>'Model (Matrix)'!H12</f>
        <v>12349.201182827517</v>
      </c>
      <c r="I9" s="91">
        <f>'Model (Matrix)'!I12</f>
        <v>11304.281357638176</v>
      </c>
      <c r="J9" s="91">
        <f>'Model (Matrix)'!J12</f>
        <v>10532.763265342432</v>
      </c>
      <c r="K9" s="91">
        <f>'Model (Matrix)'!K12</f>
        <v>9991.9255699909318</v>
      </c>
      <c r="L9" s="140">
        <f>'Model (Matrix)'!L12</f>
        <v>9624.5363786477628</v>
      </c>
      <c r="M9" s="91">
        <f>'Model (Matrix)'!M12</f>
        <v>9380.0088118015756</v>
      </c>
      <c r="N9" s="92">
        <f>'Model (Matrix)'!N12</f>
        <v>9219.487242575553</v>
      </c>
      <c r="O9" s="91">
        <f>'Model (Matrix)'!O12</f>
        <v>9115.1205816359579</v>
      </c>
      <c r="P9" s="91">
        <f>'Model (Matrix)'!P12</f>
        <v>9047.7265486116721</v>
      </c>
      <c r="Q9" s="91">
        <f>'Model (Matrix)'!Q12</f>
        <v>9004.4212301378338</v>
      </c>
      <c r="R9" s="91">
        <f>'Model (Matrix)'!R12</f>
        <v>8976.6942295346271</v>
      </c>
      <c r="S9" s="91">
        <f>'Model (Matrix)'!S12</f>
        <v>8958.9881827291028</v>
      </c>
      <c r="T9" s="91">
        <f>'Model (Matrix)'!T12</f>
        <v>8947.7032907069515</v>
      </c>
      <c r="U9" s="91">
        <f>'Model (Matrix)'!U12</f>
        <v>8940.5212298243914</v>
      </c>
      <c r="V9" s="91">
        <f>'Model (Matrix)'!V12</f>
        <v>8935.9552154930025</v>
      </c>
    </row>
    <row r="10" spans="1:24" s="64" customFormat="1" x14ac:dyDescent="0.25">
      <c r="A10" s="86"/>
      <c r="B10" s="64" t="s">
        <v>315</v>
      </c>
      <c r="C10" s="90">
        <f>'Model (Matrix)'!C37</f>
        <v>20197.694858662428</v>
      </c>
      <c r="D10" s="91">
        <f>'Model (Matrix)'!D37</f>
        <v>16460.764033938369</v>
      </c>
      <c r="E10" s="91">
        <f>'Model (Matrix)'!E37</f>
        <v>13459.558197925615</v>
      </c>
      <c r="F10" s="91">
        <f>'Model (Matrix)'!F37</f>
        <v>6296.2601741540175</v>
      </c>
      <c r="G10" s="91">
        <f>'Model (Matrix)'!G37</f>
        <v>5030.2015485239654</v>
      </c>
      <c r="H10" s="91">
        <f>'Model (Matrix)'!H37</f>
        <v>4437.7809743848038</v>
      </c>
      <c r="I10" s="91">
        <f>'Model (Matrix)'!I37</f>
        <v>4011.2223431467801</v>
      </c>
      <c r="J10" s="91">
        <f>'Model (Matrix)'!J37</f>
        <v>3668.2893297704491</v>
      </c>
      <c r="K10" s="91">
        <f>'Model (Matrix)'!K37</f>
        <v>3413.1518110233487</v>
      </c>
      <c r="L10" s="140">
        <f>'Model (Matrix)'!L37</f>
        <v>3233.2813473185138</v>
      </c>
      <c r="M10" s="91">
        <f>'Model (Matrix)'!M37</f>
        <v>3110.6431882597944</v>
      </c>
      <c r="N10" s="92">
        <f>'Model (Matrix)'!N37</f>
        <v>3028.8158355082246</v>
      </c>
      <c r="O10" s="91">
        <f>'Model (Matrix)'!O37</f>
        <v>2975.0085736432011</v>
      </c>
      <c r="P10" s="91">
        <f>'Model (Matrix)'!P37</f>
        <v>2939.982781240064</v>
      </c>
      <c r="Q10" s="91">
        <f>'Model (Matrix)'!Q37</f>
        <v>2917.3457782369592</v>
      </c>
      <c r="R10" s="91">
        <f>'Model (Matrix)'!R37</f>
        <v>2902.7909282238247</v>
      </c>
      <c r="S10" s="91">
        <f>'Model (Matrix)'!S37</f>
        <v>2893.4677067220587</v>
      </c>
      <c r="T10" s="91">
        <f>'Model (Matrix)'!T37</f>
        <v>2887.5120544614201</v>
      </c>
      <c r="U10" s="91">
        <f>'Model (Matrix)'!U37</f>
        <v>2883.7153044945262</v>
      </c>
      <c r="V10" s="91">
        <f>'Model (Matrix)'!V37</f>
        <v>2881.2984922299543</v>
      </c>
    </row>
    <row r="11" spans="1:24" s="116" customFormat="1" x14ac:dyDescent="0.25">
      <c r="A11" s="151"/>
      <c r="B11" s="152" t="s">
        <v>22</v>
      </c>
      <c r="C11" s="99">
        <f>SUM(C8:C10)</f>
        <v>82500</v>
      </c>
      <c r="D11" s="100">
        <f t="shared" ref="D11:V11" si="0">SUM(D8:D10)</f>
        <v>72906.050494418509</v>
      </c>
      <c r="E11" s="100">
        <f t="shared" si="0"/>
        <v>65478.180933627656</v>
      </c>
      <c r="F11" s="100">
        <f t="shared" si="0"/>
        <v>53430.08245521965</v>
      </c>
      <c r="G11" s="100">
        <f t="shared" si="0"/>
        <v>48048.617782715468</v>
      </c>
      <c r="H11" s="100">
        <f t="shared" si="0"/>
        <v>43997.25308907064</v>
      </c>
      <c r="I11" s="100">
        <f t="shared" si="0"/>
        <v>41148.327340075768</v>
      </c>
      <c r="J11" s="100">
        <f t="shared" si="0"/>
        <v>39160.905120138093</v>
      </c>
      <c r="K11" s="100">
        <f t="shared" si="0"/>
        <v>37811.675657797692</v>
      </c>
      <c r="L11" s="142">
        <f t="shared" si="0"/>
        <v>36913.785542937621</v>
      </c>
      <c r="M11" s="100">
        <f t="shared" si="0"/>
        <v>36324.404226752624</v>
      </c>
      <c r="N11" s="101">
        <f t="shared" si="0"/>
        <v>35941.223933222209</v>
      </c>
      <c r="O11" s="100">
        <f t="shared" si="0"/>
        <v>35693.796708304762</v>
      </c>
      <c r="P11" s="100">
        <f t="shared" si="0"/>
        <v>35534.811702476072</v>
      </c>
      <c r="Q11" s="100">
        <f t="shared" si="0"/>
        <v>35433.020627417063</v>
      </c>
      <c r="R11" s="100">
        <f t="shared" si="0"/>
        <v>35368.019267656215</v>
      </c>
      <c r="S11" s="100">
        <f t="shared" si="0"/>
        <v>35326.591281285109</v>
      </c>
      <c r="T11" s="100">
        <f t="shared" si="0"/>
        <v>35300.225404207376</v>
      </c>
      <c r="U11" s="100">
        <f t="shared" si="0"/>
        <v>35283.463321663221</v>
      </c>
      <c r="V11" s="100">
        <f t="shared" si="0"/>
        <v>35272.815288302067</v>
      </c>
    </row>
    <row r="12" spans="1:24" s="88" customFormat="1" x14ac:dyDescent="0.25">
      <c r="A12" s="150" t="s">
        <v>291</v>
      </c>
      <c r="C12" s="147"/>
      <c r="D12" s="103"/>
      <c r="E12" s="103"/>
      <c r="F12" s="103"/>
      <c r="G12" s="103"/>
      <c r="H12" s="91"/>
      <c r="I12" s="91"/>
      <c r="J12" s="91"/>
      <c r="K12" s="103"/>
      <c r="L12" s="148"/>
      <c r="M12" s="103"/>
      <c r="N12" s="149"/>
      <c r="O12" s="103"/>
      <c r="P12" s="103"/>
      <c r="Q12" s="103"/>
      <c r="R12" s="103"/>
      <c r="S12" s="103"/>
      <c r="T12" s="91"/>
      <c r="U12" s="91"/>
      <c r="V12" s="91"/>
      <c r="W12" s="64"/>
      <c r="X12" s="64"/>
    </row>
    <row r="13" spans="1:24" s="64" customFormat="1" x14ac:dyDescent="0.25">
      <c r="A13" s="86"/>
      <c r="B13" s="64" t="s">
        <v>313</v>
      </c>
      <c r="C13" s="90">
        <f>'Model (Matrix)'!C4</f>
        <v>8625.5137507233158</v>
      </c>
      <c r="D13" s="91">
        <f>'Model (Matrix)'!D4</f>
        <v>5881.1995157454357</v>
      </c>
      <c r="E13" s="91">
        <f>'Model (Matrix)'!E4</f>
        <v>4600.8538746215972</v>
      </c>
      <c r="F13" s="91">
        <f>'Model (Matrix)'!F4</f>
        <v>4542.3349259900533</v>
      </c>
      <c r="G13" s="91">
        <f>'Model (Matrix)'!G4</f>
        <v>4345.4301923503408</v>
      </c>
      <c r="H13" s="91">
        <f>'Model (Matrix)'!H4</f>
        <v>4079.1154033174198</v>
      </c>
      <c r="I13" s="91">
        <f>'Model (Matrix)'!I4</f>
        <v>3801.5367190100169</v>
      </c>
      <c r="J13" s="91">
        <f>'Model (Matrix)'!J4</f>
        <v>3577.9490597166409</v>
      </c>
      <c r="K13" s="91">
        <f>'Model (Matrix)'!K4</f>
        <v>3415.3621920854525</v>
      </c>
      <c r="L13" s="140">
        <f>'Model (Matrix)'!L4</f>
        <v>3303.1701285426857</v>
      </c>
      <c r="M13" s="91">
        <f>'Model (Matrix)'!M4</f>
        <v>3228.0578445187489</v>
      </c>
      <c r="N13" s="92">
        <f>'Model (Matrix)'!N4</f>
        <v>3178.6979779008602</v>
      </c>
      <c r="O13" s="91">
        <f>'Model (Matrix)'!O4</f>
        <v>3146.6459816621505</v>
      </c>
      <c r="P13" s="91">
        <f>'Model (Matrix)'!P4</f>
        <v>3125.9954756615184</v>
      </c>
      <c r="Q13" s="91">
        <f>'Model (Matrix)'!Q4</f>
        <v>3112.7602546643961</v>
      </c>
      <c r="R13" s="91">
        <f>'Model (Matrix)'!R4</f>
        <v>3104.3075624579274</v>
      </c>
      <c r="S13" s="91">
        <f>'Model (Matrix)'!S4</f>
        <v>3098.9222193667124</v>
      </c>
      <c r="T13" s="91">
        <f>'Model (Matrix)'!T4</f>
        <v>3095.4967763517011</v>
      </c>
      <c r="U13" s="91">
        <f>'Model (Matrix)'!U4</f>
        <v>3093.3204222811123</v>
      </c>
      <c r="V13" s="91">
        <f>'Model (Matrix)'!V4</f>
        <v>3091.9387502525738</v>
      </c>
    </row>
    <row r="14" spans="1:24" s="64" customFormat="1" x14ac:dyDescent="0.25">
      <c r="A14" s="86"/>
      <c r="B14" s="64" t="s">
        <v>314</v>
      </c>
      <c r="C14" s="90">
        <f>'Model (Matrix)'!C13</f>
        <v>6397.3001938886364</v>
      </c>
      <c r="D14" s="91">
        <f>'Model (Matrix)'!D13</f>
        <v>7454.2224814028086</v>
      </c>
      <c r="E14" s="91">
        <f>'Model (Matrix)'!E13</f>
        <v>6781.0646191510732</v>
      </c>
      <c r="F14" s="91">
        <f>'Model (Matrix)'!F13</f>
        <v>7069.6106080620812</v>
      </c>
      <c r="G14" s="91">
        <f>'Model (Matrix)'!G13</f>
        <v>6711.8767136755605</v>
      </c>
      <c r="H14" s="91">
        <f>'Model (Matrix)'!H13</f>
        <v>6228.3296322877231</v>
      </c>
      <c r="I14" s="91">
        <f>'Model (Matrix)'!I13</f>
        <v>5754.8551474772676</v>
      </c>
      <c r="J14" s="91">
        <f>'Model (Matrix)'!J13</f>
        <v>5364.5580200390004</v>
      </c>
      <c r="K14" s="91">
        <f>'Model (Matrix)'!K13</f>
        <v>5072.1704862731012</v>
      </c>
      <c r="L14" s="140">
        <f>'Model (Matrix)'!L13</f>
        <v>4865.2353821274946</v>
      </c>
      <c r="M14" s="91">
        <f>'Model (Matrix)'!M13</f>
        <v>4723.9026595016039</v>
      </c>
      <c r="N14" s="92">
        <f>'Model (Matrix)'!N13</f>
        <v>4629.5861833289246</v>
      </c>
      <c r="O14" s="91">
        <f>'Model (Matrix)'!O13</f>
        <v>4567.6133626098117</v>
      </c>
      <c r="P14" s="91">
        <f>'Model (Matrix)'!P13</f>
        <v>4527.3212827836942</v>
      </c>
      <c r="Q14" s="91">
        <f>'Model (Matrix)'!Q13</f>
        <v>4501.3165736315395</v>
      </c>
      <c r="R14" s="91">
        <f>'Model (Matrix)'!R13</f>
        <v>4484.6191747799548</v>
      </c>
      <c r="S14" s="91">
        <f>'Model (Matrix)'!S13</f>
        <v>4473.9369291513131</v>
      </c>
      <c r="T14" s="91">
        <f>'Model (Matrix)'!T13</f>
        <v>4467.1206551931464</v>
      </c>
      <c r="U14" s="91">
        <f>'Model (Matrix)'!U13</f>
        <v>4462.7793402722427</v>
      </c>
      <c r="V14" s="91">
        <f>'Model (Matrix)'!V13</f>
        <v>4460.0180536091157</v>
      </c>
    </row>
    <row r="15" spans="1:24" s="64" customFormat="1" x14ac:dyDescent="0.25">
      <c r="A15" s="86"/>
      <c r="B15" s="64" t="s">
        <v>315</v>
      </c>
      <c r="C15" s="90">
        <f>'Model (Matrix)'!C38</f>
        <v>3982.8067030577031</v>
      </c>
      <c r="D15" s="91">
        <f>'Model (Matrix)'!D38</f>
        <v>6470.8714325568144</v>
      </c>
      <c r="E15" s="91">
        <f>'Model (Matrix)'!E38</f>
        <v>8074.2508051884597</v>
      </c>
      <c r="F15" s="91">
        <f>'Model (Matrix)'!F38</f>
        <v>11500.958679440218</v>
      </c>
      <c r="G15" s="91">
        <f>'Model (Matrix)'!G38</f>
        <v>8143.6687733220115</v>
      </c>
      <c r="H15" s="91">
        <f>'Model (Matrix)'!H38</f>
        <v>6720.1990820195369</v>
      </c>
      <c r="I15" s="91">
        <f>'Model (Matrix)'!I38</f>
        <v>5995.2728793697515</v>
      </c>
      <c r="J15" s="91">
        <f>'Model (Matrix)'!J38</f>
        <v>5460.867196625888</v>
      </c>
      <c r="K15" s="91">
        <f>'Model (Matrix)'!K38</f>
        <v>5041.0605094016919</v>
      </c>
      <c r="L15" s="140">
        <f>'Model (Matrix)'!L38</f>
        <v>4728.6648196601827</v>
      </c>
      <c r="M15" s="91">
        <f>'Model (Matrix)'!M38</f>
        <v>4507.5353229543462</v>
      </c>
      <c r="N15" s="92">
        <f>'Model (Matrix)'!N38</f>
        <v>4356.281069896404</v>
      </c>
      <c r="O15" s="91">
        <f>'Model (Matrix)'!O38</f>
        <v>4255.1587549579945</v>
      </c>
      <c r="P15" s="91">
        <f>'Model (Matrix)'!P38</f>
        <v>4188.590402197211</v>
      </c>
      <c r="Q15" s="91">
        <f>'Model (Matrix)'!Q38</f>
        <v>4145.2346955915073</v>
      </c>
      <c r="R15" s="91">
        <f>'Model (Matrix)'!R38</f>
        <v>4117.2086769590796</v>
      </c>
      <c r="S15" s="91">
        <f>'Model (Matrix)'!S38</f>
        <v>4099.1888068701674</v>
      </c>
      <c r="T15" s="91">
        <f>'Model (Matrix)'!T38</f>
        <v>4087.6471394192909</v>
      </c>
      <c r="U15" s="91">
        <f>'Model (Matrix)'!U38</f>
        <v>4080.2753717471564</v>
      </c>
      <c r="V15" s="91">
        <f>'Model (Matrix)'!V38</f>
        <v>4075.5765499454214</v>
      </c>
    </row>
    <row r="16" spans="1:24" s="116" customFormat="1" x14ac:dyDescent="0.25">
      <c r="A16" s="151"/>
      <c r="B16" s="152" t="s">
        <v>22</v>
      </c>
      <c r="C16" s="99">
        <f>SUM(C13:C15)</f>
        <v>19005.620647669657</v>
      </c>
      <c r="D16" s="100">
        <f t="shared" ref="D16:V16" si="1">SUM(D13:D15)</f>
        <v>19806.29342970506</v>
      </c>
      <c r="E16" s="100">
        <f t="shared" si="1"/>
        <v>19456.169298961133</v>
      </c>
      <c r="F16" s="100">
        <f t="shared" si="1"/>
        <v>23112.904213492351</v>
      </c>
      <c r="G16" s="100">
        <f t="shared" si="1"/>
        <v>19200.97567934791</v>
      </c>
      <c r="H16" s="100">
        <f t="shared" si="1"/>
        <v>17027.644117624681</v>
      </c>
      <c r="I16" s="100">
        <f t="shared" si="1"/>
        <v>15551.664745857035</v>
      </c>
      <c r="J16" s="100">
        <f t="shared" si="1"/>
        <v>14403.37427638153</v>
      </c>
      <c r="K16" s="100">
        <f t="shared" si="1"/>
        <v>13528.593187760245</v>
      </c>
      <c r="L16" s="142">
        <f>SUM(L13:L15)</f>
        <v>12897.070330330364</v>
      </c>
      <c r="M16" s="100">
        <f t="shared" si="1"/>
        <v>12459.4958269747</v>
      </c>
      <c r="N16" s="101">
        <f t="shared" si="1"/>
        <v>12164.565231126189</v>
      </c>
      <c r="O16" s="100">
        <f>SUM(O13:O15)</f>
        <v>11969.418099229957</v>
      </c>
      <c r="P16" s="100">
        <f t="shared" si="1"/>
        <v>11841.907160642424</v>
      </c>
      <c r="Q16" s="100">
        <f t="shared" si="1"/>
        <v>11759.311523887443</v>
      </c>
      <c r="R16" s="100">
        <f t="shared" si="1"/>
        <v>11706.13541419696</v>
      </c>
      <c r="S16" s="100">
        <f t="shared" si="1"/>
        <v>11672.047955388192</v>
      </c>
      <c r="T16" s="100">
        <f t="shared" si="1"/>
        <v>11650.264570964138</v>
      </c>
      <c r="U16" s="100">
        <f t="shared" si="1"/>
        <v>11636.375134300511</v>
      </c>
      <c r="V16" s="100">
        <f t="shared" si="1"/>
        <v>11627.53335380711</v>
      </c>
    </row>
    <row r="17" spans="1:24" s="88" customFormat="1" x14ac:dyDescent="0.25">
      <c r="A17" s="150" t="s">
        <v>25</v>
      </c>
      <c r="C17" s="147"/>
      <c r="D17" s="103"/>
      <c r="E17" s="103"/>
      <c r="F17" s="103"/>
      <c r="G17" s="103"/>
      <c r="H17" s="91"/>
      <c r="I17" s="124"/>
      <c r="J17" s="124"/>
      <c r="K17" s="124"/>
      <c r="L17" s="208"/>
      <c r="M17" s="124"/>
      <c r="N17" s="124"/>
      <c r="O17" s="124"/>
      <c r="P17" s="124"/>
      <c r="Q17" s="124"/>
      <c r="R17" s="124"/>
      <c r="S17" s="124"/>
      <c r="T17" s="124"/>
      <c r="U17" s="124"/>
      <c r="V17" s="124"/>
      <c r="W17" s="64"/>
      <c r="X17" s="64"/>
    </row>
    <row r="18" spans="1:24" s="64" customFormat="1" x14ac:dyDescent="0.25">
      <c r="A18" s="86"/>
      <c r="B18" s="64" t="s">
        <v>292</v>
      </c>
      <c r="C18" s="90"/>
      <c r="D18" s="91"/>
      <c r="E18" s="91"/>
      <c r="F18" s="91"/>
      <c r="G18" s="91"/>
      <c r="H18" s="91"/>
      <c r="I18" s="91"/>
      <c r="J18" s="91"/>
      <c r="K18" s="91"/>
      <c r="L18" s="140"/>
      <c r="M18" s="91"/>
      <c r="N18" s="91"/>
      <c r="O18" s="91"/>
      <c r="P18" s="91"/>
      <c r="Q18" s="91"/>
      <c r="R18" s="91"/>
      <c r="S18" s="91"/>
      <c r="T18" s="91"/>
      <c r="U18" s="91"/>
      <c r="V18" s="91"/>
    </row>
    <row r="19" spans="1:24" s="64" customFormat="1" x14ac:dyDescent="0.25">
      <c r="A19" s="86"/>
      <c r="B19" s="64" t="s">
        <v>141</v>
      </c>
      <c r="C19" s="90">
        <f>'Model (Matrix)'!C14</f>
        <v>499.08600271353481</v>
      </c>
      <c r="D19" s="91">
        <f>'Model (Matrix)'!D14</f>
        <v>2299.209312918696</v>
      </c>
      <c r="E19" s="91">
        <f>'Model (Matrix)'!E14</f>
        <v>4404.6622598193244</v>
      </c>
      <c r="F19" s="91">
        <f>'Model (Matrix)'!F14</f>
        <v>6462.034616319138</v>
      </c>
      <c r="G19" s="91">
        <f>'Model (Matrix)'!G14</f>
        <v>8503.4940796788851</v>
      </c>
      <c r="H19" s="91">
        <f>'Model (Matrix)'!H14</f>
        <v>10428.014914081961</v>
      </c>
      <c r="I19" s="91">
        <f>'Model (Matrix)'!I14</f>
        <v>12198.303815214917</v>
      </c>
      <c r="J19" s="91">
        <f>'Model (Matrix)'!J14</f>
        <v>13805.453763251337</v>
      </c>
      <c r="K19" s="91">
        <f>'Model (Matrix)'!K14</f>
        <v>15259.913839575045</v>
      </c>
      <c r="L19" s="140">
        <f>'Model (Matrix)'!L14</f>
        <v>16693.22384370803</v>
      </c>
      <c r="M19" s="91">
        <f>'Model (Matrix)'!M14</f>
        <v>17978.535183536034</v>
      </c>
      <c r="N19" s="92">
        <f>'Model (Matrix)'!N14</f>
        <v>19154.897929417904</v>
      </c>
      <c r="O19" s="91">
        <f>'Model (Matrix)'!O14</f>
        <v>20248.503491143525</v>
      </c>
      <c r="P19" s="91">
        <f>'Model (Matrix)'!P14</f>
        <v>21277.810051605207</v>
      </c>
      <c r="Q19" s="91">
        <f>'Model (Matrix)'!Q14</f>
        <v>22256.105346976685</v>
      </c>
      <c r="R19" s="91">
        <f>'Model (Matrix)'!R14</f>
        <v>23193.020617802158</v>
      </c>
      <c r="S19" s="91">
        <f>'Model (Matrix)'!S14</f>
        <v>24095.545925151961</v>
      </c>
      <c r="T19" s="91">
        <f>'Model (Matrix)'!T14</f>
        <v>24968.75783658406</v>
      </c>
      <c r="U19" s="91">
        <f>'Model (Matrix)'!U14</f>
        <v>25816.353126912694</v>
      </c>
      <c r="V19" s="91">
        <f>'Model (Matrix)'!V14</f>
        <v>26641.040648236034</v>
      </c>
    </row>
    <row r="20" spans="1:24" s="64" customFormat="1" x14ac:dyDescent="0.25">
      <c r="A20" s="86"/>
      <c r="B20" s="64" t="s">
        <v>142</v>
      </c>
      <c r="C20" s="90">
        <f>'Model (Matrix)'!C15</f>
        <v>0</v>
      </c>
      <c r="D20" s="91">
        <f>'Model (Matrix)'!D15</f>
        <v>220.67967048466105</v>
      </c>
      <c r="E20" s="91">
        <f>'Model (Matrix)'!E15</f>
        <v>624.87739869154927</v>
      </c>
      <c r="F20" s="91">
        <f>'Model (Matrix)'!F15</f>
        <v>1189.5791726580392</v>
      </c>
      <c r="G20" s="91">
        <f>'Model (Matrix)'!G15</f>
        <v>1815.3855211759815</v>
      </c>
      <c r="H20" s="91">
        <f>'Model (Matrix)'!H15</f>
        <v>2473.31800983426</v>
      </c>
      <c r="I20" s="91">
        <f>'Model (Matrix)'!I15</f>
        <v>3134.9878761241002</v>
      </c>
      <c r="J20" s="91">
        <f>'Model (Matrix)'!J15</f>
        <v>3784.3807057842255</v>
      </c>
      <c r="K20" s="91">
        <f>'Model (Matrix)'!K15</f>
        <v>4413.744242277352</v>
      </c>
      <c r="L20" s="140">
        <f>'Model (Matrix)'!L15</f>
        <v>5095.7766578989058</v>
      </c>
      <c r="M20" s="91">
        <f>'Model (Matrix)'!M15</f>
        <v>5728.3090411959256</v>
      </c>
      <c r="N20" s="92">
        <f>'Model (Matrix)'!N15</f>
        <v>6330.9042602031959</v>
      </c>
      <c r="O20" s="91">
        <f>'Model (Matrix)'!O15</f>
        <v>6914.3487287038952</v>
      </c>
      <c r="P20" s="91">
        <f>'Model (Matrix)'!P15</f>
        <v>7485.3393941523027</v>
      </c>
      <c r="Q20" s="91">
        <f>'Model (Matrix)'!Q15</f>
        <v>8048.3559855658568</v>
      </c>
      <c r="R20" s="91">
        <f>'Model (Matrix)'!R15</f>
        <v>8606.4924485245883</v>
      </c>
      <c r="S20" s="91">
        <f>'Model (Matrix)'!S15</f>
        <v>9161.8923015208329</v>
      </c>
      <c r="T20" s="91">
        <f>'Model (Matrix)'!T15</f>
        <v>9716.0185529755181</v>
      </c>
      <c r="U20" s="91">
        <f>'Model (Matrix)'!U15</f>
        <v>10269.841223839054</v>
      </c>
      <c r="V20" s="91">
        <f>'Model (Matrix)'!V15</f>
        <v>10823.974530334603</v>
      </c>
    </row>
    <row r="21" spans="1:24" s="64" customFormat="1" x14ac:dyDescent="0.25">
      <c r="A21" s="86"/>
      <c r="B21" s="63" t="s">
        <v>293</v>
      </c>
      <c r="C21" s="90">
        <f>SUM(C19:C20)</f>
        <v>499.08600271353481</v>
      </c>
      <c r="D21" s="91">
        <f t="shared" ref="D21:V21" si="2">SUM(D19:D20)</f>
        <v>2519.8889834033571</v>
      </c>
      <c r="E21" s="91">
        <f t="shared" si="2"/>
        <v>5029.5396585108738</v>
      </c>
      <c r="F21" s="91">
        <f t="shared" si="2"/>
        <v>7651.6137889771771</v>
      </c>
      <c r="G21" s="91">
        <f t="shared" si="2"/>
        <v>10318.879600854867</v>
      </c>
      <c r="H21" s="91">
        <f t="shared" si="2"/>
        <v>12901.332923916221</v>
      </c>
      <c r="I21" s="91">
        <f t="shared" si="2"/>
        <v>15333.291691339016</v>
      </c>
      <c r="J21" s="91">
        <f t="shared" si="2"/>
        <v>17589.834469035563</v>
      </c>
      <c r="K21" s="91">
        <f t="shared" si="2"/>
        <v>19673.658081852398</v>
      </c>
      <c r="L21" s="140">
        <f t="shared" si="2"/>
        <v>21789.000501606937</v>
      </c>
      <c r="M21" s="91">
        <f t="shared" si="2"/>
        <v>23706.844224731962</v>
      </c>
      <c r="N21" s="92">
        <f t="shared" si="2"/>
        <v>25485.802189621099</v>
      </c>
      <c r="O21" s="91">
        <f t="shared" si="2"/>
        <v>27162.85221984742</v>
      </c>
      <c r="P21" s="91">
        <f t="shared" si="2"/>
        <v>28763.14944575751</v>
      </c>
      <c r="Q21" s="91">
        <f t="shared" si="2"/>
        <v>30304.461332542542</v>
      </c>
      <c r="R21" s="91">
        <f t="shared" si="2"/>
        <v>31799.513066326748</v>
      </c>
      <c r="S21" s="91">
        <f t="shared" si="2"/>
        <v>33257.438226672792</v>
      </c>
      <c r="T21" s="91">
        <f t="shared" si="2"/>
        <v>34684.776389559578</v>
      </c>
      <c r="U21" s="91">
        <f t="shared" si="2"/>
        <v>36086.19435075175</v>
      </c>
      <c r="V21" s="91">
        <f t="shared" si="2"/>
        <v>37465.01517857064</v>
      </c>
    </row>
    <row r="22" spans="1:24" s="64" customFormat="1" x14ac:dyDescent="0.25">
      <c r="A22" s="86"/>
      <c r="B22" s="64" t="s">
        <v>294</v>
      </c>
      <c r="C22" s="90"/>
      <c r="D22" s="91"/>
      <c r="E22" s="91"/>
      <c r="F22" s="91"/>
      <c r="G22" s="91"/>
      <c r="H22" s="209"/>
      <c r="I22" s="91"/>
      <c r="J22" s="91"/>
      <c r="K22" s="91"/>
      <c r="L22" s="140"/>
      <c r="M22" s="91"/>
      <c r="N22" s="92"/>
      <c r="O22" s="91"/>
      <c r="P22" s="91"/>
      <c r="Q22" s="91"/>
      <c r="R22" s="91"/>
      <c r="S22" s="91"/>
      <c r="T22" s="91"/>
      <c r="U22" s="91"/>
      <c r="V22" s="91"/>
    </row>
    <row r="23" spans="1:24" s="64" customFormat="1" x14ac:dyDescent="0.25">
      <c r="A23" s="86"/>
      <c r="B23" s="64" t="s">
        <v>141</v>
      </c>
      <c r="C23" s="90">
        <f>'Model (Matrix)'!C39+'Model (Matrix)'!C40</f>
        <v>2500.913997286465</v>
      </c>
      <c r="D23" s="91">
        <f>'Model (Matrix)'!D39+'Model (Matrix)'!D40</f>
        <v>5141.8936601885207</v>
      </c>
      <c r="E23" s="91">
        <f>'Model (Matrix)'!E39+'Model (Matrix)'!E40</f>
        <v>6935.1194489196296</v>
      </c>
      <c r="F23" s="91">
        <f>'Model (Matrix)'!F39+'Model (Matrix)'!F40</f>
        <v>10818.035726907423</v>
      </c>
      <c r="G23" s="91">
        <f>'Model (Matrix)'!G39+'Model (Matrix)'!G40</f>
        <v>15677.21264148101</v>
      </c>
      <c r="H23" s="91">
        <f>'Model (Matrix)'!H39+'Model (Matrix)'!H40</f>
        <v>18724.737808001493</v>
      </c>
      <c r="I23" s="91">
        <f>'Model (Matrix)'!I39+'Model (Matrix)'!I40</f>
        <v>21034.241804307843</v>
      </c>
      <c r="J23" s="91">
        <f>'Model (Matrix)'!J39+'Model (Matrix)'!J40</f>
        <v>22877.723147971174</v>
      </c>
      <c r="K23" s="91">
        <f>'Model (Matrix)'!K39+'Model (Matrix)'!K40</f>
        <v>24348.370277741702</v>
      </c>
      <c r="L23" s="140">
        <f>'Model (Matrix)'!L39+'Model (Matrix)'!L40</f>
        <v>25588.150122153391</v>
      </c>
      <c r="M23" s="91">
        <f>'Model (Matrix)'!M39+'Model (Matrix)'!M40</f>
        <v>26559.408207848319</v>
      </c>
      <c r="N23" s="92">
        <f>'Model (Matrix)'!N39+'Model (Matrix)'!N40</f>
        <v>27355.591460875974</v>
      </c>
      <c r="O23" s="91">
        <f>'Model (Matrix)'!O39+'Model (Matrix)'!O40</f>
        <v>28026.065134706594</v>
      </c>
      <c r="P23" s="91">
        <f>'Model (Matrix)'!P39+'Model (Matrix)'!P40</f>
        <v>28605.246437033071</v>
      </c>
      <c r="Q23" s="91">
        <f>'Model (Matrix)'!Q39+'Model (Matrix)'!Q40</f>
        <v>29116.712465839835</v>
      </c>
      <c r="R23" s="91">
        <f>'Model (Matrix)'!R39+'Model (Matrix)'!R40</f>
        <v>29576.601741357375</v>
      </c>
      <c r="S23" s="91">
        <f>'Model (Matrix)'!S39+'Model (Matrix)'!S40</f>
        <v>29995.993313303654</v>
      </c>
      <c r="T23" s="91">
        <f>'Model (Matrix)'!T39+'Model (Matrix)'!T40</f>
        <v>30382.55537264852</v>
      </c>
      <c r="U23" s="91">
        <f>'Model (Matrix)'!U39+'Model (Matrix)'!U40</f>
        <v>30741.670432426828</v>
      </c>
      <c r="V23" s="91">
        <f>'Model (Matrix)'!V39+'Model (Matrix)'!V40</f>
        <v>31077.193834160735</v>
      </c>
    </row>
    <row r="24" spans="1:24" s="64" customFormat="1" x14ac:dyDescent="0.25">
      <c r="A24" s="86"/>
      <c r="B24" s="64" t="s">
        <v>142</v>
      </c>
      <c r="C24" s="90">
        <f>'Model (Matrix)'!C41</f>
        <v>0</v>
      </c>
      <c r="D24" s="91">
        <f>'Model (Matrix)'!D41</f>
        <v>47.753212063060936</v>
      </c>
      <c r="E24" s="91">
        <f>'Model (Matrix)'!E41</f>
        <v>241.06460795415808</v>
      </c>
      <c r="F24" s="91">
        <f>'Model (Matrix)'!F41</f>
        <v>591.92359014245073</v>
      </c>
      <c r="G24" s="91">
        <f>'Model (Matrix)'!G41</f>
        <v>1042.7108028531088</v>
      </c>
      <c r="H24" s="91">
        <f>'Model (Matrix)'!H41</f>
        <v>1635.0712853489019</v>
      </c>
      <c r="I24" s="91">
        <f>'Model (Matrix)'!I41</f>
        <v>2297.6131278102375</v>
      </c>
      <c r="J24" s="91">
        <f>'Model (Matrix)'!J41</f>
        <v>2960.9625607337607</v>
      </c>
      <c r="K24" s="91">
        <f>'Model (Matrix)'!K41</f>
        <v>3602.555628728695</v>
      </c>
      <c r="L24" s="140">
        <f>'Model (Matrix)'!L41</f>
        <v>4296.9157271310669</v>
      </c>
      <c r="M24" s="91">
        <f>'Model (Matrix)'!M41</f>
        <v>4905.0060658206894</v>
      </c>
      <c r="N24" s="92">
        <f>'Model (Matrix)'!N41</f>
        <v>5455.2154841913471</v>
      </c>
      <c r="O24" s="91">
        <f>'Model (Matrix)'!O41</f>
        <v>5956.972162404224</v>
      </c>
      <c r="P24" s="91">
        <f>'Model (Matrix)'!P41</f>
        <v>6416.4857821819996</v>
      </c>
      <c r="Q24" s="91">
        <f>'Model (Matrix)'!Q41</f>
        <v>6838.5292781595899</v>
      </c>
      <c r="R24" s="91">
        <f>'Model (Matrix)'!R41</f>
        <v>7227.1230228576624</v>
      </c>
      <c r="S24" s="91">
        <f>'Model (Matrix)'!S41</f>
        <v>7585.7569072442584</v>
      </c>
      <c r="T24" s="91">
        <f>'Model (Matrix)'!T41</f>
        <v>7917.4799688708963</v>
      </c>
      <c r="U24" s="91">
        <f>'Model (Matrix)'!U41</f>
        <v>8224.9569236597381</v>
      </c>
      <c r="V24" s="91">
        <f>'Model (Matrix)'!V41</f>
        <v>8510.5175128929332</v>
      </c>
    </row>
    <row r="25" spans="1:24" s="64" customFormat="1" x14ac:dyDescent="0.25">
      <c r="A25" s="86"/>
      <c r="B25" s="64" t="s">
        <v>293</v>
      </c>
      <c r="C25" s="90">
        <f>SUM(C23:C24)</f>
        <v>2500.913997286465</v>
      </c>
      <c r="D25" s="91">
        <f t="shared" ref="D25:V25" si="3">SUM(D23:D24)</f>
        <v>5189.646872251582</v>
      </c>
      <c r="E25" s="91">
        <f t="shared" si="3"/>
        <v>7176.184056873788</v>
      </c>
      <c r="F25" s="91">
        <f t="shared" si="3"/>
        <v>11409.959317049874</v>
      </c>
      <c r="G25" s="91">
        <f t="shared" si="3"/>
        <v>16719.923444334119</v>
      </c>
      <c r="H25" s="91">
        <f t="shared" si="3"/>
        <v>20359.809093350395</v>
      </c>
      <c r="I25" s="91">
        <f t="shared" si="3"/>
        <v>23331.85493211808</v>
      </c>
      <c r="J25" s="91">
        <f t="shared" si="3"/>
        <v>25838.685708704936</v>
      </c>
      <c r="K25" s="91">
        <f t="shared" si="3"/>
        <v>27950.925906470398</v>
      </c>
      <c r="L25" s="140">
        <f t="shared" si="3"/>
        <v>29885.06584928446</v>
      </c>
      <c r="M25" s="91">
        <f t="shared" si="3"/>
        <v>31464.414273669008</v>
      </c>
      <c r="N25" s="92">
        <f t="shared" si="3"/>
        <v>32810.806945067321</v>
      </c>
      <c r="O25" s="91">
        <f t="shared" si="3"/>
        <v>33983.037297110815</v>
      </c>
      <c r="P25" s="91">
        <f t="shared" si="3"/>
        <v>35021.732219215068</v>
      </c>
      <c r="Q25" s="91">
        <f t="shared" si="3"/>
        <v>35955.241743999424</v>
      </c>
      <c r="R25" s="91">
        <f t="shared" si="3"/>
        <v>36803.72476421504</v>
      </c>
      <c r="S25" s="91">
        <f t="shared" si="3"/>
        <v>37581.75022054791</v>
      </c>
      <c r="T25" s="91">
        <f t="shared" si="3"/>
        <v>38300.035341519419</v>
      </c>
      <c r="U25" s="91">
        <f t="shared" si="3"/>
        <v>38966.627356086567</v>
      </c>
      <c r="V25" s="91">
        <f t="shared" si="3"/>
        <v>39587.711347053671</v>
      </c>
    </row>
    <row r="26" spans="1:24" s="64" customFormat="1" x14ac:dyDescent="0.25">
      <c r="A26" s="86"/>
      <c r="B26" s="63" t="s">
        <v>295</v>
      </c>
      <c r="C26" s="90">
        <f>C19+C23</f>
        <v>3000</v>
      </c>
      <c r="D26" s="91">
        <f t="shared" ref="D26:V27" si="4">D19+D23</f>
        <v>7441.1029731072167</v>
      </c>
      <c r="E26" s="91">
        <f t="shared" si="4"/>
        <v>11339.781708738954</v>
      </c>
      <c r="F26" s="91">
        <f t="shared" si="4"/>
        <v>17280.070343226562</v>
      </c>
      <c r="G26" s="91">
        <f t="shared" si="4"/>
        <v>24180.706721159895</v>
      </c>
      <c r="H26" s="91">
        <f t="shared" si="4"/>
        <v>29152.752722083453</v>
      </c>
      <c r="I26" s="91">
        <f t="shared" si="4"/>
        <v>33232.54561952276</v>
      </c>
      <c r="J26" s="91">
        <f t="shared" si="4"/>
        <v>36683.176911222508</v>
      </c>
      <c r="K26" s="91">
        <f t="shared" si="4"/>
        <v>39608.284117316747</v>
      </c>
      <c r="L26" s="140">
        <f t="shared" si="4"/>
        <v>42281.373965861421</v>
      </c>
      <c r="M26" s="91">
        <f t="shared" si="4"/>
        <v>44537.943391384353</v>
      </c>
      <c r="N26" s="92">
        <f t="shared" si="4"/>
        <v>46510.489390293878</v>
      </c>
      <c r="O26" s="91">
        <f t="shared" si="4"/>
        <v>48274.568625850123</v>
      </c>
      <c r="P26" s="91">
        <f t="shared" si="4"/>
        <v>49883.056488638278</v>
      </c>
      <c r="Q26" s="91">
        <f t="shared" si="4"/>
        <v>51372.817812816516</v>
      </c>
      <c r="R26" s="91">
        <f t="shared" si="4"/>
        <v>52769.622359159534</v>
      </c>
      <c r="S26" s="91">
        <f t="shared" si="4"/>
        <v>54091.539238455618</v>
      </c>
      <c r="T26" s="91">
        <f t="shared" si="4"/>
        <v>55351.313209232583</v>
      </c>
      <c r="U26" s="91">
        <f t="shared" si="4"/>
        <v>56558.023559339519</v>
      </c>
      <c r="V26" s="91">
        <f t="shared" si="4"/>
        <v>57718.234482396772</v>
      </c>
    </row>
    <row r="27" spans="1:24" s="64" customFormat="1" x14ac:dyDescent="0.25">
      <c r="A27" s="86"/>
      <c r="B27" s="63" t="s">
        <v>296</v>
      </c>
      <c r="C27" s="90">
        <f>C20+C24</f>
        <v>0</v>
      </c>
      <c r="D27" s="91">
        <f t="shared" si="4"/>
        <v>268.43288254772199</v>
      </c>
      <c r="E27" s="91">
        <f t="shared" si="4"/>
        <v>865.94200664570735</v>
      </c>
      <c r="F27" s="91">
        <f t="shared" si="4"/>
        <v>1781.50276280049</v>
      </c>
      <c r="G27" s="91">
        <f t="shared" si="4"/>
        <v>2858.0963240290903</v>
      </c>
      <c r="H27" s="91">
        <f t="shared" si="4"/>
        <v>4108.3892951831622</v>
      </c>
      <c r="I27" s="91">
        <f t="shared" si="4"/>
        <v>5432.6010039343382</v>
      </c>
      <c r="J27" s="91">
        <f t="shared" si="4"/>
        <v>6745.3432665179862</v>
      </c>
      <c r="K27" s="91">
        <f t="shared" si="4"/>
        <v>8016.2998710060474</v>
      </c>
      <c r="L27" s="140">
        <f t="shared" si="4"/>
        <v>9392.6923850299718</v>
      </c>
      <c r="M27" s="91">
        <f t="shared" si="4"/>
        <v>10633.315107016615</v>
      </c>
      <c r="N27" s="92">
        <f t="shared" si="4"/>
        <v>11786.119744394542</v>
      </c>
      <c r="O27" s="91">
        <f t="shared" si="4"/>
        <v>12871.32089110812</v>
      </c>
      <c r="P27" s="91">
        <f t="shared" si="4"/>
        <v>13901.825176334303</v>
      </c>
      <c r="Q27" s="91">
        <f t="shared" si="4"/>
        <v>14886.885263725446</v>
      </c>
      <c r="R27" s="91">
        <f t="shared" si="4"/>
        <v>15833.615471382251</v>
      </c>
      <c r="S27" s="91">
        <f t="shared" si="4"/>
        <v>16747.649208765091</v>
      </c>
      <c r="T27" s="91">
        <f t="shared" si="4"/>
        <v>17633.498521846413</v>
      </c>
      <c r="U27" s="91">
        <f t="shared" si="4"/>
        <v>18494.79814749879</v>
      </c>
      <c r="V27" s="91">
        <f t="shared" si="4"/>
        <v>19334.492043227536</v>
      </c>
    </row>
    <row r="28" spans="1:24" s="116" customFormat="1" x14ac:dyDescent="0.25">
      <c r="A28" s="151"/>
      <c r="B28" s="116" t="s">
        <v>87</v>
      </c>
      <c r="C28" s="99">
        <f>SUM(C26:C27)</f>
        <v>3000</v>
      </c>
      <c r="D28" s="100">
        <f t="shared" ref="D28:V28" si="5">SUM(D26:D27)</f>
        <v>7709.535855654939</v>
      </c>
      <c r="E28" s="100">
        <f t="shared" si="5"/>
        <v>12205.723715384662</v>
      </c>
      <c r="F28" s="100">
        <f t="shared" si="5"/>
        <v>19061.573106027052</v>
      </c>
      <c r="G28" s="100">
        <f t="shared" si="5"/>
        <v>27038.803045188986</v>
      </c>
      <c r="H28" s="100">
        <f t="shared" si="5"/>
        <v>33261.142017266611</v>
      </c>
      <c r="I28" s="100">
        <f t="shared" si="5"/>
        <v>38665.146623457098</v>
      </c>
      <c r="J28" s="100">
        <f t="shared" si="5"/>
        <v>43428.520177740495</v>
      </c>
      <c r="K28" s="100">
        <f t="shared" si="5"/>
        <v>47624.583988322796</v>
      </c>
      <c r="L28" s="142">
        <f t="shared" si="5"/>
        <v>51674.066350891393</v>
      </c>
      <c r="M28" s="100">
        <f t="shared" si="5"/>
        <v>55171.258498400966</v>
      </c>
      <c r="N28" s="101">
        <f t="shared" si="5"/>
        <v>58296.60913468842</v>
      </c>
      <c r="O28" s="100">
        <f t="shared" si="5"/>
        <v>61145.889516958239</v>
      </c>
      <c r="P28" s="100">
        <f t="shared" si="5"/>
        <v>63784.881664972578</v>
      </c>
      <c r="Q28" s="100">
        <f t="shared" si="5"/>
        <v>66259.703076541962</v>
      </c>
      <c r="R28" s="100">
        <f t="shared" si="5"/>
        <v>68603.237830541781</v>
      </c>
      <c r="S28" s="100">
        <f t="shared" si="5"/>
        <v>70839.188447220717</v>
      </c>
      <c r="T28" s="100">
        <f t="shared" si="5"/>
        <v>72984.811731078997</v>
      </c>
      <c r="U28" s="100">
        <f t="shared" si="5"/>
        <v>75052.821706838309</v>
      </c>
      <c r="V28" s="100">
        <f t="shared" si="5"/>
        <v>77052.726525624312</v>
      </c>
    </row>
    <row r="29" spans="1:24" s="64" customFormat="1" x14ac:dyDescent="0.25">
      <c r="A29" s="86" t="s">
        <v>297</v>
      </c>
      <c r="C29" s="90"/>
      <c r="D29" s="91"/>
      <c r="E29" s="91"/>
      <c r="F29" s="91"/>
      <c r="G29" s="91"/>
      <c r="H29" s="91"/>
      <c r="I29" s="91"/>
      <c r="J29" s="91"/>
      <c r="K29" s="91"/>
      <c r="L29" s="140"/>
      <c r="M29" s="91"/>
      <c r="N29" s="92"/>
      <c r="O29" s="91"/>
      <c r="P29" s="91"/>
      <c r="Q29" s="91"/>
      <c r="R29" s="91"/>
      <c r="S29" s="91"/>
      <c r="T29" s="91"/>
      <c r="U29" s="91"/>
      <c r="V29" s="91"/>
    </row>
    <row r="30" spans="1:24" s="64" customFormat="1" x14ac:dyDescent="0.25">
      <c r="A30" s="86"/>
      <c r="B30" s="63" t="s">
        <v>313</v>
      </c>
      <c r="C30" s="90">
        <f>'Model (Matrix)'!C5</f>
        <v>3817.4396838476564</v>
      </c>
      <c r="D30" s="91">
        <f>'Model (Matrix)'!D5</f>
        <v>5168.1248620564729</v>
      </c>
      <c r="E30" s="91">
        <f>'Model (Matrix)'!E5</f>
        <v>5218.4649705873035</v>
      </c>
      <c r="F30" s="91">
        <f>'Model (Matrix)'!F5</f>
        <v>4858.9163687254531</v>
      </c>
      <c r="G30" s="91">
        <f>'Model (Matrix)'!G5</f>
        <v>4603.4398464294727</v>
      </c>
      <c r="H30" s="91">
        <f>'Model (Matrix)'!H5</f>
        <v>4374.2587873480743</v>
      </c>
      <c r="I30" s="91">
        <f>'Model (Matrix)'!I5</f>
        <v>4141.1542254728547</v>
      </c>
      <c r="J30" s="91">
        <f>'Model (Matrix)'!J5</f>
        <v>3902.0020287967723</v>
      </c>
      <c r="K30" s="91">
        <f>'Model (Matrix)'!K5</f>
        <v>3675.4188670674398</v>
      </c>
      <c r="L30" s="140">
        <f>'Model (Matrix)'!L5</f>
        <v>3438.7320236770211</v>
      </c>
      <c r="M30" s="91">
        <f>'Model (Matrix)'!M5</f>
        <v>3250.3436939997864</v>
      </c>
      <c r="N30" s="92">
        <f>'Model (Matrix)'!N5</f>
        <v>3104.7501720619771</v>
      </c>
      <c r="O30" s="91">
        <f>'Model (Matrix)'!O5</f>
        <v>2994.8960333115733</v>
      </c>
      <c r="P30" s="91">
        <f>'Model (Matrix)'!P5</f>
        <v>2913.6008711857048</v>
      </c>
      <c r="Q30" s="91">
        <f>'Model (Matrix)'!Q5</f>
        <v>2854.381674136042</v>
      </c>
      <c r="R30" s="91">
        <f>'Model (Matrix)'!R5</f>
        <v>2811.7981971456943</v>
      </c>
      <c r="S30" s="91">
        <f>'Model (Matrix)'!S5</f>
        <v>2781.5037622259629</v>
      </c>
      <c r="T30" s="91">
        <f>'Model (Matrix)'!T5</f>
        <v>2760.1445812678435</v>
      </c>
      <c r="U30" s="91">
        <f>'Model (Matrix)'!U5</f>
        <v>2745.1992047837598</v>
      </c>
      <c r="V30" s="91">
        <f>'Model (Matrix)'!V5</f>
        <v>2734.8093186548981</v>
      </c>
    </row>
    <row r="31" spans="1:24" s="64" customFormat="1" x14ac:dyDescent="0.25">
      <c r="A31" s="86"/>
      <c r="B31" s="63" t="s">
        <v>314</v>
      </c>
      <c r="C31" s="90"/>
      <c r="D31" s="91"/>
      <c r="E31" s="91"/>
      <c r="F31" s="91"/>
      <c r="G31" s="91"/>
      <c r="H31" s="91"/>
      <c r="I31" s="91"/>
      <c r="J31" s="91"/>
      <c r="K31" s="91"/>
      <c r="L31" s="140"/>
      <c r="M31" s="91"/>
      <c r="N31" s="92"/>
      <c r="O31" s="91"/>
      <c r="P31" s="91"/>
      <c r="Q31" s="91"/>
      <c r="R31" s="91"/>
      <c r="S31" s="91"/>
      <c r="T31" s="91"/>
      <c r="U31" s="91"/>
      <c r="V31" s="91"/>
    </row>
    <row r="32" spans="1:24" s="64" customFormat="1" x14ac:dyDescent="0.25">
      <c r="A32" s="86"/>
      <c r="B32" s="63" t="s">
        <v>298</v>
      </c>
      <c r="C32" s="90">
        <f>'Model (Matrix)'!C21</f>
        <v>1428.0954159393805</v>
      </c>
      <c r="D32" s="91">
        <f>'Model (Matrix)'!D21</f>
        <v>2557.6519129155599</v>
      </c>
      <c r="E32" s="91">
        <f>'Model (Matrix)'!E21</f>
        <v>3516.3534134526672</v>
      </c>
      <c r="F32" s="91">
        <f>'Model (Matrix)'!F21</f>
        <v>3824.2789354652168</v>
      </c>
      <c r="G32" s="91">
        <f>'Model (Matrix)'!G21</f>
        <v>3940.1538690495918</v>
      </c>
      <c r="H32" s="91">
        <f>'Model (Matrix)'!H21</f>
        <v>3874.6231346017312</v>
      </c>
      <c r="I32" s="91">
        <f>'Model (Matrix)'!I21</f>
        <v>3711.7852614481217</v>
      </c>
      <c r="J32" s="91">
        <f>'Model (Matrix)'!J21</f>
        <v>3507.2997515414545</v>
      </c>
      <c r="K32" s="91">
        <f>'Model (Matrix)'!K21</f>
        <v>3298.5079996850695</v>
      </c>
      <c r="L32" s="140">
        <f>'Model (Matrix)'!L21</f>
        <v>2974.9486397784322</v>
      </c>
      <c r="M32" s="91">
        <f>'Model (Matrix)'!M21</f>
        <v>2760.9314202424512</v>
      </c>
      <c r="N32" s="92">
        <f>'Model (Matrix)'!N21</f>
        <v>2612.1907068112873</v>
      </c>
      <c r="O32" s="91">
        <f>'Model (Matrix)'!O21</f>
        <v>2506.5971967795417</v>
      </c>
      <c r="P32" s="91">
        <f>'Model (Matrix)'!P21</f>
        <v>2431.2451887013231</v>
      </c>
      <c r="Q32" s="91">
        <f>'Model (Matrix)'!Q21</f>
        <v>2377.6106751021525</v>
      </c>
      <c r="R32" s="91">
        <f>'Model (Matrix)'!R21</f>
        <v>2339.6515941915836</v>
      </c>
      <c r="S32" s="91">
        <f>'Model (Matrix)'!S21</f>
        <v>2312.9637320276697</v>
      </c>
      <c r="T32" s="91">
        <f>'Model (Matrix)'!T21</f>
        <v>2294.3221870252432</v>
      </c>
      <c r="U32" s="91">
        <f>'Model (Matrix)'!U21</f>
        <v>2281.3790943882323</v>
      </c>
      <c r="V32" s="91">
        <f>'Model (Matrix)'!V21</f>
        <v>2272.4408554179481</v>
      </c>
    </row>
    <row r="33" spans="1:23" s="64" customFormat="1" x14ac:dyDescent="0.25">
      <c r="A33" s="86"/>
      <c r="B33" s="63" t="s">
        <v>299</v>
      </c>
      <c r="C33" s="90">
        <f>'Model (Matrix)'!C22</f>
        <v>0</v>
      </c>
      <c r="D33" s="91">
        <f>'Model (Matrix)'!D22</f>
        <v>7.1796142551032087</v>
      </c>
      <c r="E33" s="91">
        <f>'Model (Matrix)'!E22</f>
        <v>39.400544928700036</v>
      </c>
      <c r="F33" s="91">
        <f>'Model (Matrix)'!F22</f>
        <v>89.642646852443562</v>
      </c>
      <c r="G33" s="91">
        <f>'Model (Matrix)'!G22</f>
        <v>149.41022069478061</v>
      </c>
      <c r="H33" s="91">
        <f>'Model (Matrix)'!H22</f>
        <v>214.00794806395976</v>
      </c>
      <c r="I33" s="91">
        <f>'Model (Matrix)'!I22</f>
        <v>279.50521171079424</v>
      </c>
      <c r="J33" s="91">
        <f>'Model (Matrix)'!J22</f>
        <v>343.23227419099538</v>
      </c>
      <c r="K33" s="91">
        <f>'Model (Matrix)'!K22</f>
        <v>403.65907101669825</v>
      </c>
      <c r="L33" s="140">
        <f>'Model (Matrix)'!L22</f>
        <v>443.84513523272034</v>
      </c>
      <c r="M33" s="91">
        <f>'Model (Matrix)'!M22</f>
        <v>490.28671551616867</v>
      </c>
      <c r="N33" s="92">
        <f>'Model (Matrix)'!N22</f>
        <v>536.37954849051164</v>
      </c>
      <c r="O33" s="91">
        <f>'Model (Matrix)'!O22</f>
        <v>580.33548606663521</v>
      </c>
      <c r="P33" s="91">
        <f>'Model (Matrix)'!P22</f>
        <v>621.97402470146324</v>
      </c>
      <c r="Q33" s="91">
        <f>'Model (Matrix)'!Q22</f>
        <v>661.58511642069016</v>
      </c>
      <c r="R33" s="91">
        <f>'Model (Matrix)'!R22</f>
        <v>699.53988065933072</v>
      </c>
      <c r="S33" s="91">
        <f>'Model (Matrix)'!S22</f>
        <v>736.16924041974937</v>
      </c>
      <c r="T33" s="91">
        <f>'Model (Matrix)'!T22</f>
        <v>771.73643615797687</v>
      </c>
      <c r="U33" s="91">
        <f>'Model (Matrix)'!U22</f>
        <v>806.44042557857756</v>
      </c>
      <c r="V33" s="91">
        <f>'Model (Matrix)'!V22</f>
        <v>840.42761338636706</v>
      </c>
    </row>
    <row r="34" spans="1:23" s="64" customFormat="1" x14ac:dyDescent="0.25">
      <c r="A34" s="86"/>
      <c r="B34" s="63" t="s">
        <v>293</v>
      </c>
      <c r="C34" s="90">
        <f>'Model (Matrix)'!C23</f>
        <v>1428.0954159393805</v>
      </c>
      <c r="D34" s="91">
        <f>'Model (Matrix)'!D23</f>
        <v>2564.8315271706633</v>
      </c>
      <c r="E34" s="91">
        <f>'Model (Matrix)'!E23</f>
        <v>3555.7539583813673</v>
      </c>
      <c r="F34" s="91">
        <f>'Model (Matrix)'!F23</f>
        <v>3913.9215823176605</v>
      </c>
      <c r="G34" s="91">
        <f>'Model (Matrix)'!G23</f>
        <v>4089.5640897443723</v>
      </c>
      <c r="H34" s="91">
        <f>'Model (Matrix)'!H23</f>
        <v>4088.6310826656909</v>
      </c>
      <c r="I34" s="91">
        <f>'Model (Matrix)'!I23</f>
        <v>3991.290473158916</v>
      </c>
      <c r="J34" s="91">
        <f>'Model (Matrix)'!J23</f>
        <v>3850.5320257324497</v>
      </c>
      <c r="K34" s="91">
        <f>'Model (Matrix)'!K23</f>
        <v>3702.1670707017679</v>
      </c>
      <c r="L34" s="140">
        <f>'Model (Matrix)'!L23</f>
        <v>3418.7937750111523</v>
      </c>
      <c r="M34" s="91">
        <f>'Model (Matrix)'!M23</f>
        <v>3251.2181357586196</v>
      </c>
      <c r="N34" s="92">
        <f>'Model (Matrix)'!N23</f>
        <v>3148.5702553017991</v>
      </c>
      <c r="O34" s="91">
        <f>'Model (Matrix)'!O23</f>
        <v>3086.9326828461772</v>
      </c>
      <c r="P34" s="91">
        <f>'Model (Matrix)'!P23</f>
        <v>3053.2192134027864</v>
      </c>
      <c r="Q34" s="91">
        <f>'Model (Matrix)'!Q23</f>
        <v>3039.1957915228427</v>
      </c>
      <c r="R34" s="91">
        <f>'Model (Matrix)'!R23</f>
        <v>3039.1914748509143</v>
      </c>
      <c r="S34" s="91">
        <f>'Model (Matrix)'!S23</f>
        <v>3049.132972447419</v>
      </c>
      <c r="T34" s="91">
        <f>'Model (Matrix)'!T23</f>
        <v>3066.0586231832203</v>
      </c>
      <c r="U34" s="91">
        <f>'Model (Matrix)'!U23</f>
        <v>3087.8195199668098</v>
      </c>
      <c r="V34" s="91">
        <f>'Model (Matrix)'!V23</f>
        <v>3112.8684688043149</v>
      </c>
    </row>
    <row r="35" spans="1:23" s="64" customFormat="1" x14ac:dyDescent="0.25">
      <c r="A35" s="86"/>
      <c r="B35" s="63" t="s">
        <v>315</v>
      </c>
      <c r="C35" s="90"/>
      <c r="D35" s="91"/>
      <c r="E35" s="91"/>
      <c r="F35" s="91"/>
      <c r="G35" s="91"/>
      <c r="H35" s="91"/>
      <c r="I35" s="91"/>
      <c r="J35" s="91"/>
      <c r="K35" s="91"/>
      <c r="L35" s="140"/>
      <c r="M35" s="91"/>
      <c r="N35" s="92"/>
      <c r="O35" s="91"/>
      <c r="P35" s="91"/>
      <c r="Q35" s="91"/>
      <c r="R35" s="91"/>
      <c r="S35" s="91"/>
      <c r="T35" s="91"/>
      <c r="U35" s="91"/>
      <c r="V35" s="91"/>
    </row>
    <row r="36" spans="1:23" s="64" customFormat="1" x14ac:dyDescent="0.25">
      <c r="A36" s="86"/>
      <c r="B36" s="63" t="s">
        <v>298</v>
      </c>
      <c r="C36" s="90">
        <f>'Model (Matrix)'!C51</f>
        <v>248.84425254330867</v>
      </c>
      <c r="D36" s="91">
        <f>'Model (Matrix)'!D51</f>
        <v>631.19774130994074</v>
      </c>
      <c r="E36" s="91">
        <f>'Model (Matrix)'!E51</f>
        <v>1131.5420892907432</v>
      </c>
      <c r="F36" s="91">
        <f>'Model (Matrix)'!F51</f>
        <v>1564.2521314715789</v>
      </c>
      <c r="G36" s="91">
        <f>'Model (Matrix)'!G51</f>
        <v>1933.1538566568918</v>
      </c>
      <c r="H36" s="91">
        <f>'Model (Matrix)'!H51</f>
        <v>1843.1847511073761</v>
      </c>
      <c r="I36" s="91">
        <f>'Model (Matrix)'!I51</f>
        <v>1724.3104504228641</v>
      </c>
      <c r="J36" s="91">
        <f>'Model (Matrix)'!J51</f>
        <v>1616.8860281319853</v>
      </c>
      <c r="K36" s="91">
        <f>'Model (Matrix)'!K51</f>
        <v>1513.1245837719625</v>
      </c>
      <c r="L36" s="140">
        <f>'Model (Matrix)'!L51</f>
        <v>1308.8795488812643</v>
      </c>
      <c r="M36" s="91">
        <f>'Model (Matrix)'!M51</f>
        <v>1183.0978322216761</v>
      </c>
      <c r="N36" s="92">
        <f>'Model (Matrix)'!N51</f>
        <v>1100.3990154853759</v>
      </c>
      <c r="O36" s="91">
        <f>'Model (Matrix)'!O51</f>
        <v>1043.7513070349212</v>
      </c>
      <c r="P36" s="91">
        <f>'Model (Matrix)'!P51</f>
        <v>1004.2031205309938</v>
      </c>
      <c r="Q36" s="91">
        <f>'Model (Matrix)'!Q51</f>
        <v>976.43733018700016</v>
      </c>
      <c r="R36" s="91">
        <f>'Model (Matrix)'!R51</f>
        <v>956.9665407668856</v>
      </c>
      <c r="S36" s="91">
        <f>'Model (Matrix)'!S51</f>
        <v>943.36881209509033</v>
      </c>
      <c r="T36" s="91">
        <f>'Model (Matrix)'!T51</f>
        <v>933.92100456953222</v>
      </c>
      <c r="U36" s="91">
        <f>'Model (Matrix)'!U51</f>
        <v>927.39044171980618</v>
      </c>
      <c r="V36" s="91">
        <f>'Model (Matrix)'!V51</f>
        <v>922.89815254106236</v>
      </c>
    </row>
    <row r="37" spans="1:23" s="64" customFormat="1" x14ac:dyDescent="0.25">
      <c r="A37" s="86"/>
      <c r="B37" s="63" t="s">
        <v>299</v>
      </c>
      <c r="C37" s="90">
        <f>'Model (Matrix)'!C52</f>
        <v>0</v>
      </c>
      <c r="D37" s="91">
        <f>'Model (Matrix)'!D52</f>
        <v>79.292230589934846</v>
      </c>
      <c r="E37" s="91">
        <f>'Model (Matrix)'!E52</f>
        <v>140.2699204168369</v>
      </c>
      <c r="F37" s="91">
        <f>'Model (Matrix)'!F52</f>
        <v>173.20845012615874</v>
      </c>
      <c r="G37" s="91">
        <f>'Model (Matrix)'!G52</f>
        <v>288.73801456430891</v>
      </c>
      <c r="H37" s="91">
        <f>'Model (Matrix)'!H52</f>
        <v>423.7698066840357</v>
      </c>
      <c r="I37" s="91">
        <f>'Model (Matrix)'!I52</f>
        <v>490.0157738268673</v>
      </c>
      <c r="J37" s="91">
        <f>'Model (Matrix)'!J52</f>
        <v>548.92512793684239</v>
      </c>
      <c r="K37" s="91">
        <f>'Model (Matrix)'!K52</f>
        <v>606.96491245320078</v>
      </c>
      <c r="L37" s="140">
        <f>'Model (Matrix)'!L52</f>
        <v>618.47346718483948</v>
      </c>
      <c r="M37" s="91">
        <f>'Model (Matrix)'!M52</f>
        <v>658.79774878951025</v>
      </c>
      <c r="N37" s="92">
        <f>'Model (Matrix)'!N52</f>
        <v>698.72770612509532</v>
      </c>
      <c r="O37" s="91">
        <f>'Model (Matrix)'!O52</f>
        <v>736.52320592534659</v>
      </c>
      <c r="P37" s="91">
        <f>'Model (Matrix)'!P52</f>
        <v>771.76140080812115</v>
      </c>
      <c r="Q37" s="91">
        <f>'Model (Matrix)'!Q52</f>
        <v>804.57656785511301</v>
      </c>
      <c r="R37" s="91">
        <f>'Model (Matrix)'!R52</f>
        <v>835.23108971138538</v>
      </c>
      <c r="S37" s="91">
        <f>'Model (Matrix)'!S52</f>
        <v>863.99055983874996</v>
      </c>
      <c r="T37" s="91">
        <f>'Model (Matrix)'!T52</f>
        <v>891.08890941302036</v>
      </c>
      <c r="U37" s="91">
        <f>'Model (Matrix)'!U52</f>
        <v>916.72289299210684</v>
      </c>
      <c r="V37" s="91">
        <f>'Model (Matrix)'!V52</f>
        <v>941.05559205943621</v>
      </c>
    </row>
    <row r="38" spans="1:23" s="64" customFormat="1" x14ac:dyDescent="0.25">
      <c r="A38" s="86"/>
      <c r="B38" s="63" t="s">
        <v>293</v>
      </c>
      <c r="C38" s="90">
        <f>'Model (Matrix)'!C53</f>
        <v>248.84425254330867</v>
      </c>
      <c r="D38" s="91">
        <f>'Model (Matrix)'!D53</f>
        <v>710.48997189987563</v>
      </c>
      <c r="E38" s="91">
        <f>'Model (Matrix)'!E53</f>
        <v>1271.81200970758</v>
      </c>
      <c r="F38" s="91">
        <f>'Model (Matrix)'!F53</f>
        <v>1737.4605815977377</v>
      </c>
      <c r="G38" s="91">
        <f>'Model (Matrix)'!G53</f>
        <v>2221.8918712212007</v>
      </c>
      <c r="H38" s="91">
        <f>'Model (Matrix)'!H53</f>
        <v>2266.9545577914118</v>
      </c>
      <c r="I38" s="91">
        <f>'Model (Matrix)'!I53</f>
        <v>2214.3262242497312</v>
      </c>
      <c r="J38" s="91">
        <f>'Model (Matrix)'!J53</f>
        <v>2165.8111560688276</v>
      </c>
      <c r="K38" s="91">
        <f>'Model (Matrix)'!K53</f>
        <v>2120.0894962251632</v>
      </c>
      <c r="L38" s="140">
        <f>'Model (Matrix)'!L53</f>
        <v>1927.3530160661039</v>
      </c>
      <c r="M38" s="91">
        <f>'Model (Matrix)'!M53</f>
        <v>1841.8955810111863</v>
      </c>
      <c r="N38" s="92">
        <f>'Model (Matrix)'!N53</f>
        <v>1799.1267216104711</v>
      </c>
      <c r="O38" s="91">
        <f>'Model (Matrix)'!O53</f>
        <v>1780.2745129602677</v>
      </c>
      <c r="P38" s="91">
        <f>'Model (Matrix)'!P53</f>
        <v>1775.964521339115</v>
      </c>
      <c r="Q38" s="91">
        <f>'Model (Matrix)'!Q53</f>
        <v>1781.0138980421132</v>
      </c>
      <c r="R38" s="91">
        <f>'Model (Matrix)'!R53</f>
        <v>1792.1976304782711</v>
      </c>
      <c r="S38" s="91">
        <f>'Model (Matrix)'!S53</f>
        <v>1807.3593719338403</v>
      </c>
      <c r="T38" s="91">
        <f>'Model (Matrix)'!T53</f>
        <v>1825.0099139825525</v>
      </c>
      <c r="U38" s="91">
        <f>'Model (Matrix)'!U53</f>
        <v>1844.113334711913</v>
      </c>
      <c r="V38" s="91">
        <f>'Model (Matrix)'!V53</f>
        <v>1863.9537446004986</v>
      </c>
    </row>
    <row r="39" spans="1:23" s="64" customFormat="1" x14ac:dyDescent="0.25">
      <c r="A39" s="86"/>
      <c r="B39" s="63" t="s">
        <v>300</v>
      </c>
      <c r="C39" s="90">
        <f>C30+C32+C36</f>
        <v>5494.3793523303457</v>
      </c>
      <c r="D39" s="91">
        <f t="shared" ref="D39:V39" si="6">D30+D32+D36</f>
        <v>8356.9745162819745</v>
      </c>
      <c r="E39" s="91">
        <f t="shared" si="6"/>
        <v>9866.3604733307147</v>
      </c>
      <c r="F39" s="91">
        <f t="shared" si="6"/>
        <v>10247.44743566225</v>
      </c>
      <c r="G39" s="91">
        <f t="shared" si="6"/>
        <v>10476.747572135957</v>
      </c>
      <c r="H39" s="91">
        <f t="shared" si="6"/>
        <v>10092.066673057181</v>
      </c>
      <c r="I39" s="91">
        <f t="shared" si="6"/>
        <v>9577.2499373438404</v>
      </c>
      <c r="J39" s="91">
        <f t="shared" si="6"/>
        <v>9026.1878084702112</v>
      </c>
      <c r="K39" s="91">
        <f t="shared" si="6"/>
        <v>8487.0514505244719</v>
      </c>
      <c r="L39" s="140">
        <f t="shared" si="6"/>
        <v>7722.5602123367171</v>
      </c>
      <c r="M39" s="91">
        <f t="shared" si="6"/>
        <v>7194.3729464639136</v>
      </c>
      <c r="N39" s="92">
        <f t="shared" si="6"/>
        <v>6817.3398943586399</v>
      </c>
      <c r="O39" s="91">
        <f t="shared" si="6"/>
        <v>6545.2445371260364</v>
      </c>
      <c r="P39" s="91">
        <f t="shared" si="6"/>
        <v>6349.0491804180219</v>
      </c>
      <c r="Q39" s="91">
        <f t="shared" si="6"/>
        <v>6208.429679425195</v>
      </c>
      <c r="R39" s="91">
        <f t="shared" si="6"/>
        <v>6108.4163321041633</v>
      </c>
      <c r="S39" s="91">
        <f t="shared" si="6"/>
        <v>6037.8363063487232</v>
      </c>
      <c r="T39" s="91">
        <f t="shared" si="6"/>
        <v>5988.3877728626194</v>
      </c>
      <c r="U39" s="91">
        <f t="shared" si="6"/>
        <v>5953.968740891798</v>
      </c>
      <c r="V39" s="91">
        <f t="shared" si="6"/>
        <v>5930.1483266139085</v>
      </c>
    </row>
    <row r="40" spans="1:23" s="64" customFormat="1" x14ac:dyDescent="0.25">
      <c r="A40" s="86"/>
      <c r="B40" s="63" t="s">
        <v>301</v>
      </c>
      <c r="C40" s="90">
        <f>C33+C37</f>
        <v>0</v>
      </c>
      <c r="D40" s="91">
        <f t="shared" ref="D40:V40" si="7">D33+D37</f>
        <v>86.471844845038049</v>
      </c>
      <c r="E40" s="91">
        <f t="shared" si="7"/>
        <v>179.67046534553694</v>
      </c>
      <c r="F40" s="91">
        <f t="shared" si="7"/>
        <v>262.8510969786023</v>
      </c>
      <c r="G40" s="91">
        <f t="shared" si="7"/>
        <v>438.14823525908952</v>
      </c>
      <c r="H40" s="91">
        <f t="shared" si="7"/>
        <v>637.77775474799546</v>
      </c>
      <c r="I40" s="91">
        <f t="shared" si="7"/>
        <v>769.52098553766155</v>
      </c>
      <c r="J40" s="91">
        <f t="shared" si="7"/>
        <v>892.15740212783771</v>
      </c>
      <c r="K40" s="91">
        <f t="shared" si="7"/>
        <v>1010.623983469899</v>
      </c>
      <c r="L40" s="140">
        <f t="shared" si="7"/>
        <v>1062.3186024175598</v>
      </c>
      <c r="M40" s="91">
        <f t="shared" si="7"/>
        <v>1149.0844643056789</v>
      </c>
      <c r="N40" s="92">
        <f t="shared" si="7"/>
        <v>1235.107254615607</v>
      </c>
      <c r="O40" s="91">
        <f t="shared" si="7"/>
        <v>1316.8586919919817</v>
      </c>
      <c r="P40" s="91">
        <f t="shared" si="7"/>
        <v>1393.7354255095843</v>
      </c>
      <c r="Q40" s="91">
        <f t="shared" si="7"/>
        <v>1466.1616842758031</v>
      </c>
      <c r="R40" s="91">
        <f t="shared" si="7"/>
        <v>1534.770970370716</v>
      </c>
      <c r="S40" s="91">
        <f t="shared" si="7"/>
        <v>1600.1598002584992</v>
      </c>
      <c r="T40" s="91">
        <f t="shared" si="7"/>
        <v>1662.8253455709973</v>
      </c>
      <c r="U40" s="91">
        <f t="shared" si="7"/>
        <v>1723.1633185706844</v>
      </c>
      <c r="V40" s="91">
        <f t="shared" si="7"/>
        <v>1781.4832054458034</v>
      </c>
    </row>
    <row r="41" spans="1:23" s="64" customFormat="1" x14ac:dyDescent="0.25">
      <c r="A41" s="86"/>
      <c r="B41" s="63" t="s">
        <v>87</v>
      </c>
      <c r="C41" s="90">
        <f>SUM(C39:C40)</f>
        <v>5494.3793523303457</v>
      </c>
      <c r="D41" s="91">
        <f t="shared" ref="D41:V41" si="8">SUM(D39:D40)</f>
        <v>8443.446361127013</v>
      </c>
      <c r="E41" s="91">
        <f t="shared" si="8"/>
        <v>10046.030938676251</v>
      </c>
      <c r="F41" s="91">
        <f t="shared" si="8"/>
        <v>10510.298532640852</v>
      </c>
      <c r="G41" s="91">
        <f t="shared" si="8"/>
        <v>10914.895807395047</v>
      </c>
      <c r="H41" s="91">
        <f t="shared" si="8"/>
        <v>10729.844427805176</v>
      </c>
      <c r="I41" s="100">
        <f t="shared" si="8"/>
        <v>10346.770922881502</v>
      </c>
      <c r="J41" s="91">
        <f t="shared" si="8"/>
        <v>9918.3452105980487</v>
      </c>
      <c r="K41" s="91">
        <f t="shared" si="8"/>
        <v>9497.6754339943709</v>
      </c>
      <c r="L41" s="140">
        <f t="shared" si="8"/>
        <v>8784.8788147542764</v>
      </c>
      <c r="M41" s="91">
        <f t="shared" si="8"/>
        <v>8343.4574107695917</v>
      </c>
      <c r="N41" s="92">
        <f t="shared" si="8"/>
        <v>8052.4471489742464</v>
      </c>
      <c r="O41" s="91">
        <f t="shared" si="8"/>
        <v>7862.1032291180181</v>
      </c>
      <c r="P41" s="91">
        <f t="shared" si="8"/>
        <v>7742.7846059276062</v>
      </c>
      <c r="Q41" s="91">
        <f t="shared" si="8"/>
        <v>7674.591363700998</v>
      </c>
      <c r="R41" s="91">
        <f t="shared" si="8"/>
        <v>7643.1873024748793</v>
      </c>
      <c r="S41" s="91">
        <f t="shared" si="8"/>
        <v>7637.9961066072228</v>
      </c>
      <c r="T41" s="100">
        <f t="shared" si="8"/>
        <v>7651.2131184336167</v>
      </c>
      <c r="U41" s="100">
        <f t="shared" si="8"/>
        <v>7677.1320594624822</v>
      </c>
      <c r="V41" s="100">
        <f t="shared" si="8"/>
        <v>7711.6315320597114</v>
      </c>
      <c r="W41" s="116"/>
    </row>
    <row r="42" spans="1:23" s="88" customFormat="1" x14ac:dyDescent="0.25">
      <c r="A42" s="150" t="s">
        <v>302</v>
      </c>
      <c r="C42" s="147"/>
      <c r="D42" s="103"/>
      <c r="E42" s="103"/>
      <c r="F42" s="103"/>
      <c r="G42" s="103"/>
      <c r="H42" s="103"/>
      <c r="I42" s="91"/>
      <c r="J42" s="103"/>
      <c r="K42" s="103"/>
      <c r="L42" s="148"/>
      <c r="M42" s="103"/>
      <c r="N42" s="149"/>
      <c r="O42" s="103"/>
      <c r="P42" s="103"/>
      <c r="Q42" s="103"/>
      <c r="R42" s="103"/>
      <c r="S42" s="103"/>
      <c r="T42" s="91"/>
      <c r="U42" s="91"/>
      <c r="V42" s="91"/>
      <c r="W42" s="64"/>
    </row>
    <row r="43" spans="1:23" x14ac:dyDescent="0.25">
      <c r="A43" s="86"/>
      <c r="B43" s="64" t="s">
        <v>313</v>
      </c>
      <c r="C43" s="90"/>
      <c r="D43" s="91"/>
      <c r="E43" s="91"/>
      <c r="F43" s="91"/>
      <c r="G43" s="91"/>
      <c r="H43" s="91"/>
      <c r="I43" s="91"/>
      <c r="J43" s="91"/>
      <c r="K43" s="91"/>
      <c r="L43" s="140"/>
      <c r="M43" s="91"/>
      <c r="N43" s="92"/>
      <c r="O43" s="91"/>
      <c r="P43" s="91"/>
      <c r="Q43" s="91"/>
      <c r="R43" s="91"/>
      <c r="S43" s="91"/>
      <c r="T43" s="91"/>
      <c r="U43" s="91"/>
      <c r="V43" s="91"/>
    </row>
    <row r="44" spans="1:23" x14ac:dyDescent="0.25">
      <c r="A44" s="86"/>
      <c r="B44" s="63" t="s">
        <v>128</v>
      </c>
      <c r="C44" s="90">
        <f>'Model (Matrix)'!C7</f>
        <v>0</v>
      </c>
      <c r="D44" s="91">
        <f>'Model (Matrix)'!D7</f>
        <v>678.82698251173133</v>
      </c>
      <c r="E44" s="91">
        <f>'Model (Matrix)'!E7</f>
        <v>653.65442125901347</v>
      </c>
      <c r="F44" s="91">
        <f>'Model (Matrix)'!F7</f>
        <v>620.64404076919527</v>
      </c>
      <c r="G44" s="91">
        <f>'Model (Matrix)'!G7</f>
        <v>578.57228289485897</v>
      </c>
      <c r="H44" s="91">
        <f>'Model (Matrix)'!H7</f>
        <v>534.34431131872111</v>
      </c>
      <c r="I44" s="91">
        <f>'Model (Matrix)'!I7</f>
        <v>494.81998538709274</v>
      </c>
      <c r="J44" s="91">
        <f>'Model (Matrix)'!J7</f>
        <v>469.77104519511101</v>
      </c>
      <c r="K44" s="91">
        <f>'Model (Matrix)'!K7</f>
        <v>453.89602671087709</v>
      </c>
      <c r="L44" s="140">
        <f>'Model (Matrix)'!L7</f>
        <v>443.83507363488883</v>
      </c>
      <c r="M44" s="91">
        <f>'Model (Matrix)'!M7</f>
        <v>437.45884315063665</v>
      </c>
      <c r="N44" s="92">
        <f>'Model (Matrix)'!N7</f>
        <v>433.41784277212003</v>
      </c>
      <c r="O44" s="91">
        <f>'Model (Matrix)'!O7</f>
        <v>430.85681802568058</v>
      </c>
      <c r="P44" s="91">
        <f>'Model (Matrix)'!P7</f>
        <v>429.23374276274706</v>
      </c>
      <c r="Q44" s="91">
        <f>'Model (Matrix)'!Q7</f>
        <v>428.20510244491754</v>
      </c>
      <c r="R44" s="91">
        <f>'Model (Matrix)'!R7</f>
        <v>427.55319126887514</v>
      </c>
      <c r="S44" s="91">
        <f>'Model (Matrix)'!S7</f>
        <v>427.14003598603949</v>
      </c>
      <c r="T44" s="91">
        <f>'Model (Matrix)'!T7</f>
        <v>426.87819465855785</v>
      </c>
      <c r="U44" s="91">
        <f>'Model (Matrix)'!U7</f>
        <v>426.71225007639794</v>
      </c>
      <c r="V44" s="91">
        <f>'Model (Matrix)'!V7</f>
        <v>426.60708102377714</v>
      </c>
    </row>
    <row r="45" spans="1:23" x14ac:dyDescent="0.25">
      <c r="A45" s="86"/>
      <c r="B45" s="63" t="s">
        <v>129</v>
      </c>
      <c r="C45" s="90">
        <f>'Model (Matrix)'!C8</f>
        <v>0</v>
      </c>
      <c r="D45" s="91">
        <f>'Model (Matrix)'!D8</f>
        <v>147.17794815340628</v>
      </c>
      <c r="E45" s="91">
        <f>'Model (Matrix)'!E8</f>
        <v>100.35145759701955</v>
      </c>
      <c r="F45" s="91">
        <f>'Model (Matrix)'!F8</f>
        <v>78.504800130157122</v>
      </c>
      <c r="G45" s="91">
        <f>'Model (Matrix)'!G8</f>
        <v>77.506285834476714</v>
      </c>
      <c r="H45" s="91">
        <f>'Model (Matrix)'!H8</f>
        <v>74.146481941478953</v>
      </c>
      <c r="I45" s="91">
        <f>'Model (Matrix)'!I8</f>
        <v>69.60232777912708</v>
      </c>
      <c r="J45" s="91">
        <f>'Model (Matrix)'!J8</f>
        <v>64.865976717828303</v>
      </c>
      <c r="K45" s="91">
        <f>'Model (Matrix)'!K8</f>
        <v>61.050879567880287</v>
      </c>
      <c r="L45" s="140">
        <f>'Model (Matrix)'!L8</f>
        <v>58.276644633452051</v>
      </c>
      <c r="M45" s="91">
        <f>'Model (Matrix)'!M8</f>
        <v>56.362300956249484</v>
      </c>
      <c r="N45" s="92">
        <f>'Model (Matrix)'!N8</f>
        <v>55.080653026254367</v>
      </c>
      <c r="O45" s="91">
        <f>'Model (Matrix)'!O8</f>
        <v>54.238421003919754</v>
      </c>
      <c r="P45" s="91">
        <f>'Model (Matrix)'!P8</f>
        <v>53.691514793233068</v>
      </c>
      <c r="Q45" s="91">
        <f>'Model (Matrix)'!Q8</f>
        <v>53.339153277230878</v>
      </c>
      <c r="R45" s="91">
        <f>'Model (Matrix)'!R8</f>
        <v>53.113319463036348</v>
      </c>
      <c r="S45" s="91">
        <f>'Model (Matrix)'!S8</f>
        <v>52.969090385062159</v>
      </c>
      <c r="T45" s="91">
        <f>'Model (Matrix)'!T8</f>
        <v>52.877199772030494</v>
      </c>
      <c r="U45" s="91">
        <f>'Model (Matrix)'!U8</f>
        <v>52.818751117372258</v>
      </c>
      <c r="V45" s="91">
        <f>'Model (Matrix)'!V8</f>
        <v>52.781615784240643</v>
      </c>
    </row>
    <row r="46" spans="1:23" x14ac:dyDescent="0.25">
      <c r="A46" s="86"/>
      <c r="B46" s="63" t="s">
        <v>130</v>
      </c>
      <c r="C46" s="90">
        <f>'Model (Matrix)'!C9</f>
        <v>0</v>
      </c>
      <c r="D46" s="91">
        <f>'Model (Matrix)'!D9</f>
        <v>69.420310194926856</v>
      </c>
      <c r="E46" s="91">
        <f>'Model (Matrix)'!E9</f>
        <v>93.982580148708792</v>
      </c>
      <c r="F46" s="91">
        <f>'Model (Matrix)'!F9</f>
        <v>94.898017258099941</v>
      </c>
      <c r="G46" s="91">
        <f>'Model (Matrix)'!G9</f>
        <v>88.35960996459049</v>
      </c>
      <c r="H46" s="91">
        <f>'Model (Matrix)'!H9</f>
        <v>83.713758060145352</v>
      </c>
      <c r="I46" s="91">
        <f>'Model (Matrix)'!I9</f>
        <v>79.546090322119227</v>
      </c>
      <c r="J46" s="91">
        <f>'Model (Matrix)'!J9</f>
        <v>75.307073511532707</v>
      </c>
      <c r="K46" s="91">
        <f>'Model (Matrix)'!K9</f>
        <v>70.958080193498589</v>
      </c>
      <c r="L46" s="140">
        <f>'Model (Matrix)'!L9</f>
        <v>66.837655334200321</v>
      </c>
      <c r="M46" s="91">
        <f>'Model (Matrix)'!M9</f>
        <v>62.53349457515985</v>
      </c>
      <c r="N46" s="92">
        <f>'Model (Matrix)'!N9</f>
        <v>59.107644433078157</v>
      </c>
      <c r="O46" s="91">
        <f>'Model (Matrix)'!O9</f>
        <v>56.460019770386054</v>
      </c>
      <c r="P46" s="91">
        <f>'Model (Matrix)'!P9</f>
        <v>54.462317378252102</v>
      </c>
      <c r="Q46" s="91">
        <f>'Model (Matrix)'!Q9</f>
        <v>52.983961244426702</v>
      </c>
      <c r="R46" s="91">
        <f>'Model (Matrix)'!R9</f>
        <v>51.907057515973143</v>
      </c>
      <c r="S46" s="91">
        <f>'Model (Matrix)'!S9</f>
        <v>51.132675095641389</v>
      </c>
      <c r="T46" s="91">
        <f>'Model (Matrix)'!T9</f>
        <v>50.581769451157683</v>
      </c>
      <c r="U46" s="91">
        <f>'Model (Matrix)'!U9</f>
        <v>50.193351796807811</v>
      </c>
      <c r="V46" s="91">
        <f>'Model (Matrix)'!V9</f>
        <v>49.92156946167492</v>
      </c>
    </row>
    <row r="47" spans="1:23" x14ac:dyDescent="0.25">
      <c r="A47" s="86"/>
      <c r="B47" s="63" t="s">
        <v>131</v>
      </c>
      <c r="C47" s="90">
        <f>'Model (Matrix)'!C10</f>
        <v>0</v>
      </c>
      <c r="D47" s="91">
        <f>'Model (Matrix)'!D10</f>
        <v>895.42524086006449</v>
      </c>
      <c r="E47" s="91">
        <f>'Model (Matrix)'!E10</f>
        <v>847.9884590047418</v>
      </c>
      <c r="F47" s="91">
        <f>'Model (Matrix)'!F10</f>
        <v>794.04685815745233</v>
      </c>
      <c r="G47" s="91">
        <f>'Model (Matrix)'!G10</f>
        <v>744.43817869392615</v>
      </c>
      <c r="H47" s="91">
        <f>'Model (Matrix)'!H10</f>
        <v>692.20455132034533</v>
      </c>
      <c r="I47" s="91">
        <f>'Model (Matrix)'!I10</f>
        <v>643.96840348833905</v>
      </c>
      <c r="J47" s="91">
        <f>'Model (Matrix)'!J10</f>
        <v>609.94409542447204</v>
      </c>
      <c r="K47" s="91">
        <f>'Model (Matrix)'!K10</f>
        <v>585.90498647225604</v>
      </c>
      <c r="L47" s="140">
        <f>'Model (Matrix)'!L10</f>
        <v>568.94937360254119</v>
      </c>
      <c r="M47" s="91">
        <f>'Model (Matrix)'!M10</f>
        <v>556.35463868204602</v>
      </c>
      <c r="N47" s="92">
        <f>'Model (Matrix)'!N10</f>
        <v>547.60614023145251</v>
      </c>
      <c r="O47" s="91">
        <f>'Model (Matrix)'!O10</f>
        <v>541.5552587999864</v>
      </c>
      <c r="P47" s="91">
        <f>'Model (Matrix)'!P10</f>
        <v>537.38757493423225</v>
      </c>
      <c r="Q47" s="91">
        <f>'Model (Matrix)'!Q10</f>
        <v>534.52821696657509</v>
      </c>
      <c r="R47" s="91">
        <f>'Model (Matrix)'!R10</f>
        <v>532.57356824788462</v>
      </c>
      <c r="S47" s="91">
        <f>'Model (Matrix)'!S10</f>
        <v>531.24180146674303</v>
      </c>
      <c r="T47" s="91">
        <f>'Model (Matrix)'!T10</f>
        <v>530.33716388174605</v>
      </c>
      <c r="U47" s="91">
        <f>'Model (Matrix)'!U10</f>
        <v>529.72435299057804</v>
      </c>
      <c r="V47" s="91">
        <f>'Model (Matrix)'!V10</f>
        <v>529.31026626969276</v>
      </c>
    </row>
    <row r="48" spans="1:23" x14ac:dyDescent="0.25">
      <c r="A48" s="86"/>
      <c r="B48" s="63" t="s">
        <v>303</v>
      </c>
      <c r="C48" s="90">
        <f>SUM($C$47:C47)</f>
        <v>0</v>
      </c>
      <c r="D48" s="91">
        <f>SUM($C$47:D47)</f>
        <v>895.42524086006449</v>
      </c>
      <c r="E48" s="91">
        <f>SUM($C$47:E47)</f>
        <v>1743.4136998648064</v>
      </c>
      <c r="F48" s="91">
        <f>SUM($C$47:F47)</f>
        <v>2537.4605580222587</v>
      </c>
      <c r="G48" s="91">
        <f>SUM($C$47:G47)</f>
        <v>3281.8987367161849</v>
      </c>
      <c r="H48" s="91">
        <f>SUM($C$47:H47)</f>
        <v>3974.1032880365301</v>
      </c>
      <c r="I48" s="91">
        <f>SUM($C$47:I47)</f>
        <v>4618.0716915248695</v>
      </c>
      <c r="J48" s="91">
        <f>SUM($C$47:J47)</f>
        <v>5228.0157869493414</v>
      </c>
      <c r="K48" s="91">
        <f>SUM($C$47:K47)</f>
        <v>5813.9207734215979</v>
      </c>
      <c r="L48" s="140">
        <f>SUM($C$47:L47)</f>
        <v>6382.8701470241394</v>
      </c>
      <c r="M48" s="91">
        <f>SUM($C$47:M47)</f>
        <v>6939.2247857061857</v>
      </c>
      <c r="N48" s="92">
        <f>SUM($C$47:N47)</f>
        <v>7486.8309259376383</v>
      </c>
      <c r="O48" s="91">
        <f>SUM($C$47:O47)</f>
        <v>8028.3861847376247</v>
      </c>
      <c r="P48" s="91">
        <f>SUM($C$47:P47)</f>
        <v>8565.7737596718562</v>
      </c>
      <c r="Q48" s="91">
        <f>SUM($C$47:Q47)</f>
        <v>9100.3019766384314</v>
      </c>
      <c r="R48" s="91">
        <f>SUM($C$47:R47)</f>
        <v>9632.8755448863158</v>
      </c>
      <c r="S48" s="91">
        <f>SUM($C$47:S47)</f>
        <v>10164.117346353059</v>
      </c>
      <c r="T48" s="91">
        <f>SUM($C$47:T47)</f>
        <v>10694.454510234806</v>
      </c>
      <c r="U48" s="91">
        <f>SUM($C$47:U47)</f>
        <v>11224.178863225383</v>
      </c>
      <c r="V48" s="91">
        <f>SUM($C$47:V47)</f>
        <v>11753.489129495076</v>
      </c>
    </row>
    <row r="49" spans="1:22" x14ac:dyDescent="0.25">
      <c r="A49" s="86"/>
      <c r="B49" s="63" t="s">
        <v>314</v>
      </c>
      <c r="C49" s="90"/>
      <c r="D49" s="91"/>
      <c r="E49" s="91"/>
      <c r="F49" s="91"/>
      <c r="G49" s="91"/>
      <c r="H49" s="91"/>
      <c r="I49" s="91"/>
      <c r="J49" s="91"/>
      <c r="K49" s="91"/>
      <c r="L49" s="140"/>
      <c r="M49" s="91"/>
      <c r="N49" s="92"/>
      <c r="O49" s="91"/>
      <c r="P49" s="91"/>
      <c r="Q49" s="91"/>
      <c r="R49" s="91"/>
      <c r="S49" s="91"/>
      <c r="T49" s="91"/>
      <c r="U49" s="91"/>
      <c r="V49" s="91"/>
    </row>
    <row r="50" spans="1:22" x14ac:dyDescent="0.25">
      <c r="A50" s="86"/>
      <c r="B50" s="63" t="s">
        <v>128</v>
      </c>
      <c r="C50" s="90">
        <f>'Model (Matrix)'!C25</f>
        <v>0</v>
      </c>
      <c r="D50" s="91">
        <f>'Model (Matrix)'!D25</f>
        <v>696.47284939598728</v>
      </c>
      <c r="E50" s="91">
        <f>'Model (Matrix)'!E25</f>
        <v>571.73374031171625</v>
      </c>
      <c r="F50" s="91">
        <f>'Model (Matrix)'!F25</f>
        <v>498.90519829245574</v>
      </c>
      <c r="G50" s="91">
        <f>'Model (Matrix)'!G25</f>
        <v>427.19639802764556</v>
      </c>
      <c r="H50" s="91">
        <f>'Model (Matrix)'!H25</f>
        <v>380.25164623917868</v>
      </c>
      <c r="I50" s="91">
        <f>'Model (Matrix)'!I25</f>
        <v>344.40115857025069</v>
      </c>
      <c r="J50" s="91">
        <f>'Model (Matrix)'!J25</f>
        <v>315.25987298583067</v>
      </c>
      <c r="K50" s="91">
        <f>'Model (Matrix)'!K25</f>
        <v>293.74336184387477</v>
      </c>
      <c r="L50" s="140">
        <f>'Model (Matrix)'!L25</f>
        <v>278.66018957063204</v>
      </c>
      <c r="M50" s="91">
        <f>'Model (Matrix)'!M25</f>
        <v>268.41424238169776</v>
      </c>
      <c r="N50" s="92">
        <f>'Model (Matrix)'!N25</f>
        <v>261.59472619782514</v>
      </c>
      <c r="O50" s="91">
        <f>'Model (Matrix)'!O25</f>
        <v>257.11801441716091</v>
      </c>
      <c r="P50" s="91">
        <f>'Model (Matrix)'!P25</f>
        <v>254.20738089426655</v>
      </c>
      <c r="Q50" s="91">
        <f>'Model (Matrix)'!Q25</f>
        <v>252.32785988633586</v>
      </c>
      <c r="R50" s="91">
        <f>'Model (Matrix)'!R25</f>
        <v>251.12013789413263</v>
      </c>
      <c r="S50" s="91">
        <f>'Model (Matrix)'!S25</f>
        <v>250.3468724018916</v>
      </c>
      <c r="T50" s="91">
        <f>'Model (Matrix)'!T25</f>
        <v>249.85307665403374</v>
      </c>
      <c r="U50" s="91">
        <f>'Model (Matrix)'!U25</f>
        <v>249.53835752125505</v>
      </c>
      <c r="V50" s="91">
        <f>'Model (Matrix)'!V25</f>
        <v>249.3380603480002</v>
      </c>
    </row>
    <row r="51" spans="1:22" x14ac:dyDescent="0.25">
      <c r="A51" s="86"/>
      <c r="B51" s="63" t="s">
        <v>151</v>
      </c>
      <c r="C51" s="90">
        <f>'Model (Matrix)'!C26</f>
        <v>0</v>
      </c>
      <c r="D51" s="91">
        <f>'Model (Matrix)'!D26</f>
        <v>167.40401679576206</v>
      </c>
      <c r="E51" s="91">
        <f>'Model (Matrix)'!E26</f>
        <v>195.06147087926163</v>
      </c>
      <c r="F51" s="91">
        <f>'Model (Matrix)'!F26</f>
        <v>177.44633220150482</v>
      </c>
      <c r="G51" s="91">
        <f>'Model (Matrix)'!G26</f>
        <v>184.99697952303475</v>
      </c>
      <c r="H51" s="91">
        <f>'Model (Matrix)'!H26</f>
        <v>175.63582887365553</v>
      </c>
      <c r="I51" s="91">
        <f>'Model (Matrix)'!I26</f>
        <v>162.98240926212617</v>
      </c>
      <c r="J51" s="91">
        <f>'Model (Matrix)'!J26</f>
        <v>150.59256851597934</v>
      </c>
      <c r="K51" s="91">
        <f>'Model (Matrix)'!K26</f>
        <v>140.37930590569405</v>
      </c>
      <c r="L51" s="140">
        <f>'Model (Matrix)'!L26</f>
        <v>132.72813335947259</v>
      </c>
      <c r="M51" s="91">
        <f>'Model (Matrix)'!M26</f>
        <v>127.31307284955355</v>
      </c>
      <c r="N51" s="92">
        <f>'Model (Matrix)'!N26</f>
        <v>123.61468997628187</v>
      </c>
      <c r="O51" s="91">
        <f>'Model (Matrix)'!O26</f>
        <v>121.14662431064193</v>
      </c>
      <c r="P51" s="91">
        <f>'Model (Matrix)'!P26</f>
        <v>119.52492471767081</v>
      </c>
      <c r="Q51" s="91">
        <f>'Model (Matrix)'!Q26</f>
        <v>118.4705649403399</v>
      </c>
      <c r="R51" s="91">
        <f>'Model (Matrix)'!R26</f>
        <v>117.79007588468561</v>
      </c>
      <c r="S51" s="91">
        <f>'Model (Matrix)'!S26</f>
        <v>117.35313974708392</v>
      </c>
      <c r="T51" s="91">
        <f>'Model (Matrix)'!T26</f>
        <v>117.07360763628164</v>
      </c>
      <c r="U51" s="91">
        <f>'Model (Matrix)'!U26</f>
        <v>116.89523994903952</v>
      </c>
      <c r="V51" s="91">
        <f>'Model (Matrix)'!V26</f>
        <v>116.78163678303069</v>
      </c>
    </row>
    <row r="52" spans="1:22" x14ac:dyDescent="0.25">
      <c r="A52" s="86"/>
      <c r="B52" s="63" t="s">
        <v>304</v>
      </c>
      <c r="C52" s="90">
        <f>'Model (Matrix)'!C27+'Model (Matrix)'!C28</f>
        <v>0</v>
      </c>
      <c r="D52" s="91">
        <f>'Model (Matrix)'!D27+'Model (Matrix)'!D28</f>
        <v>2.5239623826033184</v>
      </c>
      <c r="E52" s="91">
        <f>'Model (Matrix)'!E27+'Model (Matrix)'!E28</f>
        <v>12.743505062988435</v>
      </c>
      <c r="F52" s="91">
        <f>'Model (Matrix)'!F27+'Model (Matrix)'!F28</f>
        <v>25.43523326816139</v>
      </c>
      <c r="G52" s="91">
        <f>'Model (Matrix)'!G27+'Model (Matrix)'!G28</f>
        <v>38.695505913982032</v>
      </c>
      <c r="H52" s="91">
        <f>'Model (Matrix)'!H27+'Model (Matrix)'!H28</f>
        <v>52.184320541082002</v>
      </c>
      <c r="I52" s="91">
        <f>'Model (Matrix)'!I27+'Model (Matrix)'!I28</f>
        <v>65.244224058306074</v>
      </c>
      <c r="J52" s="91">
        <f>'Model (Matrix)'!J27+'Model (Matrix)'!J28</f>
        <v>77.543051137495183</v>
      </c>
      <c r="K52" s="91">
        <f>'Model (Matrix)'!K27+'Model (Matrix)'!K28</f>
        <v>88.954769868686171</v>
      </c>
      <c r="L52" s="140">
        <f>'Model (Matrix)'!L27+'Model (Matrix)'!L28</f>
        <v>99.493018551547095</v>
      </c>
      <c r="M52" s="91">
        <f>'Model (Matrix)'!M27+'Model (Matrix)'!M28</f>
        <v>110.19066317543377</v>
      </c>
      <c r="N52" s="92">
        <f>'Model (Matrix)'!N27+'Model (Matrix)'!N28</f>
        <v>119.88952346516591</v>
      </c>
      <c r="O52" s="91">
        <f>'Model (Matrix)'!O27+'Model (Matrix)'!O28</f>
        <v>128.88601497003771</v>
      </c>
      <c r="P52" s="91">
        <f>'Model (Matrix)'!P27+'Model (Matrix)'!P28</f>
        <v>137.36714080210103</v>
      </c>
      <c r="Q52" s="91">
        <f>'Model (Matrix)'!Q27+'Model (Matrix)'!Q28</f>
        <v>145.46011471285178</v>
      </c>
      <c r="R52" s="91">
        <f>'Model (Matrix)'!R27+'Model (Matrix)'!R28</f>
        <v>153.25478978078326</v>
      </c>
      <c r="S52" s="91">
        <f>'Model (Matrix)'!S27+'Model (Matrix)'!S28</f>
        <v>160.81551942577613</v>
      </c>
      <c r="T52" s="91">
        <f>'Model (Matrix)'!T27+'Model (Matrix)'!T28</f>
        <v>168.18849370547446</v>
      </c>
      <c r="U52" s="91">
        <f>'Model (Matrix)'!U27+'Model (Matrix)'!U28</f>
        <v>175.40678436238184</v>
      </c>
      <c r="V52" s="91">
        <f>'Model (Matrix)'!V27+'Model (Matrix)'!V28</f>
        <v>182.49399217250334</v>
      </c>
    </row>
    <row r="53" spans="1:22" x14ac:dyDescent="0.25">
      <c r="A53" s="86"/>
      <c r="B53" s="64" t="s">
        <v>130</v>
      </c>
      <c r="C53" s="90">
        <f>'Model (Matrix)'!C34</f>
        <v>0</v>
      </c>
      <c r="D53" s="91">
        <f>'Model (Matrix)'!D34</f>
        <v>39.827492363014017</v>
      </c>
      <c r="E53" s="91">
        <f>'Model (Matrix)'!E34</f>
        <v>71.529399871096047</v>
      </c>
      <c r="F53" s="91">
        <f>'Model (Matrix)'!F34</f>
        <v>99.164777116126587</v>
      </c>
      <c r="G53" s="91">
        <f>'Model (Matrix)'!G34</f>
        <v>109.15354827790385</v>
      </c>
      <c r="H53" s="91">
        <f>'Model (Matrix)'!H34</f>
        <v>114.05196090851688</v>
      </c>
      <c r="I53" s="91">
        <f>'Model (Matrix)'!I34</f>
        <v>114.02594070574465</v>
      </c>
      <c r="J53" s="91">
        <f>'Model (Matrix)'!J34</f>
        <v>111.31125348073729</v>
      </c>
      <c r="K53" s="91">
        <f>'Model (Matrix)'!K34</f>
        <v>107.3857062607571</v>
      </c>
      <c r="L53" s="140">
        <f>'Model (Matrix)'!L34</f>
        <v>103.24802466926727</v>
      </c>
      <c r="M53" s="91">
        <f>'Model (Matrix)'!M34</f>
        <v>95.345157925187507</v>
      </c>
      <c r="N53" s="92">
        <f>'Model (Matrix)'!N34</f>
        <v>90.671718449039233</v>
      </c>
      <c r="O53" s="91">
        <f>'Model (Matrix)'!O34</f>
        <v>87.80901919985466</v>
      </c>
      <c r="P53" s="91">
        <f>'Model (Matrix)'!P34</f>
        <v>86.090037457562445</v>
      </c>
      <c r="Q53" s="91">
        <f>'Model (Matrix)'!Q34</f>
        <v>85.149818105409324</v>
      </c>
      <c r="R53" s="91">
        <f>'Model (Matrix)'!R34</f>
        <v>84.758725380376404</v>
      </c>
      <c r="S53" s="91">
        <f>'Model (Matrix)'!S34</f>
        <v>84.758604994710055</v>
      </c>
      <c r="T53" s="91">
        <f>'Model (Matrix)'!T34</f>
        <v>85.035858821858071</v>
      </c>
      <c r="U53" s="91">
        <f>'Model (Matrix)'!U34</f>
        <v>85.507890464768778</v>
      </c>
      <c r="V53" s="91">
        <f>'Model (Matrix)'!V34</f>
        <v>86.114770047734666</v>
      </c>
    </row>
    <row r="54" spans="1:22" x14ac:dyDescent="0.25">
      <c r="A54" s="86"/>
      <c r="B54" s="98" t="s">
        <v>131</v>
      </c>
      <c r="C54" s="90">
        <f>'Model (Matrix)'!C35</f>
        <v>0</v>
      </c>
      <c r="D54" s="91">
        <f>'Model (Matrix)'!D35</f>
        <v>906.22832093736668</v>
      </c>
      <c r="E54" s="91">
        <f>'Model (Matrix)'!E35</f>
        <v>851.06811612506226</v>
      </c>
      <c r="F54" s="91">
        <f>'Model (Matrix)'!F35</f>
        <v>800.95154087824858</v>
      </c>
      <c r="G54" s="91">
        <f>'Model (Matrix)'!G35</f>
        <v>760.04243174256624</v>
      </c>
      <c r="H54" s="91">
        <f>'Model (Matrix)'!H35</f>
        <v>722.12375656243307</v>
      </c>
      <c r="I54" s="91">
        <f>'Model (Matrix)'!I35</f>
        <v>686.65373259642763</v>
      </c>
      <c r="J54" s="91">
        <f>'Model (Matrix)'!J35</f>
        <v>654.70674612004245</v>
      </c>
      <c r="K54" s="91">
        <f>'Model (Matrix)'!K35</f>
        <v>630.46314387901202</v>
      </c>
      <c r="L54" s="140">
        <f>'Model (Matrix)'!L35</f>
        <v>614.12936615091905</v>
      </c>
      <c r="M54" s="91">
        <f>'Model (Matrix)'!M35</f>
        <v>601.2631363318726</v>
      </c>
      <c r="N54" s="92">
        <f>'Model (Matrix)'!N35</f>
        <v>595.77065808831208</v>
      </c>
      <c r="O54" s="91">
        <f>'Model (Matrix)'!O35</f>
        <v>594.95967289769521</v>
      </c>
      <c r="P54" s="91">
        <f>'Model (Matrix)'!P35</f>
        <v>597.18948387160083</v>
      </c>
      <c r="Q54" s="91">
        <f>'Model (Matrix)'!Q35</f>
        <v>601.40835764493681</v>
      </c>
      <c r="R54" s="91">
        <f>'Model (Matrix)'!R35</f>
        <v>606.92372893997788</v>
      </c>
      <c r="S54" s="91">
        <f>'Model (Matrix)'!S35</f>
        <v>613.27413656946169</v>
      </c>
      <c r="T54" s="91">
        <f>'Model (Matrix)'!T35</f>
        <v>620.15103681764788</v>
      </c>
      <c r="U54" s="91">
        <f>'Model (Matrix)'!U35</f>
        <v>627.34827229744519</v>
      </c>
      <c r="V54" s="91">
        <f>'Model (Matrix)'!V35</f>
        <v>634.72845935126884</v>
      </c>
    </row>
    <row r="55" spans="1:22" x14ac:dyDescent="0.25">
      <c r="A55" s="86"/>
      <c r="B55" s="63" t="s">
        <v>303</v>
      </c>
      <c r="C55" s="90">
        <f>SUM($C$54:C54)</f>
        <v>0</v>
      </c>
      <c r="D55" s="91">
        <f>SUM($C$54:D54)</f>
        <v>906.22832093736668</v>
      </c>
      <c r="E55" s="91">
        <f>SUM($C$54:E54)</f>
        <v>1757.296437062429</v>
      </c>
      <c r="F55" s="91">
        <f>SUM($C$54:F54)</f>
        <v>2558.2479779406776</v>
      </c>
      <c r="G55" s="91">
        <f>SUM($C$54:G54)</f>
        <v>3318.290409683244</v>
      </c>
      <c r="H55" s="91">
        <f>SUM($C$54:H54)</f>
        <v>4040.4141662456768</v>
      </c>
      <c r="I55" s="91">
        <f>SUM($C$54:I54)</f>
        <v>4727.0678988421041</v>
      </c>
      <c r="J55" s="91">
        <f>SUM($C$54:J54)</f>
        <v>5381.7746449621463</v>
      </c>
      <c r="K55" s="91">
        <f>SUM($C$54:K54)</f>
        <v>6012.2377888411584</v>
      </c>
      <c r="L55" s="140">
        <f>SUM($C$54:L54)</f>
        <v>6626.3671549920773</v>
      </c>
      <c r="M55" s="91">
        <f>SUM($C$54:M54)</f>
        <v>7227.6302913239497</v>
      </c>
      <c r="N55" s="92">
        <f>SUM($C$54:N54)</f>
        <v>7823.400949412262</v>
      </c>
      <c r="O55" s="91">
        <f>SUM($C$54:O54)</f>
        <v>8418.3606223099578</v>
      </c>
      <c r="P55" s="91">
        <f>SUM($C$54:P54)</f>
        <v>9015.5501061815594</v>
      </c>
      <c r="Q55" s="91">
        <f>SUM($C$54:Q54)</f>
        <v>9616.9584638264969</v>
      </c>
      <c r="R55" s="91">
        <f>SUM($C$54:R54)</f>
        <v>10223.882192766474</v>
      </c>
      <c r="S55" s="91">
        <f>SUM($C$54:S54)</f>
        <v>10837.156329335936</v>
      </c>
      <c r="T55" s="91">
        <f>SUM($C$54:T54)</f>
        <v>11457.307366153584</v>
      </c>
      <c r="U55" s="91">
        <f>SUM($C$54:U54)</f>
        <v>12084.65563845103</v>
      </c>
      <c r="V55" s="91">
        <f>SUM($C$54:V54)</f>
        <v>12719.384097802298</v>
      </c>
    </row>
    <row r="56" spans="1:22" x14ac:dyDescent="0.25">
      <c r="A56" s="86"/>
      <c r="B56" s="63" t="s">
        <v>315</v>
      </c>
      <c r="C56" s="90"/>
      <c r="D56" s="91"/>
      <c r="E56" s="91"/>
      <c r="F56" s="91"/>
      <c r="G56" s="91"/>
      <c r="H56" s="91"/>
      <c r="I56" s="91"/>
      <c r="J56" s="91"/>
      <c r="K56" s="91"/>
      <c r="L56" s="140"/>
      <c r="M56" s="91"/>
      <c r="N56" s="92"/>
      <c r="O56" s="91"/>
      <c r="P56" s="91"/>
      <c r="Q56" s="91"/>
      <c r="R56" s="91"/>
      <c r="S56" s="91"/>
      <c r="T56" s="91"/>
      <c r="U56" s="91"/>
      <c r="V56" s="91"/>
    </row>
    <row r="57" spans="1:22" x14ac:dyDescent="0.25">
      <c r="A57" s="86"/>
      <c r="B57" s="63" t="s">
        <v>128</v>
      </c>
      <c r="C57" s="90">
        <f>'Model (Matrix)'!C55</f>
        <v>0</v>
      </c>
      <c r="D57" s="91">
        <f>'Model (Matrix)'!D55</f>
        <v>8291.4514192246461</v>
      </c>
      <c r="E57" s="91">
        <f>'Model (Matrix)'!E55</f>
        <v>6757.3862396571913</v>
      </c>
      <c r="F57" s="91">
        <f>'Model (Matrix)'!F55</f>
        <v>5525.3470112934265</v>
      </c>
      <c r="G57" s="91">
        <f>'Model (Matrix)'!G55</f>
        <v>2584.7075976794995</v>
      </c>
      <c r="H57" s="91">
        <f>'Model (Matrix)'!H55</f>
        <v>2064.9718723029118</v>
      </c>
      <c r="I57" s="91">
        <f>'Model (Matrix)'!I55</f>
        <v>1821.7744953449489</v>
      </c>
      <c r="J57" s="91">
        <f>'Model (Matrix)'!J55</f>
        <v>1646.6658904714491</v>
      </c>
      <c r="K57" s="91">
        <f>'Model (Matrix)'!K55</f>
        <v>1505.8868342298567</v>
      </c>
      <c r="L57" s="140">
        <f>'Model (Matrix)'!L55</f>
        <v>1401.1491224901522</v>
      </c>
      <c r="M57" s="91">
        <f>'Model (Matrix)'!M55</f>
        <v>1327.3096461539492</v>
      </c>
      <c r="N57" s="92">
        <f>'Model (Matrix)'!N55</f>
        <v>1276.9648743820155</v>
      </c>
      <c r="O57" s="91">
        <f>'Model (Matrix)'!O55</f>
        <v>1243.3735400811897</v>
      </c>
      <c r="P57" s="91">
        <f>'Model (Matrix)'!P55</f>
        <v>1221.2848660578768</v>
      </c>
      <c r="Q57" s="91">
        <f>'Model (Matrix)'!Q55</f>
        <v>1206.9062620556531</v>
      </c>
      <c r="R57" s="91">
        <f>'Model (Matrix)'!R55</f>
        <v>1197.6134386918727</v>
      </c>
      <c r="S57" s="91">
        <f>'Model (Matrix)'!S55</f>
        <v>1191.6384582476935</v>
      </c>
      <c r="T57" s="91">
        <f>'Model (Matrix)'!T55</f>
        <v>1187.8111384127565</v>
      </c>
      <c r="U57" s="91">
        <f>'Model (Matrix)'!U55</f>
        <v>1185.3662553835575</v>
      </c>
      <c r="V57" s="91">
        <f>'Model (Matrix)'!V55</f>
        <v>1183.8076335644969</v>
      </c>
    </row>
    <row r="58" spans="1:22" x14ac:dyDescent="0.25">
      <c r="A58" s="86"/>
      <c r="B58" s="63" t="s">
        <v>151</v>
      </c>
      <c r="C58" s="90">
        <f>'Model (Matrix)'!C56</f>
        <v>0</v>
      </c>
      <c r="D58" s="91">
        <f>'Model (Matrix)'!D56</f>
        <v>1534.1272679265815</v>
      </c>
      <c r="E58" s="91">
        <f>'Model (Matrix)'!E56</f>
        <v>2492.4986453174415</v>
      </c>
      <c r="F58" s="91">
        <f>'Model (Matrix)'!F56</f>
        <v>3110.1003015807946</v>
      </c>
      <c r="G58" s="91">
        <f>'Model (Matrix)'!G56</f>
        <v>4430.0252643143394</v>
      </c>
      <c r="H58" s="91">
        <f>'Model (Matrix)'!H56</f>
        <v>3136.8392336298898</v>
      </c>
      <c r="I58" s="91">
        <f>'Model (Matrix)'!I56</f>
        <v>2588.5365337229086</v>
      </c>
      <c r="J58" s="91">
        <f>'Model (Matrix)'!J56</f>
        <v>2309.3040382403392</v>
      </c>
      <c r="K58" s="91">
        <f>'Model (Matrix)'!K56</f>
        <v>2103.4576612612941</v>
      </c>
      <c r="L58" s="140">
        <f>'Model (Matrix)'!L56</f>
        <v>1941.7533823079323</v>
      </c>
      <c r="M58" s="91">
        <f>'Model (Matrix)'!M56</f>
        <v>1821.4224745470194</v>
      </c>
      <c r="N58" s="92">
        <f>'Model (Matrix)'!N56</f>
        <v>1736.246161476425</v>
      </c>
      <c r="O58" s="91">
        <f>'Model (Matrix)'!O56</f>
        <v>1677.9849172568872</v>
      </c>
      <c r="P58" s="91">
        <f>'Model (Matrix)'!P56</f>
        <v>1639.0338678314226</v>
      </c>
      <c r="Q58" s="91">
        <f>'Model (Matrix)'!Q56</f>
        <v>1613.3925719400424</v>
      </c>
      <c r="R58" s="91">
        <f>'Model (Matrix)'!R56</f>
        <v>1596.6924966707682</v>
      </c>
      <c r="S58" s="91">
        <f>'Model (Matrix)'!S56</f>
        <v>1585.8972252451128</v>
      </c>
      <c r="T58" s="91">
        <f>'Model (Matrix)'!T56</f>
        <v>1578.9561969379467</v>
      </c>
      <c r="U58" s="91">
        <f>'Model (Matrix)'!U56</f>
        <v>1574.5104911646447</v>
      </c>
      <c r="V58" s="91">
        <f>'Model (Matrix)'!V56</f>
        <v>1571.670978569178</v>
      </c>
    </row>
    <row r="59" spans="1:22" x14ac:dyDescent="0.25">
      <c r="A59" s="86"/>
      <c r="B59" s="63" t="s">
        <v>152</v>
      </c>
      <c r="C59" s="90">
        <f>'Model (Matrix)'!C57</f>
        <v>0</v>
      </c>
      <c r="D59" s="91">
        <f>'Model (Matrix)'!D57</f>
        <v>369.6473769348425</v>
      </c>
      <c r="E59" s="91">
        <f>'Model (Matrix)'!E57</f>
        <v>456.70525035766394</v>
      </c>
      <c r="F59" s="91">
        <f>'Model (Matrix)'!F57</f>
        <v>367.39591182522867</v>
      </c>
      <c r="G59" s="91">
        <f>'Model (Matrix)'!G57</f>
        <v>684.02441874525584</v>
      </c>
      <c r="H59" s="91">
        <f>'Model (Matrix)'!H57</f>
        <v>902.43448620715935</v>
      </c>
      <c r="I59" s="91">
        <f>'Model (Matrix)'!I57</f>
        <v>707.4302616512739</v>
      </c>
      <c r="J59" s="91">
        <f>'Model (Matrix)'!J57</f>
        <v>606.68129856185863</v>
      </c>
      <c r="K59" s="91">
        <f>'Model (Matrix)'!K57</f>
        <v>549.40131663720319</v>
      </c>
      <c r="L59" s="140">
        <f>'Model (Matrix)'!L57</f>
        <v>506.15426910182197</v>
      </c>
      <c r="M59" s="91">
        <f>'Model (Matrix)'!M57</f>
        <v>481.76718099433941</v>
      </c>
      <c r="N59" s="92">
        <f>'Model (Matrix)'!N57</f>
        <v>451.64247592660496</v>
      </c>
      <c r="O59" s="91">
        <f>'Model (Matrix)'!O57</f>
        <v>432.02001009814546</v>
      </c>
      <c r="P59" s="91">
        <f>'Model (Matrix)'!P57</f>
        <v>419.1364873472217</v>
      </c>
      <c r="Q59" s="91">
        <f>'Model (Matrix)'!Q57</f>
        <v>410.84958767519959</v>
      </c>
      <c r="R59" s="91">
        <f>'Model (Matrix)'!R57</f>
        <v>405.65794896259666</v>
      </c>
      <c r="S59" s="91">
        <f>'Model (Matrix)'!S57</f>
        <v>402.52740845878793</v>
      </c>
      <c r="T59" s="91">
        <f>'Model (Matrix)'!T57</f>
        <v>400.75411820332806</v>
      </c>
      <c r="U59" s="91">
        <f>'Model (Matrix)'!U57</f>
        <v>399.86480512491778</v>
      </c>
      <c r="V59" s="91">
        <f>'Model (Matrix)'!V57</f>
        <v>399.54456010639467</v>
      </c>
    </row>
    <row r="60" spans="1:22" x14ac:dyDescent="0.25">
      <c r="A60" s="86"/>
      <c r="B60" s="63" t="s">
        <v>153</v>
      </c>
      <c r="C60" s="90">
        <f>'Model (Matrix)'!C58</f>
        <v>0</v>
      </c>
      <c r="D60" s="91">
        <f>'Model (Matrix)'!D58</f>
        <v>0</v>
      </c>
      <c r="E60" s="91">
        <f>'Model (Matrix)'!E58</f>
        <v>52.849003591907035</v>
      </c>
      <c r="F60" s="91">
        <f>'Model (Matrix)'!F58</f>
        <v>114.59615335907783</v>
      </c>
      <c r="G60" s="91">
        <f>'Model (Matrix)'!G58</f>
        <v>159.42850001010981</v>
      </c>
      <c r="H60" s="91">
        <f>'Model (Matrix)'!H58</f>
        <v>246.51932072063343</v>
      </c>
      <c r="I60" s="91">
        <f>'Model (Matrix)'!I58</f>
        <v>358.98866739840963</v>
      </c>
      <c r="J60" s="91">
        <f>'Model (Matrix)'!J58</f>
        <v>436.02603315182904</v>
      </c>
      <c r="K60" s="91">
        <f>'Model (Matrix)'!K58</f>
        <v>493.48636798043327</v>
      </c>
      <c r="L60" s="140">
        <f>'Model (Matrix)'!L58</f>
        <v>538.89902748731265</v>
      </c>
      <c r="M60" s="91">
        <f>'Model (Matrix)'!M58</f>
        <v>575.0792824830055</v>
      </c>
      <c r="N60" s="92">
        <f>'Model (Matrix)'!N58</f>
        <v>605.34349396542405</v>
      </c>
      <c r="O60" s="91">
        <f>'Model (Matrix)'!O58</f>
        <v>629.26859002252831</v>
      </c>
      <c r="P60" s="91">
        <f>'Model (Matrix)'!P58</f>
        <v>648.78174165886389</v>
      </c>
      <c r="Q60" s="91">
        <f>'Model (Matrix)'!Q58</f>
        <v>665.1426728392928</v>
      </c>
      <c r="R60" s="91">
        <f>'Model (Matrix)'!R58</f>
        <v>679.22023063746053</v>
      </c>
      <c r="S60" s="91">
        <f>'Model (Matrix)'!S58</f>
        <v>691.61027000378965</v>
      </c>
      <c r="T60" s="91">
        <f>'Model (Matrix)'!T58</f>
        <v>702.72078045403327</v>
      </c>
      <c r="U60" s="91">
        <f>'Model (Matrix)'!U58</f>
        <v>712.83172619537618</v>
      </c>
      <c r="V60" s="91">
        <f>'Model (Matrix)'!V58</f>
        <v>722.13660822776478</v>
      </c>
    </row>
    <row r="61" spans="1:22" x14ac:dyDescent="0.25">
      <c r="A61" s="82"/>
      <c r="B61" s="153" t="s">
        <v>142</v>
      </c>
      <c r="C61" s="90">
        <f>'Model (Matrix)'!C59</f>
        <v>0</v>
      </c>
      <c r="D61" s="91">
        <f>'Model (Matrix)'!D59</f>
        <v>0</v>
      </c>
      <c r="E61" s="91">
        <f>'Model (Matrix)'!E59</f>
        <v>4.4989353205405909</v>
      </c>
      <c r="F61" s="91">
        <f>'Model (Matrix)'!F59</f>
        <v>22.711227840025519</v>
      </c>
      <c r="G61" s="91">
        <f>'Model (Matrix)'!G59</f>
        <v>55.766425580678863</v>
      </c>
      <c r="H61" s="91">
        <f>'Model (Matrix)'!H59</f>
        <v>98.236082085331319</v>
      </c>
      <c r="I61" s="91">
        <f>'Model (Matrix)'!I59</f>
        <v>154.04366825719995</v>
      </c>
      <c r="J61" s="91">
        <f>'Model (Matrix)'!J59</f>
        <v>216.463194978232</v>
      </c>
      <c r="K61" s="91">
        <f>'Model (Matrix)'!K59</f>
        <v>278.95880657602737</v>
      </c>
      <c r="L61" s="140">
        <f>'Model (Matrix)'!L59</f>
        <v>339.40470309927349</v>
      </c>
      <c r="M61" s="91">
        <f>'Model (Matrix)'!M59</f>
        <v>404.8218978159598</v>
      </c>
      <c r="N61" s="92">
        <f>'Model (Matrix)'!N59</f>
        <v>462.11142839659385</v>
      </c>
      <c r="O61" s="91">
        <f>'Model (Matrix)'!O59</f>
        <v>513.94786994806475</v>
      </c>
      <c r="P61" s="91">
        <f>'Model (Matrix)'!P59</f>
        <v>561.21947209595874</v>
      </c>
      <c r="Q61" s="91">
        <f>'Model (Matrix)'!Q59</f>
        <v>604.5112626368267</v>
      </c>
      <c r="R61" s="91">
        <f>'Model (Matrix)'!R59</f>
        <v>644.27291025857448</v>
      </c>
      <c r="S61" s="91">
        <f>'Model (Matrix)'!S59</f>
        <v>680.88318311424359</v>
      </c>
      <c r="T61" s="91">
        <f>'Model (Matrix)'!T59</f>
        <v>714.67087152102249</v>
      </c>
      <c r="U61" s="91">
        <f>'Model (Matrix)'!U59</f>
        <v>745.92323202441935</v>
      </c>
      <c r="V61" s="91">
        <f>'Model (Matrix)'!V59</f>
        <v>774.89131338248637</v>
      </c>
    </row>
    <row r="62" spans="1:22" x14ac:dyDescent="0.25">
      <c r="A62" s="82"/>
      <c r="B62" s="64" t="s">
        <v>130</v>
      </c>
      <c r="C62" s="90">
        <f>'Model (Matrix)'!C69</f>
        <v>0</v>
      </c>
      <c r="D62" s="91">
        <f>'Model (Matrix)'!D69</f>
        <v>102.15423321098493</v>
      </c>
      <c r="E62" s="91">
        <f>'Model (Matrix)'!E69</f>
        <v>291.66660488127735</v>
      </c>
      <c r="F62" s="91">
        <f>'Model (Matrix)'!F69</f>
        <v>522.09757433553023</v>
      </c>
      <c r="G62" s="91">
        <f>'Model (Matrix)'!G69</f>
        <v>713.25317596611467</v>
      </c>
      <c r="H62" s="91">
        <f>'Model (Matrix)'!H69</f>
        <v>912.11936005160339</v>
      </c>
      <c r="I62" s="91">
        <f>'Model (Matrix)'!I69</f>
        <v>930.61825703619684</v>
      </c>
      <c r="J62" s="91">
        <f>'Model (Matrix)'!J69</f>
        <v>909.01355046501862</v>
      </c>
      <c r="K62" s="91">
        <f>'Model (Matrix)'!K69</f>
        <v>889.09739994698998</v>
      </c>
      <c r="L62" s="140">
        <f>'Model (Matrix)'!L69</f>
        <v>870.32798472149636</v>
      </c>
      <c r="M62" s="91">
        <f>'Model (Matrix)'!M69</f>
        <v>791.20681900758723</v>
      </c>
      <c r="N62" s="92">
        <f>'Model (Matrix)'!N69</f>
        <v>756.12528241998473</v>
      </c>
      <c r="O62" s="91">
        <f>'Model (Matrix)'!O69</f>
        <v>738.56803529558874</v>
      </c>
      <c r="P62" s="91">
        <f>'Model (Matrix)'!P69</f>
        <v>730.82892579511997</v>
      </c>
      <c r="Q62" s="91">
        <f>'Model (Matrix)'!Q69</f>
        <v>729.05961071267473</v>
      </c>
      <c r="R62" s="91">
        <f>'Model (Matrix)'!R69</f>
        <v>731.1324542684988</v>
      </c>
      <c r="S62" s="91">
        <f>'Model (Matrix)'!S69</f>
        <v>735.72354126277708</v>
      </c>
      <c r="T62" s="91">
        <f>'Model (Matrix)'!T69</f>
        <v>741.94765958862558</v>
      </c>
      <c r="U62" s="91">
        <f>'Model (Matrix)'!U69</f>
        <v>749.19346723865601</v>
      </c>
      <c r="V62" s="91">
        <f>'Model (Matrix)'!V69</f>
        <v>757.03570300005879</v>
      </c>
    </row>
    <row r="63" spans="1:22" x14ac:dyDescent="0.25">
      <c r="A63" s="82"/>
      <c r="B63" s="153" t="s">
        <v>131</v>
      </c>
      <c r="C63" s="90">
        <f>'Model (Matrix)'!C70</f>
        <v>0</v>
      </c>
      <c r="D63" s="91">
        <f>'Model (Matrix)'!D70</f>
        <v>10297.380297297057</v>
      </c>
      <c r="E63" s="91">
        <f>'Model (Matrix)'!E70</f>
        <v>10055.60467912602</v>
      </c>
      <c r="F63" s="91">
        <f>'Model (Matrix)'!F70</f>
        <v>9662.2481802340826</v>
      </c>
      <c r="G63" s="91">
        <f>'Model (Matrix)'!G70</f>
        <v>8627.2053822959988</v>
      </c>
      <c r="H63" s="91">
        <f>'Model (Matrix)'!H70</f>
        <v>7361.1203549975289</v>
      </c>
      <c r="I63" s="91">
        <f>'Model (Matrix)'!I70</f>
        <v>6561.3918834109381</v>
      </c>
      <c r="J63" s="91">
        <f>'Model (Matrix)'!J70</f>
        <v>6124.1540058687278</v>
      </c>
      <c r="K63" s="91">
        <f>'Model (Matrix)'!K70</f>
        <v>5820.2883866318043</v>
      </c>
      <c r="L63" s="140">
        <f>'Model (Matrix)'!L70</f>
        <v>5597.6884892079888</v>
      </c>
      <c r="M63" s="91">
        <f>'Model (Matrix)'!M70</f>
        <v>5401.6073010018599</v>
      </c>
      <c r="N63" s="92">
        <f>'Model (Matrix)'!N70</f>
        <v>5288.4337165670477</v>
      </c>
      <c r="O63" s="91">
        <f>'Model (Matrix)'!O70</f>
        <v>5235.162962702404</v>
      </c>
      <c r="P63" s="91">
        <f>'Model (Matrix)'!P70</f>
        <v>5220.2853607864636</v>
      </c>
      <c r="Q63" s="91">
        <f>'Model (Matrix)'!Q70</f>
        <v>5229.8619678596888</v>
      </c>
      <c r="R63" s="91">
        <f>'Model (Matrix)'!R70</f>
        <v>5254.5894794897713</v>
      </c>
      <c r="S63" s="91">
        <f>'Model (Matrix)'!S70</f>
        <v>5288.2800863324046</v>
      </c>
      <c r="T63" s="91">
        <f>'Model (Matrix)'!T70</f>
        <v>5326.8607651177126</v>
      </c>
      <c r="U63" s="91">
        <f>'Model (Matrix)'!U70</f>
        <v>5367.689977131572</v>
      </c>
      <c r="V63" s="91">
        <f>'Model (Matrix)'!V70</f>
        <v>5409.086796850379</v>
      </c>
    </row>
    <row r="64" spans="1:22" x14ac:dyDescent="0.25">
      <c r="A64" s="82"/>
      <c r="B64" s="153" t="s">
        <v>303</v>
      </c>
      <c r="C64" s="90">
        <f>SUM($C$63:C63)</f>
        <v>0</v>
      </c>
      <c r="D64" s="91">
        <f>SUM($C$63:D63)</f>
        <v>10297.380297297057</v>
      </c>
      <c r="E64" s="91">
        <f>SUM($C$63:E63)</f>
        <v>20352.984976423075</v>
      </c>
      <c r="F64" s="91">
        <f>SUM($C$63:F63)</f>
        <v>30015.233156657159</v>
      </c>
      <c r="G64" s="91">
        <f>SUM($C$63:G63)</f>
        <v>38642.43853895316</v>
      </c>
      <c r="H64" s="91">
        <f>SUM($C$63:H63)</f>
        <v>46003.558893950685</v>
      </c>
      <c r="I64" s="91">
        <f>SUM($C$63:I63)</f>
        <v>52564.950777361621</v>
      </c>
      <c r="J64" s="91">
        <f>SUM($C$63:J63)</f>
        <v>58689.104783230345</v>
      </c>
      <c r="K64" s="91">
        <f>SUM($C$63:K63)</f>
        <v>64509.393169862145</v>
      </c>
      <c r="L64" s="140">
        <f>SUM($C$63:L63)</f>
        <v>70107.081659070129</v>
      </c>
      <c r="M64" s="91">
        <f>SUM($C$63:M63)</f>
        <v>75508.688960071988</v>
      </c>
      <c r="N64" s="92">
        <f>SUM($C$63:N63)</f>
        <v>80797.122676639032</v>
      </c>
      <c r="O64" s="91">
        <f>SUM($C$63:O63)</f>
        <v>86032.28563934144</v>
      </c>
      <c r="P64" s="91">
        <f>SUM($C$63:P63)</f>
        <v>91252.571000127908</v>
      </c>
      <c r="Q64" s="91">
        <f>SUM($C$63:Q63)</f>
        <v>96482.432967987595</v>
      </c>
      <c r="R64" s="91">
        <f>SUM($C$63:R63)</f>
        <v>101737.02244747737</v>
      </c>
      <c r="S64" s="91">
        <f>SUM($C$63:S63)</f>
        <v>107025.30253380978</v>
      </c>
      <c r="T64" s="91">
        <f>SUM($C$63:T63)</f>
        <v>112352.16329892749</v>
      </c>
      <c r="U64" s="91">
        <f>SUM($C$63:U63)</f>
        <v>117719.85327605906</v>
      </c>
      <c r="V64" s="91">
        <f>SUM($C$63:V63)</f>
        <v>123128.94007290943</v>
      </c>
    </row>
    <row r="65" spans="1:23" s="64" customFormat="1" x14ac:dyDescent="0.25">
      <c r="A65" s="82"/>
      <c r="B65" s="153" t="s">
        <v>305</v>
      </c>
      <c r="C65" s="90">
        <f t="shared" ref="C65:V65" si="9">C47+C54+C63</f>
        <v>0</v>
      </c>
      <c r="D65" s="91">
        <f t="shared" si="9"/>
        <v>12099.033859094488</v>
      </c>
      <c r="E65" s="91">
        <f t="shared" si="9"/>
        <v>11754.661254255823</v>
      </c>
      <c r="F65" s="91">
        <f t="shared" si="9"/>
        <v>11257.246579269784</v>
      </c>
      <c r="G65" s="91">
        <f t="shared" si="9"/>
        <v>10131.685992732491</v>
      </c>
      <c r="H65" s="91">
        <f t="shared" si="9"/>
        <v>8775.4486628803079</v>
      </c>
      <c r="I65" s="91">
        <f t="shared" si="9"/>
        <v>7892.0140194957048</v>
      </c>
      <c r="J65" s="91">
        <f t="shared" si="9"/>
        <v>7388.8048474132429</v>
      </c>
      <c r="K65" s="91">
        <f t="shared" si="9"/>
        <v>7036.6565169830719</v>
      </c>
      <c r="L65" s="140">
        <f t="shared" si="9"/>
        <v>6780.7672289614493</v>
      </c>
      <c r="M65" s="91">
        <f t="shared" si="9"/>
        <v>6559.2250760157785</v>
      </c>
      <c r="N65" s="92">
        <f t="shared" si="9"/>
        <v>6431.8105148868126</v>
      </c>
      <c r="O65" s="91">
        <f t="shared" si="9"/>
        <v>6371.6778944000853</v>
      </c>
      <c r="P65" s="91">
        <f t="shared" si="9"/>
        <v>6354.8624195922966</v>
      </c>
      <c r="Q65" s="91">
        <f t="shared" si="9"/>
        <v>6365.7985424712006</v>
      </c>
      <c r="R65" s="91">
        <f t="shared" si="9"/>
        <v>6394.0867766776337</v>
      </c>
      <c r="S65" s="91">
        <f t="shared" si="9"/>
        <v>6432.7960243686093</v>
      </c>
      <c r="T65" s="91">
        <f t="shared" si="9"/>
        <v>6477.3489658171065</v>
      </c>
      <c r="U65" s="91">
        <f t="shared" si="9"/>
        <v>6524.7626024195952</v>
      </c>
      <c r="V65" s="91">
        <f t="shared" si="9"/>
        <v>6573.1255224713404</v>
      </c>
    </row>
    <row r="66" spans="1:23" x14ac:dyDescent="0.25">
      <c r="A66" s="82"/>
      <c r="B66" s="153" t="s">
        <v>306</v>
      </c>
      <c r="C66" s="90">
        <f>SUM($C$65:C65)</f>
        <v>0</v>
      </c>
      <c r="D66" s="91">
        <f>SUM($C$65:D65)</f>
        <v>12099.033859094488</v>
      </c>
      <c r="E66" s="91">
        <f>SUM($C$65:E65)</f>
        <v>23853.69511335031</v>
      </c>
      <c r="F66" s="91">
        <f>SUM($C$65:F65)</f>
        <v>35110.941692620094</v>
      </c>
      <c r="G66" s="91">
        <f>SUM($C$65:G65)</f>
        <v>45242.627685352585</v>
      </c>
      <c r="H66" s="91">
        <f>SUM($C$65:H65)</f>
        <v>54018.076348232891</v>
      </c>
      <c r="I66" s="91">
        <f>SUM($C$65:I65)</f>
        <v>61910.090367728597</v>
      </c>
      <c r="J66" s="91">
        <f>SUM($C$65:J65)</f>
        <v>69298.895215141834</v>
      </c>
      <c r="K66" s="91">
        <f>SUM($C$65:K65)</f>
        <v>76335.551732124906</v>
      </c>
      <c r="L66" s="140">
        <f>SUM($C$65:L65)</f>
        <v>83116.318961086363</v>
      </c>
      <c r="M66" s="91">
        <f>SUM($C$65:M65)</f>
        <v>89675.54403710214</v>
      </c>
      <c r="N66" s="92">
        <f>SUM($C$65:N65)</f>
        <v>96107.354551988945</v>
      </c>
      <c r="O66" s="91">
        <f>SUM($C$65:O65)</f>
        <v>102479.03244638903</v>
      </c>
      <c r="P66" s="91">
        <f>SUM($C$65:P65)</f>
        <v>108833.89486598133</v>
      </c>
      <c r="Q66" s="91">
        <f>SUM($C$65:Q65)</f>
        <v>115199.69340845253</v>
      </c>
      <c r="R66" s="91">
        <f>SUM($C$65:R65)</f>
        <v>121593.78018513016</v>
      </c>
      <c r="S66" s="91">
        <f>SUM($C$65:S65)</f>
        <v>128026.57620949877</v>
      </c>
      <c r="T66" s="91">
        <f>SUM($C$65:T65)</f>
        <v>134503.92517531588</v>
      </c>
      <c r="U66" s="91">
        <f>SUM($C$65:U65)</f>
        <v>141028.68777773547</v>
      </c>
      <c r="V66" s="91">
        <f>SUM($C$65:V65)</f>
        <v>147601.81330020682</v>
      </c>
    </row>
    <row r="67" spans="1:23" x14ac:dyDescent="0.25">
      <c r="A67" s="112"/>
      <c r="B67" s="154" t="s">
        <v>307</v>
      </c>
      <c r="C67" s="155"/>
      <c r="D67" s="156"/>
      <c r="E67" s="156"/>
      <c r="F67" s="156"/>
      <c r="G67" s="156"/>
      <c r="H67" s="156"/>
      <c r="I67" s="100">
        <f>SUM($I$65:I65)</f>
        <v>7892.0140194957048</v>
      </c>
      <c r="J67" s="100">
        <f>SUM($I$65:J65)</f>
        <v>15280.818866908947</v>
      </c>
      <c r="K67" s="100">
        <f>SUM($I$65:K65)</f>
        <v>22317.475383892019</v>
      </c>
      <c r="L67" s="142">
        <f>SUM($I$65:L65)</f>
        <v>29098.242612853468</v>
      </c>
      <c r="M67" s="100">
        <f>SUM($I$65:M65)</f>
        <v>35657.467688869248</v>
      </c>
      <c r="N67" s="101">
        <f>SUM($I$65:N65)</f>
        <v>42089.278203756061</v>
      </c>
      <c r="O67" s="100">
        <f>SUM($I$65:O65)</f>
        <v>48460.956098156144</v>
      </c>
      <c r="P67" s="100">
        <f>SUM($I$65:P65)</f>
        <v>54815.818517748441</v>
      </c>
      <c r="Q67" s="100">
        <f>SUM($I$65:Q65)</f>
        <v>61181.617060219643</v>
      </c>
      <c r="R67" s="100">
        <f>SUM($I$65:R65)</f>
        <v>67575.703836897272</v>
      </c>
      <c r="S67" s="100">
        <f>SUM($I$65:S65)</f>
        <v>74008.499861265882</v>
      </c>
      <c r="T67" s="100">
        <f>SUM($I$65:T65)</f>
        <v>80485.848827082984</v>
      </c>
      <c r="U67" s="100">
        <f>SUM($I$65:U65)</f>
        <v>87010.611429502576</v>
      </c>
      <c r="V67" s="100">
        <f>SUM($I$65:V65)</f>
        <v>93583.736951973915</v>
      </c>
      <c r="W67" s="116"/>
    </row>
    <row r="68" spans="1:23" s="88" customFormat="1" x14ac:dyDescent="0.25">
      <c r="C68" s="157"/>
      <c r="D68" s="157"/>
      <c r="E68" s="157"/>
      <c r="F68" s="157"/>
      <c r="G68" s="157"/>
      <c r="H68" s="157"/>
      <c r="I68" s="176"/>
      <c r="L68" s="139"/>
      <c r="T68" s="64"/>
      <c r="U68" s="64"/>
      <c r="V68" s="64"/>
      <c r="W68" s="64"/>
    </row>
    <row r="69" spans="1:23" x14ac:dyDescent="0.25">
      <c r="C69" s="158"/>
      <c r="D69" s="158"/>
      <c r="E69" s="158"/>
      <c r="F69" s="158"/>
      <c r="G69" s="158"/>
      <c r="H69" s="210"/>
    </row>
    <row r="70" spans="1:23" x14ac:dyDescent="0.25">
      <c r="C70" s="159"/>
      <c r="D70" s="160"/>
      <c r="E70" s="226"/>
      <c r="F70" s="226"/>
      <c r="G70" s="226"/>
      <c r="H70" s="176"/>
    </row>
    <row r="71" spans="1:23" x14ac:dyDescent="0.25">
      <c r="C71" s="159"/>
      <c r="D71" s="160"/>
      <c r="E71" s="226"/>
      <c r="F71" s="226"/>
      <c r="G71" s="226"/>
      <c r="H71" s="176"/>
    </row>
    <row r="72" spans="1:23" x14ac:dyDescent="0.25">
      <c r="A72" s="13"/>
      <c r="B72" s="13"/>
      <c r="C72" s="28"/>
      <c r="D72" s="28"/>
      <c r="E72" s="28"/>
      <c r="F72" s="28"/>
      <c r="G72" s="28"/>
      <c r="H72" s="211"/>
    </row>
    <row r="73" spans="1:23" x14ac:dyDescent="0.25">
      <c r="A73" s="13"/>
      <c r="B73" s="13"/>
      <c r="C73" s="27"/>
      <c r="D73" s="27"/>
      <c r="E73" s="27"/>
      <c r="F73" s="27"/>
      <c r="G73" s="27"/>
      <c r="H73" s="202"/>
    </row>
    <row r="74" spans="1:23" x14ac:dyDescent="0.25">
      <c r="A74" s="13"/>
      <c r="B74" s="13"/>
      <c r="C74" s="24"/>
      <c r="D74" s="24"/>
      <c r="E74" s="24"/>
      <c r="F74" s="24"/>
      <c r="G74" s="24"/>
      <c r="H74" s="225"/>
    </row>
    <row r="75" spans="1:23" x14ac:dyDescent="0.25">
      <c r="A75" s="13"/>
      <c r="B75" s="13"/>
      <c r="C75" s="24"/>
      <c r="D75" s="24"/>
      <c r="E75" s="24"/>
      <c r="F75" s="24"/>
      <c r="G75" s="24"/>
      <c r="H75" s="225"/>
    </row>
    <row r="76" spans="1:23" x14ac:dyDescent="0.25">
      <c r="A76" s="161"/>
      <c r="B76" s="161"/>
      <c r="C76" s="162"/>
      <c r="D76" s="24"/>
      <c r="E76" s="24"/>
      <c r="F76" s="24"/>
      <c r="G76" s="24"/>
      <c r="H76" s="225"/>
    </row>
    <row r="77" spans="1:23" x14ac:dyDescent="0.25">
      <c r="A77" s="13"/>
      <c r="B77" s="13"/>
      <c r="C77" s="24"/>
      <c r="D77" s="24"/>
      <c r="E77" s="24"/>
      <c r="F77" s="24"/>
      <c r="G77" s="24"/>
      <c r="H77" s="225"/>
    </row>
    <row r="78" spans="1:23" x14ac:dyDescent="0.25">
      <c r="A78" s="13"/>
      <c r="B78" s="13"/>
      <c r="C78" s="24"/>
      <c r="D78" s="13"/>
      <c r="E78" s="13"/>
      <c r="F78" s="13"/>
      <c r="G78" s="13"/>
      <c r="H78" s="63"/>
    </row>
    <row r="79" spans="1:23" x14ac:dyDescent="0.25">
      <c r="A79" s="13"/>
      <c r="B79" s="13"/>
      <c r="C79" s="24"/>
      <c r="D79" s="13"/>
      <c r="E79" s="13"/>
      <c r="F79" s="13"/>
      <c r="G79" s="13"/>
      <c r="H79" s="63"/>
    </row>
  </sheetData>
  <mergeCells count="2">
    <mergeCell ref="C3:H3"/>
    <mergeCell ref="M3:V3"/>
  </mergeCells>
  <printOptions horizontalCentered="1"/>
  <pageMargins left="0.5" right="0.5" top="0.75" bottom="0.75" header="0.3" footer="0.3"/>
  <pageSetup scale="8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X79"/>
  <sheetViews>
    <sheetView zoomScaleNormal="100" workbookViewId="0">
      <pane xSplit="2" ySplit="5" topLeftCell="C66" activePane="bottomRight" state="frozen"/>
      <selection activeCell="C9" sqref="C9"/>
      <selection pane="topRight" activeCell="C9" sqref="C9"/>
      <selection pane="bottomLeft" activeCell="C9" sqref="C9"/>
      <selection pane="bottomRight" activeCell="E71" sqref="E71"/>
    </sheetView>
  </sheetViews>
  <sheetFormatPr defaultColWidth="9.140625" defaultRowHeight="15" x14ac:dyDescent="0.25"/>
  <cols>
    <col min="1" max="1" width="2.85546875" style="127" customWidth="1"/>
    <col min="2" max="2" width="23.42578125" style="127" customWidth="1"/>
    <col min="3" max="3" width="9.140625" style="305" customWidth="1"/>
    <col min="4" max="5" width="9.140625" style="127" customWidth="1"/>
    <col min="6" max="7" width="9.140625" style="127"/>
    <col min="8" max="8" width="9.140625" style="64"/>
    <col min="9" max="9" width="12.28515625" style="176" customWidth="1"/>
    <col min="10" max="11" width="9.140625" style="127"/>
    <col min="12" max="12" width="12.85546875" style="191" customWidth="1"/>
    <col min="13" max="14" width="9.140625" style="64"/>
    <col min="15" max="17" width="9.140625" style="127"/>
    <col min="18" max="19" width="9.140625" style="64"/>
    <col min="20" max="16384" width="9.140625" style="127"/>
  </cols>
  <sheetData>
    <row r="1" spans="1:24" s="5" customFormat="1" x14ac:dyDescent="0.25">
      <c r="A1" s="74" t="s">
        <v>288</v>
      </c>
      <c r="B1" s="143"/>
      <c r="C1" s="76"/>
      <c r="D1" s="75"/>
      <c r="E1" s="75"/>
      <c r="F1" s="75"/>
      <c r="G1" s="75"/>
      <c r="H1" s="75"/>
      <c r="I1" s="144"/>
      <c r="J1" s="75"/>
      <c r="K1" s="75"/>
      <c r="L1" s="206"/>
      <c r="M1" s="75"/>
      <c r="N1" s="75"/>
      <c r="O1" s="75"/>
      <c r="P1" s="75"/>
      <c r="Q1" s="75"/>
      <c r="R1" s="77"/>
      <c r="S1" s="77"/>
    </row>
    <row r="2" spans="1:24" s="5" customFormat="1" x14ac:dyDescent="0.25">
      <c r="A2" s="145"/>
      <c r="B2" s="146"/>
      <c r="C2" s="144"/>
      <c r="D2" s="77"/>
      <c r="E2" s="77"/>
      <c r="F2" s="77"/>
      <c r="G2" s="77"/>
      <c r="H2" s="77"/>
      <c r="I2" s="144"/>
      <c r="J2" s="77"/>
      <c r="K2" s="77"/>
      <c r="L2" s="207"/>
      <c r="M2" s="77"/>
      <c r="N2" s="77"/>
      <c r="O2" s="77"/>
      <c r="P2" s="77"/>
      <c r="Q2" s="77"/>
      <c r="R2" s="77"/>
      <c r="S2" s="77"/>
    </row>
    <row r="3" spans="1:24" s="13" customFormat="1" x14ac:dyDescent="0.25">
      <c r="A3" s="78"/>
      <c r="B3" s="123"/>
      <c r="C3" s="352" t="s">
        <v>105</v>
      </c>
      <c r="D3" s="354"/>
      <c r="E3" s="354"/>
      <c r="F3" s="354"/>
      <c r="G3" s="354"/>
      <c r="H3" s="354"/>
      <c r="I3" s="306"/>
      <c r="J3" s="306"/>
      <c r="K3" s="306"/>
      <c r="L3" s="133" t="s">
        <v>21</v>
      </c>
      <c r="M3" s="352" t="s">
        <v>106</v>
      </c>
      <c r="N3" s="355"/>
      <c r="O3" s="355"/>
      <c r="P3" s="355"/>
      <c r="Q3" s="355"/>
      <c r="R3" s="355"/>
      <c r="S3" s="355"/>
      <c r="T3" s="355"/>
      <c r="U3" s="355"/>
      <c r="V3" s="355"/>
    </row>
    <row r="4" spans="1:24" s="13" customFormat="1" x14ac:dyDescent="0.25">
      <c r="A4" s="78"/>
      <c r="B4" s="123"/>
      <c r="C4" s="79">
        <v>2004</v>
      </c>
      <c r="D4" s="80">
        <v>2005</v>
      </c>
      <c r="E4" s="80">
        <v>2006</v>
      </c>
      <c r="F4" s="80">
        <v>2007</v>
      </c>
      <c r="G4" s="80">
        <v>2008</v>
      </c>
      <c r="H4" s="80">
        <v>2009</v>
      </c>
      <c r="I4" s="80">
        <v>2010</v>
      </c>
      <c r="J4" s="80">
        <v>2011</v>
      </c>
      <c r="K4" s="80">
        <v>2012</v>
      </c>
      <c r="L4" s="136">
        <v>2013</v>
      </c>
      <c r="M4" s="80">
        <v>2014</v>
      </c>
      <c r="N4" s="81">
        <v>2015</v>
      </c>
      <c r="O4" s="80">
        <v>2016</v>
      </c>
      <c r="P4" s="80">
        <v>2017</v>
      </c>
      <c r="Q4" s="80">
        <v>2018</v>
      </c>
      <c r="R4" s="80">
        <v>2019</v>
      </c>
      <c r="S4" s="80">
        <v>2020</v>
      </c>
      <c r="T4" s="80">
        <v>2021</v>
      </c>
      <c r="U4" s="80">
        <v>2022</v>
      </c>
      <c r="V4" s="80">
        <v>2023</v>
      </c>
    </row>
    <row r="5" spans="1:24" x14ac:dyDescent="0.25">
      <c r="A5" s="82"/>
      <c r="B5" s="64"/>
      <c r="C5" s="83" t="s">
        <v>107</v>
      </c>
      <c r="D5" s="84" t="s">
        <v>108</v>
      </c>
      <c r="E5" s="84" t="s">
        <v>109</v>
      </c>
      <c r="F5" s="84" t="s">
        <v>110</v>
      </c>
      <c r="G5" s="84" t="s">
        <v>111</v>
      </c>
      <c r="H5" s="84" t="s">
        <v>112</v>
      </c>
      <c r="I5" s="84" t="s">
        <v>113</v>
      </c>
      <c r="J5" s="84" t="s">
        <v>114</v>
      </c>
      <c r="K5" s="84" t="s">
        <v>115</v>
      </c>
      <c r="L5" s="138" t="s">
        <v>116</v>
      </c>
      <c r="M5" s="84" t="s">
        <v>117</v>
      </c>
      <c r="N5" s="85" t="s">
        <v>118</v>
      </c>
      <c r="O5" s="84" t="s">
        <v>119</v>
      </c>
      <c r="P5" s="84" t="s">
        <v>120</v>
      </c>
      <c r="Q5" s="84" t="s">
        <v>121</v>
      </c>
      <c r="R5" s="84" t="s">
        <v>122</v>
      </c>
      <c r="S5" s="84" t="s">
        <v>123</v>
      </c>
      <c r="T5" s="84" t="s">
        <v>450</v>
      </c>
      <c r="U5" s="84" t="s">
        <v>451</v>
      </c>
      <c r="V5" s="84" t="s">
        <v>452</v>
      </c>
    </row>
    <row r="6" spans="1:24" x14ac:dyDescent="0.25">
      <c r="A6" s="86" t="s">
        <v>289</v>
      </c>
      <c r="B6" s="64"/>
      <c r="C6" s="147">
        <f>SUM('Model (SN)'!C3:C5)+SUM('Model (SN)'!C12:C15)+SUM('Model (SN)'!C23)+SUM('Model (SN)'!C37:C41)+SUM('Model (SN)'!C53)</f>
        <v>109999.99999999999</v>
      </c>
      <c r="D6" s="103">
        <f>SUM('Model (SN)'!D3:D5)+SUM('Model (SN)'!D12:D15)+SUM('Model (SN)'!D23)+SUM('Model (SN)'!D37:D41)+SUM('Model (SN)'!D53)</f>
        <v>108865.32614090553</v>
      </c>
      <c r="E6" s="103">
        <f>SUM('Model (SN)'!E3:E5)+SUM('Model (SN)'!E12:E15)+SUM('Model (SN)'!E23)+SUM('Model (SN)'!E37:E41)+SUM('Model (SN)'!E53)</f>
        <v>107186.10488664967</v>
      </c>
      <c r="F6" s="103">
        <f>SUM('Model (SN)'!F3:F5)+SUM('Model (SN)'!F12:F15)+SUM('Model (SN)'!F23)+SUM('Model (SN)'!F37:F41)+SUM('Model (SN)'!F53)</f>
        <v>106114.85830737992</v>
      </c>
      <c r="G6" s="103">
        <f>SUM('Model (SN)'!G3:G5)+SUM('Model (SN)'!G12:G15)+SUM('Model (SN)'!G23)+SUM('Model (SN)'!G37:G41)+SUM('Model (SN)'!G53)</f>
        <v>105203.29231464742</v>
      </c>
      <c r="H6" s="212">
        <f>SUM('Model (SN)'!H3:H5)+SUM('Model (SN)'!H12:H15)+SUM('Model (SN)'!H23)+SUM('Model (SN)'!H37:H41)+SUM('Model (SN)'!H53)</f>
        <v>105015.8836517671</v>
      </c>
      <c r="I6" s="100">
        <f>SUM('Model (SN)'!I3:I5)+SUM('Model (SN)'!I12:I15)+SUM('Model (SN)'!I23)+SUM('Model (SN)'!I37:I41)+SUM('Model (SN)'!I53)</f>
        <v>105711.90963227142</v>
      </c>
      <c r="J6" s="212">
        <f>SUM('Model (SN)'!J3:J5)+SUM('Model (SN)'!J12:J15)+SUM('Model (SN)'!J23)+SUM('Model (SN)'!J37:J41)+SUM('Model (SN)'!J53)</f>
        <v>106911.14478485816</v>
      </c>
      <c r="K6" s="103">
        <f>SUM('Model (SN)'!K3:K5)+SUM('Model (SN)'!K12:K15)+SUM('Model (SN)'!K23)+SUM('Model (SN)'!K37:K41)+SUM('Model (SN)'!K53)</f>
        <v>108462.52826787508</v>
      </c>
      <c r="L6" s="148">
        <f>SUM('Model (SN)'!L3:L5)+SUM('Model (SN)'!L12:L15)+SUM('Model (SN)'!L23)+SUM('Model (SN)'!L37:L41)+SUM('Model (SN)'!L53)</f>
        <v>110205.56232717801</v>
      </c>
      <c r="M6" s="103">
        <f>SUM('Model (SN)'!M3:M5)+SUM('Model (SN)'!M12:M15)+SUM('Model (SN)'!M23)+SUM('Model (SN)'!M37:M41)+SUM('Model (SN)'!M53)</f>
        <v>112185.47325200416</v>
      </c>
      <c r="N6" s="149">
        <f>SUM('Model (SN)'!N3:N5)+SUM('Model (SN)'!N12:N15)+SUM('Model (SN)'!N23)+SUM('Model (SN)'!N37:N41)+SUM('Model (SN)'!N53)</f>
        <v>114296.78022528948</v>
      </c>
      <c r="O6" s="103">
        <f>SUM('Model (SN)'!O3:O5)+SUM('Model (SN)'!O12:O15)+SUM('Model (SN)'!O23)+SUM('Model (SN)'!O37:O41)+SUM('Model (SN)'!O53)</f>
        <v>116470.82665582013</v>
      </c>
      <c r="P6" s="103">
        <f>SUM('Model (SN)'!P3:P5)+SUM('Model (SN)'!P12:P15)+SUM('Model (SN)'!P23)+SUM('Model (SN)'!P37:P41)+SUM('Model (SN)'!P53)</f>
        <v>118663.67005068697</v>
      </c>
      <c r="Q6" s="103">
        <f>SUM('Model (SN)'!Q3:Q5)+SUM('Model (SN)'!Q12:Q15)+SUM('Model (SN)'!Q23)+SUM('Model (SN)'!Q37:Q41)+SUM('Model (SN)'!Q53)</f>
        <v>120847.2167542278</v>
      </c>
      <c r="R6" s="103">
        <f>SUM('Model (SN)'!R3:R5)+SUM('Model (SN)'!R12:R15)+SUM('Model (SN)'!R23)+SUM('Model (SN)'!R37:R41)+SUM('Model (SN)'!R53)</f>
        <v>123003.89486619439</v>
      </c>
      <c r="S6" s="103">
        <f>SUM('Model (SN)'!S3:S5)+SUM('Model (SN)'!S12:S15)+SUM('Model (SN)'!S23)+SUM('Model (SN)'!S37:S41)+SUM('Model (SN)'!S53)</f>
        <v>125123.13459385801</v>
      </c>
      <c r="T6" s="100">
        <f>SUM('Model (SN)'!T3:T5)+SUM('Model (SN)'!T12:T15)+SUM('Model (SN)'!T23)+SUM('Model (SN)'!T37:T41)+SUM('Model (SN)'!T53)</f>
        <v>127198.98969816271</v>
      </c>
      <c r="U6" s="100">
        <f>SUM('Model (SN)'!U3:U5)+SUM('Model (SN)'!U12:U15)+SUM('Model (SN)'!U23)+SUM('Model (SN)'!U37:U41)+SUM('Model (SN)'!U53)</f>
        <v>129228.52799674531</v>
      </c>
      <c r="V6" s="100">
        <f>SUM('Model (SN)'!V3:V5)+SUM('Model (SN)'!V12:V15)+SUM('Model (SN)'!V23)+SUM('Model (SN)'!V37:V41)+SUM('Model (SN)'!V53)</f>
        <v>131210.74946836999</v>
      </c>
      <c r="W6" s="116"/>
    </row>
    <row r="7" spans="1:24" s="88" customFormat="1" x14ac:dyDescent="0.25">
      <c r="A7" s="150" t="s">
        <v>290</v>
      </c>
      <c r="C7" s="147"/>
      <c r="D7" s="103"/>
      <c r="E7" s="103"/>
      <c r="F7" s="103"/>
      <c r="G7" s="103"/>
      <c r="H7" s="91"/>
      <c r="I7" s="91"/>
      <c r="J7" s="91"/>
      <c r="K7" s="103"/>
      <c r="L7" s="148"/>
      <c r="M7" s="103"/>
      <c r="N7" s="149"/>
      <c r="O7" s="103"/>
      <c r="P7" s="103"/>
      <c r="Q7" s="103"/>
      <c r="R7" s="103"/>
      <c r="S7" s="103"/>
      <c r="T7" s="91"/>
      <c r="U7" s="91"/>
      <c r="V7" s="91"/>
      <c r="W7" s="64"/>
    </row>
    <row r="8" spans="1:24" s="64" customFormat="1" x14ac:dyDescent="0.25">
      <c r="A8" s="86"/>
      <c r="B8" s="64" t="s">
        <v>313</v>
      </c>
      <c r="C8" s="90">
        <f>'Model (SN)'!C3</f>
        <v>37328.860303712914</v>
      </c>
      <c r="D8" s="91">
        <f>'Model (SN)'!D3</f>
        <v>35944.615059052026</v>
      </c>
      <c r="E8" s="91">
        <f>'Model (SN)'!E3</f>
        <v>34129.366234797257</v>
      </c>
      <c r="F8" s="91">
        <f>'Model (SN)'!F3</f>
        <v>31815.830071853721</v>
      </c>
      <c r="G8" s="91">
        <f>'Model (SN)'!G3</f>
        <v>29383.723194820872</v>
      </c>
      <c r="H8" s="91">
        <f>'Model (SN)'!H3</f>
        <v>27210.270931858315</v>
      </c>
      <c r="I8" s="91">
        <f>'Model (SN)'!I3</f>
        <v>25832.823639290818</v>
      </c>
      <c r="J8" s="91">
        <f>'Model (SN)'!J3</f>
        <v>24959.85252502521</v>
      </c>
      <c r="K8" s="91">
        <f>'Model (SN)'!K3</f>
        <v>24406.598276783407</v>
      </c>
      <c r="L8" s="140">
        <f>'Model (SN)'!L3</f>
        <v>24055.967816971341</v>
      </c>
      <c r="M8" s="91">
        <f>'Model (SN)'!M3</f>
        <v>23833.752226691249</v>
      </c>
      <c r="N8" s="92">
        <f>'Model (SN)'!N3</f>
        <v>23692.920855138429</v>
      </c>
      <c r="O8" s="91">
        <f>'Model (SN)'!O3</f>
        <v>23603.667553025603</v>
      </c>
      <c r="P8" s="91">
        <f>'Model (SN)'!P3</f>
        <v>23547.102372624337</v>
      </c>
      <c r="Q8" s="91">
        <f>'Model (SN)'!Q3</f>
        <v>23511.253619042276</v>
      </c>
      <c r="R8" s="91">
        <f>'Model (SN)'!R3</f>
        <v>23488.534109897766</v>
      </c>
      <c r="S8" s="91">
        <f>'Model (SN)'!S3</f>
        <v>23474.135391833948</v>
      </c>
      <c r="T8" s="91">
        <f>'Model (SN)'!T3</f>
        <v>23465.010059039007</v>
      </c>
      <c r="U8" s="91">
        <f>'Model (SN)'!U3</f>
        <v>23459.226787344309</v>
      </c>
      <c r="V8" s="91">
        <f>'Model (SN)'!V3</f>
        <v>23455.561580579113</v>
      </c>
    </row>
    <row r="9" spans="1:24" s="64" customFormat="1" x14ac:dyDescent="0.25">
      <c r="A9" s="86"/>
      <c r="B9" s="64" t="s">
        <v>314</v>
      </c>
      <c r="C9" s="90">
        <f>'Model (SN)'!C12</f>
        <v>24973.444837624658</v>
      </c>
      <c r="D9" s="91">
        <f>'Model (SN)'!D12</f>
        <v>20500.67140142811</v>
      </c>
      <c r="E9" s="91">
        <f>'Model (SN)'!E12</f>
        <v>17889.256500904768</v>
      </c>
      <c r="F9" s="91">
        <f>'Model (SN)'!F12</f>
        <v>15317.992209211909</v>
      </c>
      <c r="G9" s="91">
        <f>'Model (SN)'!G12</f>
        <v>13634.693039370628</v>
      </c>
      <c r="H9" s="91">
        <f>'Model (SN)'!H12</f>
        <v>12349.201182827517</v>
      </c>
      <c r="I9" s="91">
        <f>'Model (SN)'!I12</f>
        <v>11304.281357638176</v>
      </c>
      <c r="J9" s="91">
        <f>'Model (SN)'!J12</f>
        <v>10532.763265342432</v>
      </c>
      <c r="K9" s="91">
        <f>'Model (SN)'!K12</f>
        <v>9991.9255699909336</v>
      </c>
      <c r="L9" s="140">
        <f>'Model (SN)'!L12</f>
        <v>9624.5363786477628</v>
      </c>
      <c r="M9" s="91">
        <f>'Model (SN)'!M12</f>
        <v>9380.0088118015756</v>
      </c>
      <c r="N9" s="92">
        <f>'Model (SN)'!N12</f>
        <v>9219.487242575553</v>
      </c>
      <c r="O9" s="91">
        <f>'Model (SN)'!O12</f>
        <v>9115.1205816359579</v>
      </c>
      <c r="P9" s="91">
        <f>'Model (SN)'!P12</f>
        <v>9047.7265486116703</v>
      </c>
      <c r="Q9" s="91">
        <f>'Model (SN)'!Q12</f>
        <v>9004.421230137832</v>
      </c>
      <c r="R9" s="91">
        <f>'Model (SN)'!R12</f>
        <v>8976.6942295346271</v>
      </c>
      <c r="S9" s="91">
        <f>'Model (SN)'!S12</f>
        <v>8958.9881827291028</v>
      </c>
      <c r="T9" s="91">
        <f>'Model (SN)'!T12</f>
        <v>8947.7032907069515</v>
      </c>
      <c r="U9" s="91">
        <f>'Model (SN)'!U12</f>
        <v>8940.5212298243914</v>
      </c>
      <c r="V9" s="91">
        <f>'Model (SN)'!V12</f>
        <v>8935.9552154930025</v>
      </c>
    </row>
    <row r="10" spans="1:24" s="64" customFormat="1" x14ac:dyDescent="0.25">
      <c r="A10" s="86"/>
      <c r="B10" s="64" t="s">
        <v>315</v>
      </c>
      <c r="C10" s="90">
        <f>'Model (SN)'!C37</f>
        <v>20197.694858662428</v>
      </c>
      <c r="D10" s="91">
        <f>'Model (SN)'!D37</f>
        <v>16460.764033938365</v>
      </c>
      <c r="E10" s="91">
        <f>'Model (SN)'!E37</f>
        <v>13459.558197925611</v>
      </c>
      <c r="F10" s="91">
        <f>'Model (SN)'!F37</f>
        <v>6296.2601741540166</v>
      </c>
      <c r="G10" s="91">
        <f>'Model (SN)'!G37</f>
        <v>5030.2015485239654</v>
      </c>
      <c r="H10" s="91">
        <f>'Model (SN)'!H37</f>
        <v>4437.7809743848038</v>
      </c>
      <c r="I10" s="91">
        <f>'Model (SN)'!I37</f>
        <v>4011.2223431467796</v>
      </c>
      <c r="J10" s="91">
        <f>'Model (SN)'!J37</f>
        <v>3668.2893297704495</v>
      </c>
      <c r="K10" s="91">
        <f>'Model (SN)'!K37</f>
        <v>3413.1518110233492</v>
      </c>
      <c r="L10" s="140">
        <f>'Model (SN)'!L37</f>
        <v>3233.2813473185142</v>
      </c>
      <c r="M10" s="91">
        <f>'Model (SN)'!M37</f>
        <v>3110.6431882597944</v>
      </c>
      <c r="N10" s="92">
        <f>'Model (SN)'!N37</f>
        <v>3028.8158355082242</v>
      </c>
      <c r="O10" s="91">
        <f>'Model (SN)'!O37</f>
        <v>2975.0085736432011</v>
      </c>
      <c r="P10" s="91">
        <f>'Model (SN)'!P37</f>
        <v>2939.9827812400636</v>
      </c>
      <c r="Q10" s="91">
        <f>'Model (SN)'!Q37</f>
        <v>2917.3457782369587</v>
      </c>
      <c r="R10" s="91">
        <f>'Model (SN)'!R37</f>
        <v>2902.7909282238243</v>
      </c>
      <c r="S10" s="91">
        <f>'Model (SN)'!S37</f>
        <v>2893.4677067220587</v>
      </c>
      <c r="T10" s="91">
        <f>'Model (SN)'!T37</f>
        <v>2887.5120544614197</v>
      </c>
      <c r="U10" s="91">
        <f>'Model (SN)'!U37</f>
        <v>2883.7153044945258</v>
      </c>
      <c r="V10" s="91">
        <f>'Model (SN)'!V37</f>
        <v>2881.2984922299543</v>
      </c>
    </row>
    <row r="11" spans="1:24" s="116" customFormat="1" x14ac:dyDescent="0.25">
      <c r="A11" s="151"/>
      <c r="B11" s="152" t="s">
        <v>22</v>
      </c>
      <c r="C11" s="99">
        <f>SUM(C8:C10)</f>
        <v>82500</v>
      </c>
      <c r="D11" s="100">
        <f t="shared" ref="D11:V11" si="0">SUM(D8:D10)</f>
        <v>72906.050494418509</v>
      </c>
      <c r="E11" s="100">
        <f t="shared" si="0"/>
        <v>65478.180933627635</v>
      </c>
      <c r="F11" s="100">
        <f t="shared" si="0"/>
        <v>53430.082455219643</v>
      </c>
      <c r="G11" s="100">
        <f t="shared" si="0"/>
        <v>48048.617782715468</v>
      </c>
      <c r="H11" s="100">
        <f t="shared" si="0"/>
        <v>43997.25308907064</v>
      </c>
      <c r="I11" s="100">
        <f t="shared" si="0"/>
        <v>41148.327340075775</v>
      </c>
      <c r="J11" s="100">
        <f t="shared" si="0"/>
        <v>39160.905120138093</v>
      </c>
      <c r="K11" s="100">
        <f t="shared" si="0"/>
        <v>37811.675657797692</v>
      </c>
      <c r="L11" s="142">
        <f t="shared" si="0"/>
        <v>36913.785542937621</v>
      </c>
      <c r="M11" s="100">
        <f t="shared" si="0"/>
        <v>36324.404226752624</v>
      </c>
      <c r="N11" s="101">
        <f t="shared" si="0"/>
        <v>35941.223933222209</v>
      </c>
      <c r="O11" s="100">
        <f t="shared" si="0"/>
        <v>35693.796708304762</v>
      </c>
      <c r="P11" s="100">
        <f t="shared" si="0"/>
        <v>35534.811702476072</v>
      </c>
      <c r="Q11" s="100">
        <f t="shared" si="0"/>
        <v>35433.020627417063</v>
      </c>
      <c r="R11" s="100">
        <f t="shared" si="0"/>
        <v>35368.019267656215</v>
      </c>
      <c r="S11" s="100">
        <f t="shared" si="0"/>
        <v>35326.591281285109</v>
      </c>
      <c r="T11" s="100">
        <f t="shared" si="0"/>
        <v>35300.225404207376</v>
      </c>
      <c r="U11" s="100">
        <f t="shared" si="0"/>
        <v>35283.463321663221</v>
      </c>
      <c r="V11" s="100">
        <f t="shared" si="0"/>
        <v>35272.815288302067</v>
      </c>
    </row>
    <row r="12" spans="1:24" s="88" customFormat="1" x14ac:dyDescent="0.25">
      <c r="A12" s="150" t="s">
        <v>291</v>
      </c>
      <c r="C12" s="147"/>
      <c r="D12" s="103"/>
      <c r="E12" s="103"/>
      <c r="F12" s="103"/>
      <c r="G12" s="103"/>
      <c r="H12" s="91"/>
      <c r="I12" s="91"/>
      <c r="J12" s="91"/>
      <c r="K12" s="103"/>
      <c r="L12" s="148"/>
      <c r="M12" s="103"/>
      <c r="N12" s="149"/>
      <c r="O12" s="103"/>
      <c r="P12" s="103"/>
      <c r="Q12" s="103"/>
      <c r="R12" s="103"/>
      <c r="S12" s="103"/>
      <c r="T12" s="91"/>
      <c r="U12" s="91"/>
      <c r="V12" s="91"/>
      <c r="W12" s="64"/>
      <c r="X12" s="64"/>
    </row>
    <row r="13" spans="1:24" s="64" customFormat="1" x14ac:dyDescent="0.25">
      <c r="A13" s="86"/>
      <c r="B13" s="64" t="s">
        <v>313</v>
      </c>
      <c r="C13" s="90">
        <f>'Model (SN)'!C4</f>
        <v>8625.5137507233158</v>
      </c>
      <c r="D13" s="91">
        <f>'Model (SN)'!D4</f>
        <v>5881.1995157454367</v>
      </c>
      <c r="E13" s="91">
        <f>'Model (SN)'!E4</f>
        <v>4600.8538746215972</v>
      </c>
      <c r="F13" s="91">
        <f>'Model (SN)'!F4</f>
        <v>4542.3349259900533</v>
      </c>
      <c r="G13" s="91">
        <f>'Model (SN)'!G4</f>
        <v>4345.4301923503408</v>
      </c>
      <c r="H13" s="91">
        <f>'Model (SN)'!H4</f>
        <v>4079.1154033174189</v>
      </c>
      <c r="I13" s="91">
        <f>'Model (SN)'!I4</f>
        <v>3801.5367190100169</v>
      </c>
      <c r="J13" s="91">
        <f>'Model (SN)'!J4</f>
        <v>3577.9490597166414</v>
      </c>
      <c r="K13" s="91">
        <f>'Model (SN)'!K4</f>
        <v>3415.362192085453</v>
      </c>
      <c r="L13" s="140">
        <f>'Model (SN)'!L4</f>
        <v>3303.1701285426861</v>
      </c>
      <c r="M13" s="91">
        <f>'Model (SN)'!M4</f>
        <v>3228.0578445187493</v>
      </c>
      <c r="N13" s="92">
        <f>'Model (SN)'!N4</f>
        <v>3178.6979779008598</v>
      </c>
      <c r="O13" s="91">
        <f>'Model (SN)'!O4</f>
        <v>3146.64598166215</v>
      </c>
      <c r="P13" s="91">
        <f>'Model (SN)'!P4</f>
        <v>3125.995475661518</v>
      </c>
      <c r="Q13" s="91">
        <f>'Model (SN)'!Q4</f>
        <v>3112.7602546643966</v>
      </c>
      <c r="R13" s="91">
        <f>'Model (SN)'!R4</f>
        <v>3104.3075624579274</v>
      </c>
      <c r="S13" s="91">
        <f>'Model (SN)'!S4</f>
        <v>3098.9222193667129</v>
      </c>
      <c r="T13" s="91">
        <f>'Model (SN)'!T4</f>
        <v>3095.4967763517016</v>
      </c>
      <c r="U13" s="91">
        <f>'Model (SN)'!U4</f>
        <v>3093.3204222811128</v>
      </c>
      <c r="V13" s="91">
        <f>'Model (SN)'!V4</f>
        <v>3091.9387502525742</v>
      </c>
    </row>
    <row r="14" spans="1:24" s="64" customFormat="1" x14ac:dyDescent="0.25">
      <c r="A14" s="86"/>
      <c r="B14" s="64" t="s">
        <v>314</v>
      </c>
      <c r="C14" s="90">
        <f>'Model (SN)'!C13</f>
        <v>6397.3001938886364</v>
      </c>
      <c r="D14" s="91">
        <f>'Model (SN)'!D13</f>
        <v>7454.2224814028104</v>
      </c>
      <c r="E14" s="91">
        <f>'Model (SN)'!E13</f>
        <v>6781.0646191510732</v>
      </c>
      <c r="F14" s="91">
        <f>'Model (SN)'!F13</f>
        <v>7069.6106080620802</v>
      </c>
      <c r="G14" s="91">
        <f>'Model (SN)'!G13</f>
        <v>6711.8767136755614</v>
      </c>
      <c r="H14" s="91">
        <f>'Model (SN)'!H13</f>
        <v>6228.3296322877231</v>
      </c>
      <c r="I14" s="91">
        <f>'Model (SN)'!I13</f>
        <v>5754.8551474772676</v>
      </c>
      <c r="J14" s="91">
        <f>'Model (SN)'!J13</f>
        <v>5364.5580200390004</v>
      </c>
      <c r="K14" s="91">
        <f>'Model (SN)'!K13</f>
        <v>5072.1704862731012</v>
      </c>
      <c r="L14" s="140">
        <f>'Model (SN)'!L13</f>
        <v>4865.2353821274946</v>
      </c>
      <c r="M14" s="91">
        <f>'Model (SN)'!M13</f>
        <v>4723.9026595016039</v>
      </c>
      <c r="N14" s="92">
        <f>'Model (SN)'!N13</f>
        <v>4629.5861833289246</v>
      </c>
      <c r="O14" s="91">
        <f>'Model (SN)'!O13</f>
        <v>4567.6133626098108</v>
      </c>
      <c r="P14" s="91">
        <f>'Model (SN)'!P13</f>
        <v>4527.3212827836942</v>
      </c>
      <c r="Q14" s="91">
        <f>'Model (SN)'!Q13</f>
        <v>4501.3165736315395</v>
      </c>
      <c r="R14" s="91">
        <f>'Model (SN)'!R13</f>
        <v>4484.6191747799548</v>
      </c>
      <c r="S14" s="91">
        <f>'Model (SN)'!S13</f>
        <v>4473.9369291513131</v>
      </c>
      <c r="T14" s="91">
        <f>'Model (SN)'!T13</f>
        <v>4467.1206551931464</v>
      </c>
      <c r="U14" s="91">
        <f>'Model (SN)'!U13</f>
        <v>4462.7793402722427</v>
      </c>
      <c r="V14" s="91">
        <f>'Model (SN)'!V13</f>
        <v>4460.0180536091157</v>
      </c>
    </row>
    <row r="15" spans="1:24" s="64" customFormat="1" x14ac:dyDescent="0.25">
      <c r="A15" s="86"/>
      <c r="B15" s="64" t="s">
        <v>315</v>
      </c>
      <c r="C15" s="90">
        <f>'Model (SN)'!C38</f>
        <v>3982.8067030577031</v>
      </c>
      <c r="D15" s="91">
        <f>'Model (SN)'!D38</f>
        <v>6470.8714325568135</v>
      </c>
      <c r="E15" s="91">
        <f>'Model (SN)'!E38</f>
        <v>8074.2508051884597</v>
      </c>
      <c r="F15" s="91">
        <f>'Model (SN)'!F38</f>
        <v>11500.958679440217</v>
      </c>
      <c r="G15" s="91">
        <f>'Model (SN)'!G38</f>
        <v>8143.6687733220115</v>
      </c>
      <c r="H15" s="91">
        <f>'Model (SN)'!H38</f>
        <v>6720.1990820195369</v>
      </c>
      <c r="I15" s="91">
        <f>'Model (SN)'!I38</f>
        <v>5995.2728793697515</v>
      </c>
      <c r="J15" s="91">
        <f>'Model (SN)'!J38</f>
        <v>5460.8671966258871</v>
      </c>
      <c r="K15" s="91">
        <f>'Model (SN)'!K38</f>
        <v>5041.0605094016928</v>
      </c>
      <c r="L15" s="140">
        <f>'Model (SN)'!L38</f>
        <v>4728.6648196601836</v>
      </c>
      <c r="M15" s="91">
        <f>'Model (SN)'!M38</f>
        <v>4507.5353229543462</v>
      </c>
      <c r="N15" s="92">
        <f>'Model (SN)'!N38</f>
        <v>4356.281069896404</v>
      </c>
      <c r="O15" s="91">
        <f>'Model (SN)'!O38</f>
        <v>4255.1587549579945</v>
      </c>
      <c r="P15" s="91">
        <f>'Model (SN)'!P38</f>
        <v>4188.5904021972101</v>
      </c>
      <c r="Q15" s="91">
        <f>'Model (SN)'!Q38</f>
        <v>4145.2346955915073</v>
      </c>
      <c r="R15" s="91">
        <f>'Model (SN)'!R38</f>
        <v>4117.2086769590796</v>
      </c>
      <c r="S15" s="91">
        <f>'Model (SN)'!S38</f>
        <v>4099.1888068701683</v>
      </c>
      <c r="T15" s="91">
        <f>'Model (SN)'!T38</f>
        <v>4087.6471394192909</v>
      </c>
      <c r="U15" s="91">
        <f>'Model (SN)'!U38</f>
        <v>4080.275371747156</v>
      </c>
      <c r="V15" s="91">
        <f>'Model (SN)'!V38</f>
        <v>4075.576549945421</v>
      </c>
    </row>
    <row r="16" spans="1:24" s="116" customFormat="1" x14ac:dyDescent="0.25">
      <c r="A16" s="151"/>
      <c r="B16" s="152" t="s">
        <v>22</v>
      </c>
      <c r="C16" s="99">
        <f>SUM(C13:C15)</f>
        <v>19005.620647669657</v>
      </c>
      <c r="D16" s="100">
        <f t="shared" ref="D16:V16" si="1">SUM(D13:D15)</f>
        <v>19806.29342970506</v>
      </c>
      <c r="E16" s="100">
        <f t="shared" si="1"/>
        <v>19456.169298961133</v>
      </c>
      <c r="F16" s="100">
        <f t="shared" si="1"/>
        <v>23112.904213492351</v>
      </c>
      <c r="G16" s="100">
        <f t="shared" si="1"/>
        <v>19200.975679347914</v>
      </c>
      <c r="H16" s="100">
        <f t="shared" si="1"/>
        <v>17027.644117624681</v>
      </c>
      <c r="I16" s="100">
        <f t="shared" si="1"/>
        <v>15551.664745857035</v>
      </c>
      <c r="J16" s="100">
        <f t="shared" si="1"/>
        <v>14403.374276381528</v>
      </c>
      <c r="K16" s="100">
        <f t="shared" si="1"/>
        <v>13528.593187760249</v>
      </c>
      <c r="L16" s="142">
        <f>SUM(L13:L15)</f>
        <v>12897.070330330364</v>
      </c>
      <c r="M16" s="100">
        <f t="shared" si="1"/>
        <v>12459.4958269747</v>
      </c>
      <c r="N16" s="101">
        <f t="shared" si="1"/>
        <v>12164.565231126187</v>
      </c>
      <c r="O16" s="100">
        <f>SUM(O13:O15)</f>
        <v>11969.418099229955</v>
      </c>
      <c r="P16" s="100">
        <f t="shared" si="1"/>
        <v>11841.907160642422</v>
      </c>
      <c r="Q16" s="100">
        <f t="shared" si="1"/>
        <v>11759.311523887443</v>
      </c>
      <c r="R16" s="100">
        <f t="shared" si="1"/>
        <v>11706.13541419696</v>
      </c>
      <c r="S16" s="100">
        <f t="shared" si="1"/>
        <v>11672.047955388194</v>
      </c>
      <c r="T16" s="100">
        <f t="shared" si="1"/>
        <v>11650.264570964138</v>
      </c>
      <c r="U16" s="100">
        <f t="shared" si="1"/>
        <v>11636.375134300511</v>
      </c>
      <c r="V16" s="100">
        <f t="shared" si="1"/>
        <v>11627.53335380711</v>
      </c>
    </row>
    <row r="17" spans="1:24" s="88" customFormat="1" x14ac:dyDescent="0.25">
      <c r="A17" s="150" t="s">
        <v>25</v>
      </c>
      <c r="C17" s="147"/>
      <c r="D17" s="103"/>
      <c r="E17" s="103"/>
      <c r="F17" s="103"/>
      <c r="G17" s="103"/>
      <c r="H17" s="91"/>
      <c r="I17" s="124"/>
      <c r="J17" s="124"/>
      <c r="K17" s="124"/>
      <c r="L17" s="208"/>
      <c r="M17" s="124"/>
      <c r="N17" s="124"/>
      <c r="O17" s="124"/>
      <c r="P17" s="124"/>
      <c r="Q17" s="124"/>
      <c r="R17" s="124"/>
      <c r="S17" s="124"/>
      <c r="T17" s="124"/>
      <c r="U17" s="124"/>
      <c r="V17" s="124"/>
      <c r="W17" s="64"/>
      <c r="X17" s="64"/>
    </row>
    <row r="18" spans="1:24" s="64" customFormat="1" x14ac:dyDescent="0.25">
      <c r="A18" s="86"/>
      <c r="B18" s="64" t="s">
        <v>292</v>
      </c>
      <c r="C18" s="90"/>
      <c r="D18" s="91"/>
      <c r="E18" s="91"/>
      <c r="F18" s="91"/>
      <c r="G18" s="91"/>
      <c r="H18" s="91"/>
      <c r="I18" s="91"/>
      <c r="J18" s="91"/>
      <c r="K18" s="91"/>
      <c r="L18" s="140"/>
      <c r="M18" s="91"/>
      <c r="N18" s="91"/>
      <c r="O18" s="91"/>
      <c r="P18" s="91"/>
      <c r="Q18" s="91"/>
      <c r="R18" s="91"/>
      <c r="S18" s="91"/>
      <c r="T18" s="91"/>
      <c r="U18" s="91"/>
      <c r="V18" s="91"/>
    </row>
    <row r="19" spans="1:24" s="64" customFormat="1" x14ac:dyDescent="0.25">
      <c r="A19" s="86"/>
      <c r="B19" s="64" t="s">
        <v>141</v>
      </c>
      <c r="C19" s="90">
        <f>'Model (SN)'!C14</f>
        <v>499.08600271353481</v>
      </c>
      <c r="D19" s="91">
        <f>'Model (SN)'!D14</f>
        <v>2299.209312918696</v>
      </c>
      <c r="E19" s="91">
        <f>'Model (SN)'!E14</f>
        <v>4404.6622598193253</v>
      </c>
      <c r="F19" s="91">
        <f>'Model (SN)'!F14</f>
        <v>6462.0346163191389</v>
      </c>
      <c r="G19" s="91">
        <f>'Model (SN)'!G14</f>
        <v>8503.4940796788851</v>
      </c>
      <c r="H19" s="91">
        <f>'Model (SN)'!H14</f>
        <v>10428.014914081959</v>
      </c>
      <c r="I19" s="91">
        <f>'Model (SN)'!I14</f>
        <v>12198.303815214915</v>
      </c>
      <c r="J19" s="91">
        <f>'Model (SN)'!J14</f>
        <v>13805.453763251333</v>
      </c>
      <c r="K19" s="91">
        <f>'Model (SN)'!K14</f>
        <v>15259.913839575041</v>
      </c>
      <c r="L19" s="140">
        <f>'Model (SN)'!L14</f>
        <v>16693.223843708023</v>
      </c>
      <c r="M19" s="91">
        <f>'Model (SN)'!M14</f>
        <v>17978.535183536027</v>
      </c>
      <c r="N19" s="92">
        <f>'Model (SN)'!N14</f>
        <v>19154.897929417901</v>
      </c>
      <c r="O19" s="91">
        <f>'Model (SN)'!O14</f>
        <v>20248.503491143521</v>
      </c>
      <c r="P19" s="91">
        <f>'Model (SN)'!P14</f>
        <v>21277.810051605207</v>
      </c>
      <c r="Q19" s="91">
        <f>'Model (SN)'!Q14</f>
        <v>22256.105346976688</v>
      </c>
      <c r="R19" s="91">
        <f>'Model (SN)'!R14</f>
        <v>23193.020617802165</v>
      </c>
      <c r="S19" s="91">
        <f>'Model (SN)'!S14</f>
        <v>24095.545925151968</v>
      </c>
      <c r="T19" s="91">
        <f>'Model (SN)'!T14</f>
        <v>24968.757836584067</v>
      </c>
      <c r="U19" s="91">
        <f>'Model (SN)'!U14</f>
        <v>25816.353126912698</v>
      </c>
      <c r="V19" s="91">
        <f>'Model (SN)'!V14</f>
        <v>26641.040648236038</v>
      </c>
    </row>
    <row r="20" spans="1:24" s="64" customFormat="1" x14ac:dyDescent="0.25">
      <c r="A20" s="86"/>
      <c r="B20" s="64" t="s">
        <v>142</v>
      </c>
      <c r="C20" s="90">
        <f>'Model (SN)'!C15</f>
        <v>0</v>
      </c>
      <c r="D20" s="91">
        <f>'Model (SN)'!D15</f>
        <v>220.67967048466105</v>
      </c>
      <c r="E20" s="91">
        <f>'Model (SN)'!E15</f>
        <v>624.87739869154939</v>
      </c>
      <c r="F20" s="91">
        <f>'Model (SN)'!F15</f>
        <v>1189.5791726580394</v>
      </c>
      <c r="G20" s="91">
        <f>'Model (SN)'!G15</f>
        <v>1815.3855211759815</v>
      </c>
      <c r="H20" s="91">
        <f>'Model (SN)'!H15</f>
        <v>2473.3180098342605</v>
      </c>
      <c r="I20" s="91">
        <f>'Model (SN)'!I15</f>
        <v>3134.9878761240998</v>
      </c>
      <c r="J20" s="91">
        <f>'Model (SN)'!J15</f>
        <v>3784.3807057842246</v>
      </c>
      <c r="K20" s="91">
        <f>'Model (SN)'!K15</f>
        <v>4413.7442422773511</v>
      </c>
      <c r="L20" s="140">
        <f>'Model (SN)'!L15</f>
        <v>5095.7766578989049</v>
      </c>
      <c r="M20" s="91">
        <f>'Model (SN)'!M15</f>
        <v>5728.3090411959238</v>
      </c>
      <c r="N20" s="92">
        <f>'Model (SN)'!N15</f>
        <v>6330.9042602031959</v>
      </c>
      <c r="O20" s="91">
        <f>'Model (SN)'!O15</f>
        <v>6914.3487287038961</v>
      </c>
      <c r="P20" s="91">
        <f>'Model (SN)'!P15</f>
        <v>7485.3393941523045</v>
      </c>
      <c r="Q20" s="91">
        <f>'Model (SN)'!Q15</f>
        <v>8048.3559855658577</v>
      </c>
      <c r="R20" s="91">
        <f>'Model (SN)'!R15</f>
        <v>8606.4924485245901</v>
      </c>
      <c r="S20" s="91">
        <f>'Model (SN)'!S15</f>
        <v>9161.8923015208329</v>
      </c>
      <c r="T20" s="91">
        <f>'Model (SN)'!T15</f>
        <v>9716.0185529755199</v>
      </c>
      <c r="U20" s="91">
        <f>'Model (SN)'!U15</f>
        <v>10269.841223839057</v>
      </c>
      <c r="V20" s="91">
        <f>'Model (SN)'!V15</f>
        <v>10823.974530334608</v>
      </c>
    </row>
    <row r="21" spans="1:24" s="64" customFormat="1" x14ac:dyDescent="0.25">
      <c r="A21" s="86"/>
      <c r="B21" s="63" t="s">
        <v>293</v>
      </c>
      <c r="C21" s="90">
        <f>SUM(C19:C20)</f>
        <v>499.08600271353481</v>
      </c>
      <c r="D21" s="91">
        <f t="shared" ref="D21:V21" si="2">SUM(D19:D20)</f>
        <v>2519.8889834033571</v>
      </c>
      <c r="E21" s="91">
        <f t="shared" si="2"/>
        <v>5029.5396585108747</v>
      </c>
      <c r="F21" s="91">
        <f t="shared" si="2"/>
        <v>7651.613788977178</v>
      </c>
      <c r="G21" s="91">
        <f t="shared" si="2"/>
        <v>10318.879600854867</v>
      </c>
      <c r="H21" s="91">
        <f t="shared" si="2"/>
        <v>12901.332923916219</v>
      </c>
      <c r="I21" s="91">
        <f t="shared" si="2"/>
        <v>15333.291691339015</v>
      </c>
      <c r="J21" s="91">
        <f t="shared" si="2"/>
        <v>17589.834469035559</v>
      </c>
      <c r="K21" s="91">
        <f t="shared" si="2"/>
        <v>19673.658081852394</v>
      </c>
      <c r="L21" s="140">
        <f t="shared" si="2"/>
        <v>21789.000501606926</v>
      </c>
      <c r="M21" s="91">
        <f t="shared" si="2"/>
        <v>23706.844224731951</v>
      </c>
      <c r="N21" s="92">
        <f t="shared" si="2"/>
        <v>25485.802189621096</v>
      </c>
      <c r="O21" s="91">
        <f t="shared" si="2"/>
        <v>27162.852219847417</v>
      </c>
      <c r="P21" s="91">
        <f t="shared" si="2"/>
        <v>28763.14944575751</v>
      </c>
      <c r="Q21" s="91">
        <f t="shared" si="2"/>
        <v>30304.461332542545</v>
      </c>
      <c r="R21" s="91">
        <f t="shared" si="2"/>
        <v>31799.513066326756</v>
      </c>
      <c r="S21" s="91">
        <f t="shared" si="2"/>
        <v>33257.438226672799</v>
      </c>
      <c r="T21" s="91">
        <f t="shared" si="2"/>
        <v>34684.776389559585</v>
      </c>
      <c r="U21" s="91">
        <f t="shared" si="2"/>
        <v>36086.194350751757</v>
      </c>
      <c r="V21" s="91">
        <f t="shared" si="2"/>
        <v>37465.015178570648</v>
      </c>
    </row>
    <row r="22" spans="1:24" s="64" customFormat="1" x14ac:dyDescent="0.25">
      <c r="A22" s="86"/>
      <c r="B22" s="64" t="s">
        <v>294</v>
      </c>
      <c r="C22" s="90"/>
      <c r="D22" s="91"/>
      <c r="E22" s="91"/>
      <c r="F22" s="91"/>
      <c r="G22" s="91"/>
      <c r="H22" s="209"/>
      <c r="I22" s="91"/>
      <c r="J22" s="91"/>
      <c r="K22" s="91"/>
      <c r="L22" s="140"/>
      <c r="M22" s="91"/>
      <c r="N22" s="92"/>
      <c r="O22" s="91"/>
      <c r="P22" s="91"/>
      <c r="Q22" s="91"/>
      <c r="R22" s="91"/>
      <c r="S22" s="91"/>
      <c r="T22" s="91"/>
      <c r="U22" s="91"/>
      <c r="V22" s="91"/>
    </row>
    <row r="23" spans="1:24" s="64" customFormat="1" x14ac:dyDescent="0.25">
      <c r="A23" s="86"/>
      <c r="B23" s="64" t="s">
        <v>141</v>
      </c>
      <c r="C23" s="90">
        <f>'Model (SN)'!C39+'Model (SN)'!C40</f>
        <v>2500.913997286465</v>
      </c>
      <c r="D23" s="91">
        <f>'Model (SN)'!D39+'Model (SN)'!D40</f>
        <v>5141.8936601885216</v>
      </c>
      <c r="E23" s="91">
        <f>'Model (SN)'!E39+'Model (SN)'!E40</f>
        <v>6935.1194489196296</v>
      </c>
      <c r="F23" s="91">
        <f>'Model (SN)'!F39+'Model (SN)'!F40</f>
        <v>10818.035726907423</v>
      </c>
      <c r="G23" s="91">
        <f>'Model (SN)'!G39+'Model (SN)'!G40</f>
        <v>15677.212641481012</v>
      </c>
      <c r="H23" s="91">
        <f>'Model (SN)'!H39+'Model (SN)'!H40</f>
        <v>18724.737808001493</v>
      </c>
      <c r="I23" s="91">
        <f>'Model (SN)'!I39+'Model (SN)'!I40</f>
        <v>21034.24180430784</v>
      </c>
      <c r="J23" s="91">
        <f>'Model (SN)'!J39+'Model (SN)'!J40</f>
        <v>22877.723147971174</v>
      </c>
      <c r="K23" s="91">
        <f>'Model (SN)'!K39+'Model (SN)'!K40</f>
        <v>24348.370277741695</v>
      </c>
      <c r="L23" s="140">
        <f>'Model (SN)'!L39+'Model (SN)'!L40</f>
        <v>25523.911410417761</v>
      </c>
      <c r="M23" s="91">
        <f>'Model (SN)'!M39+'Model (SN)'!M40</f>
        <v>26448.302204633997</v>
      </c>
      <c r="N23" s="92">
        <f>'Model (SN)'!N39+'Model (SN)'!N40</f>
        <v>27202.328047369934</v>
      </c>
      <c r="O23" s="91">
        <f>'Model (SN)'!O39+'Model (SN)'!O40</f>
        <v>27834.398072373751</v>
      </c>
      <c r="P23" s="91">
        <f>'Model (SN)'!P39+'Model (SN)'!P40</f>
        <v>28378.091247979075</v>
      </c>
      <c r="Q23" s="91">
        <f>'Model (SN)'!Q39+'Model (SN)'!Q40</f>
        <v>28856.427479457627</v>
      </c>
      <c r="R23" s="91">
        <f>'Model (SN)'!R39+'Model (SN)'!R40</f>
        <v>29285.151242757609</v>
      </c>
      <c r="S23" s="91">
        <f>'Model (SN)'!S39+'Model (SN)'!S40</f>
        <v>29675.055045786172</v>
      </c>
      <c r="T23" s="91">
        <f>'Model (SN)'!T39+'Model (SN)'!T40</f>
        <v>30033.594825889359</v>
      </c>
      <c r="U23" s="91">
        <f>'Model (SN)'!U39+'Model (SN)'!U40</f>
        <v>30365.993379510168</v>
      </c>
      <c r="V23" s="91">
        <f>'Model (SN)'!V39+'Model (SN)'!V40</f>
        <v>30675.983759464852</v>
      </c>
    </row>
    <row r="24" spans="1:24" s="64" customFormat="1" x14ac:dyDescent="0.25">
      <c r="A24" s="86"/>
      <c r="B24" s="64" t="s">
        <v>142</v>
      </c>
      <c r="C24" s="90">
        <f>'Model (SN)'!C41</f>
        <v>0</v>
      </c>
      <c r="D24" s="91">
        <f>'Model (SN)'!D41</f>
        <v>47.753212063060928</v>
      </c>
      <c r="E24" s="91">
        <f>'Model (SN)'!E41</f>
        <v>241.06460795415808</v>
      </c>
      <c r="F24" s="91">
        <f>'Model (SN)'!F41</f>
        <v>591.92359014245085</v>
      </c>
      <c r="G24" s="91">
        <f>'Model (SN)'!G41</f>
        <v>1042.7108028531093</v>
      </c>
      <c r="H24" s="91">
        <f>'Model (SN)'!H41</f>
        <v>1635.0712853489022</v>
      </c>
      <c r="I24" s="91">
        <f>'Model (SN)'!I41</f>
        <v>2297.613127810238</v>
      </c>
      <c r="J24" s="91">
        <f>'Model (SN)'!J41</f>
        <v>2960.9625607337603</v>
      </c>
      <c r="K24" s="91">
        <f>'Model (SN)'!K41</f>
        <v>3602.5556287286945</v>
      </c>
      <c r="L24" s="140">
        <f>'Model (SN)'!L41</f>
        <v>4296.915727131066</v>
      </c>
      <c r="M24" s="91">
        <f>'Model (SN)'!M41</f>
        <v>4905.0060658206876</v>
      </c>
      <c r="N24" s="92">
        <f>'Model (SN)'!N41</f>
        <v>5453.1298368446687</v>
      </c>
      <c r="O24" s="91">
        <f>'Model (SN)'!O41</f>
        <v>5951.5391156831802</v>
      </c>
      <c r="P24" s="91">
        <f>'Model (SN)'!P41</f>
        <v>6406.7706264233138</v>
      </c>
      <c r="Q24" s="91">
        <f>'Model (SN)'!Q41</f>
        <v>6823.8219053735629</v>
      </c>
      <c r="R24" s="91">
        <f>'Model (SN)'!R41</f>
        <v>7206.8833010368562</v>
      </c>
      <c r="S24" s="91">
        <f>'Model (SN)'!S41</f>
        <v>7559.5781882948095</v>
      </c>
      <c r="T24" s="91">
        <f>'Model (SN)'!T41</f>
        <v>7885.0620633085546</v>
      </c>
      <c r="U24" s="91">
        <f>'Model (SN)'!U41</f>
        <v>8186.0853875554003</v>
      </c>
      <c r="V24" s="91">
        <f>'Model (SN)'!V41</f>
        <v>8465.0475082879238</v>
      </c>
    </row>
    <row r="25" spans="1:24" s="64" customFormat="1" x14ac:dyDescent="0.25">
      <c r="A25" s="86"/>
      <c r="B25" s="64" t="s">
        <v>293</v>
      </c>
      <c r="C25" s="90">
        <f>SUM(C23:C24)</f>
        <v>2500.913997286465</v>
      </c>
      <c r="D25" s="91">
        <f t="shared" ref="D25:V25" si="3">SUM(D23:D24)</f>
        <v>5189.6468722515829</v>
      </c>
      <c r="E25" s="91">
        <f t="shared" si="3"/>
        <v>7176.184056873788</v>
      </c>
      <c r="F25" s="91">
        <f t="shared" si="3"/>
        <v>11409.959317049874</v>
      </c>
      <c r="G25" s="91">
        <f t="shared" si="3"/>
        <v>16719.923444334119</v>
      </c>
      <c r="H25" s="91">
        <f t="shared" si="3"/>
        <v>20359.809093350395</v>
      </c>
      <c r="I25" s="91">
        <f t="shared" si="3"/>
        <v>23331.854932118076</v>
      </c>
      <c r="J25" s="91">
        <f t="shared" si="3"/>
        <v>25838.685708704936</v>
      </c>
      <c r="K25" s="91">
        <f t="shared" si="3"/>
        <v>27950.925906470387</v>
      </c>
      <c r="L25" s="140">
        <f t="shared" si="3"/>
        <v>29820.827137548826</v>
      </c>
      <c r="M25" s="91">
        <f t="shared" si="3"/>
        <v>31353.308270454683</v>
      </c>
      <c r="N25" s="92">
        <f t="shared" si="3"/>
        <v>32655.457884214604</v>
      </c>
      <c r="O25" s="91">
        <f t="shared" si="3"/>
        <v>33785.937188056931</v>
      </c>
      <c r="P25" s="91">
        <f t="shared" si="3"/>
        <v>34784.861874402392</v>
      </c>
      <c r="Q25" s="91">
        <f t="shared" si="3"/>
        <v>35680.249384831186</v>
      </c>
      <c r="R25" s="91">
        <f t="shared" si="3"/>
        <v>36492.034543794463</v>
      </c>
      <c r="S25" s="91">
        <f t="shared" si="3"/>
        <v>37234.633234080982</v>
      </c>
      <c r="T25" s="91">
        <f t="shared" si="3"/>
        <v>37918.656889197911</v>
      </c>
      <c r="U25" s="91">
        <f t="shared" si="3"/>
        <v>38552.07876706557</v>
      </c>
      <c r="V25" s="91">
        <f t="shared" si="3"/>
        <v>39141.031267752776</v>
      </c>
    </row>
    <row r="26" spans="1:24" s="64" customFormat="1" x14ac:dyDescent="0.25">
      <c r="A26" s="86"/>
      <c r="B26" s="63" t="s">
        <v>295</v>
      </c>
      <c r="C26" s="90">
        <f>C19+C23</f>
        <v>3000</v>
      </c>
      <c r="D26" s="91">
        <f t="shared" ref="D26:V27" si="4">D19+D23</f>
        <v>7441.1029731072176</v>
      </c>
      <c r="E26" s="91">
        <f t="shared" si="4"/>
        <v>11339.781708738956</v>
      </c>
      <c r="F26" s="91">
        <f t="shared" si="4"/>
        <v>17280.070343226562</v>
      </c>
      <c r="G26" s="91">
        <f t="shared" si="4"/>
        <v>24180.706721159899</v>
      </c>
      <c r="H26" s="91">
        <f t="shared" si="4"/>
        <v>29152.752722083453</v>
      </c>
      <c r="I26" s="91">
        <f t="shared" si="4"/>
        <v>33232.545619522753</v>
      </c>
      <c r="J26" s="91">
        <f t="shared" si="4"/>
        <v>36683.176911222508</v>
      </c>
      <c r="K26" s="91">
        <f t="shared" si="4"/>
        <v>39608.28411731674</v>
      </c>
      <c r="L26" s="140">
        <f t="shared" si="4"/>
        <v>42217.13525412578</v>
      </c>
      <c r="M26" s="91">
        <f t="shared" si="4"/>
        <v>44426.837388170024</v>
      </c>
      <c r="N26" s="92">
        <f t="shared" si="4"/>
        <v>46357.225976787835</v>
      </c>
      <c r="O26" s="91">
        <f t="shared" si="4"/>
        <v>48082.901563517269</v>
      </c>
      <c r="P26" s="91">
        <f t="shared" si="4"/>
        <v>49655.901299584279</v>
      </c>
      <c r="Q26" s="91">
        <f t="shared" si="4"/>
        <v>51112.532826434312</v>
      </c>
      <c r="R26" s="91">
        <f t="shared" si="4"/>
        <v>52478.171860559771</v>
      </c>
      <c r="S26" s="91">
        <f t="shared" si="4"/>
        <v>53770.60097093814</v>
      </c>
      <c r="T26" s="91">
        <f t="shared" si="4"/>
        <v>55002.352662473422</v>
      </c>
      <c r="U26" s="91">
        <f t="shared" si="4"/>
        <v>56182.346506422866</v>
      </c>
      <c r="V26" s="91">
        <f t="shared" si="4"/>
        <v>57317.02440770089</v>
      </c>
    </row>
    <row r="27" spans="1:24" s="64" customFormat="1" x14ac:dyDescent="0.25">
      <c r="A27" s="86"/>
      <c r="B27" s="63" t="s">
        <v>296</v>
      </c>
      <c r="C27" s="90">
        <f>C20+C24</f>
        <v>0</v>
      </c>
      <c r="D27" s="91">
        <f t="shared" si="4"/>
        <v>268.43288254772199</v>
      </c>
      <c r="E27" s="91">
        <f t="shared" si="4"/>
        <v>865.94200664570747</v>
      </c>
      <c r="F27" s="91">
        <f t="shared" si="4"/>
        <v>1781.5027628004902</v>
      </c>
      <c r="G27" s="91">
        <f t="shared" si="4"/>
        <v>2858.0963240290907</v>
      </c>
      <c r="H27" s="91">
        <f t="shared" si="4"/>
        <v>4108.3892951831622</v>
      </c>
      <c r="I27" s="91">
        <f t="shared" si="4"/>
        <v>5432.6010039343382</v>
      </c>
      <c r="J27" s="91">
        <f t="shared" si="4"/>
        <v>6745.3432665179844</v>
      </c>
      <c r="K27" s="91">
        <f t="shared" si="4"/>
        <v>8016.2998710060456</v>
      </c>
      <c r="L27" s="140">
        <f t="shared" si="4"/>
        <v>9392.6923850299718</v>
      </c>
      <c r="M27" s="91">
        <f t="shared" si="4"/>
        <v>10633.315107016611</v>
      </c>
      <c r="N27" s="92">
        <f t="shared" si="4"/>
        <v>11784.034097047865</v>
      </c>
      <c r="O27" s="91">
        <f t="shared" si="4"/>
        <v>12865.887844387076</v>
      </c>
      <c r="P27" s="91">
        <f t="shared" si="4"/>
        <v>13892.110020575619</v>
      </c>
      <c r="Q27" s="91">
        <f t="shared" si="4"/>
        <v>14872.17789093942</v>
      </c>
      <c r="R27" s="91">
        <f t="shared" si="4"/>
        <v>15813.375749561446</v>
      </c>
      <c r="S27" s="91">
        <f t="shared" si="4"/>
        <v>16721.470489815641</v>
      </c>
      <c r="T27" s="91">
        <f t="shared" si="4"/>
        <v>17601.080616284074</v>
      </c>
      <c r="U27" s="91">
        <f t="shared" si="4"/>
        <v>18455.926611394458</v>
      </c>
      <c r="V27" s="91">
        <f t="shared" si="4"/>
        <v>19289.022038622534</v>
      </c>
    </row>
    <row r="28" spans="1:24" s="116" customFormat="1" x14ac:dyDescent="0.25">
      <c r="A28" s="151"/>
      <c r="B28" s="116" t="s">
        <v>87</v>
      </c>
      <c r="C28" s="99">
        <f>SUM(C26:C27)</f>
        <v>3000</v>
      </c>
      <c r="D28" s="100">
        <f t="shared" ref="D28:V28" si="5">SUM(D26:D27)</f>
        <v>7709.53585565494</v>
      </c>
      <c r="E28" s="100">
        <f t="shared" si="5"/>
        <v>12205.723715384664</v>
      </c>
      <c r="F28" s="100">
        <f t="shared" si="5"/>
        <v>19061.573106027052</v>
      </c>
      <c r="G28" s="100">
        <f t="shared" si="5"/>
        <v>27038.80304518899</v>
      </c>
      <c r="H28" s="100">
        <f t="shared" si="5"/>
        <v>33261.142017266611</v>
      </c>
      <c r="I28" s="100">
        <f t="shared" si="5"/>
        <v>38665.146623457091</v>
      </c>
      <c r="J28" s="100">
        <f t="shared" si="5"/>
        <v>43428.520177740495</v>
      </c>
      <c r="K28" s="100">
        <f t="shared" si="5"/>
        <v>47624.583988322789</v>
      </c>
      <c r="L28" s="142">
        <f t="shared" si="5"/>
        <v>51609.827639155752</v>
      </c>
      <c r="M28" s="100">
        <f t="shared" si="5"/>
        <v>55060.152495186638</v>
      </c>
      <c r="N28" s="101">
        <f t="shared" si="5"/>
        <v>58141.2600738357</v>
      </c>
      <c r="O28" s="100">
        <f t="shared" si="5"/>
        <v>60948.789407904347</v>
      </c>
      <c r="P28" s="100">
        <f t="shared" si="5"/>
        <v>63548.011320159902</v>
      </c>
      <c r="Q28" s="100">
        <f t="shared" si="5"/>
        <v>65984.710717373731</v>
      </c>
      <c r="R28" s="100">
        <f t="shared" si="5"/>
        <v>68291.547610121212</v>
      </c>
      <c r="S28" s="100">
        <f t="shared" si="5"/>
        <v>70492.071460753781</v>
      </c>
      <c r="T28" s="100">
        <f t="shared" si="5"/>
        <v>72603.433278757497</v>
      </c>
      <c r="U28" s="100">
        <f t="shared" si="5"/>
        <v>74638.273117817327</v>
      </c>
      <c r="V28" s="100">
        <f t="shared" si="5"/>
        <v>76606.046446323424</v>
      </c>
    </row>
    <row r="29" spans="1:24" s="64" customFormat="1" x14ac:dyDescent="0.25">
      <c r="A29" s="86" t="s">
        <v>297</v>
      </c>
      <c r="C29" s="90"/>
      <c r="D29" s="91"/>
      <c r="E29" s="91"/>
      <c r="F29" s="91"/>
      <c r="G29" s="91"/>
      <c r="H29" s="91"/>
      <c r="I29" s="91"/>
      <c r="J29" s="91"/>
      <c r="K29" s="91"/>
      <c r="L29" s="140"/>
      <c r="M29" s="91"/>
      <c r="N29" s="92"/>
      <c r="O29" s="91"/>
      <c r="P29" s="91"/>
      <c r="Q29" s="91"/>
      <c r="R29" s="91"/>
      <c r="S29" s="91"/>
      <c r="T29" s="91"/>
      <c r="U29" s="91"/>
      <c r="V29" s="91"/>
    </row>
    <row r="30" spans="1:24" s="64" customFormat="1" x14ac:dyDescent="0.25">
      <c r="A30" s="86"/>
      <c r="B30" s="63" t="s">
        <v>313</v>
      </c>
      <c r="C30" s="90">
        <f>'Model (SN)'!C5</f>
        <v>3817.4396838476564</v>
      </c>
      <c r="D30" s="91">
        <f>'Model (SN)'!D5</f>
        <v>5168.124862056472</v>
      </c>
      <c r="E30" s="91">
        <f>'Model (SN)'!E5</f>
        <v>5218.4649705873035</v>
      </c>
      <c r="F30" s="91">
        <f>'Model (SN)'!F5</f>
        <v>4858.916368725454</v>
      </c>
      <c r="G30" s="91">
        <f>'Model (SN)'!G5</f>
        <v>4603.4398464294745</v>
      </c>
      <c r="H30" s="91">
        <f>'Model (SN)'!H5</f>
        <v>4374.2587873480752</v>
      </c>
      <c r="I30" s="91">
        <f>'Model (SN)'!I5</f>
        <v>4141.1542254728547</v>
      </c>
      <c r="J30" s="91">
        <f>'Model (SN)'!J5</f>
        <v>3902.0020287967718</v>
      </c>
      <c r="K30" s="91">
        <f>'Model (SN)'!K5</f>
        <v>3675.4188670674394</v>
      </c>
      <c r="L30" s="140">
        <f>'Model (SN)'!L5</f>
        <v>3438.7320236770211</v>
      </c>
      <c r="M30" s="91">
        <f>'Model (SN)'!M5</f>
        <v>3250.3436939997864</v>
      </c>
      <c r="N30" s="92">
        <f>'Model (SN)'!N5</f>
        <v>3104.750172061978</v>
      </c>
      <c r="O30" s="91">
        <f>'Model (SN)'!O5</f>
        <v>2994.8960333115738</v>
      </c>
      <c r="P30" s="91">
        <f>'Model (SN)'!P5</f>
        <v>2913.6008711857048</v>
      </c>
      <c r="Q30" s="91">
        <f>'Model (SN)'!Q5</f>
        <v>2854.381674136042</v>
      </c>
      <c r="R30" s="91">
        <f>'Model (SN)'!R5</f>
        <v>2811.7981971456943</v>
      </c>
      <c r="S30" s="91">
        <f>'Model (SN)'!S5</f>
        <v>2781.5037622259633</v>
      </c>
      <c r="T30" s="91">
        <f>'Model (SN)'!T5</f>
        <v>2760.1445812678439</v>
      </c>
      <c r="U30" s="91">
        <f>'Model (SN)'!U5</f>
        <v>2745.1992047837603</v>
      </c>
      <c r="V30" s="91">
        <f>'Model (SN)'!V5</f>
        <v>2734.8093186548981</v>
      </c>
    </row>
    <row r="31" spans="1:24" s="64" customFormat="1" x14ac:dyDescent="0.25">
      <c r="A31" s="86"/>
      <c r="B31" s="63" t="s">
        <v>314</v>
      </c>
      <c r="C31" s="90"/>
      <c r="D31" s="91"/>
      <c r="E31" s="91"/>
      <c r="F31" s="91"/>
      <c r="G31" s="91"/>
      <c r="H31" s="91"/>
      <c r="I31" s="91"/>
      <c r="J31" s="91"/>
      <c r="K31" s="91"/>
      <c r="L31" s="140"/>
      <c r="M31" s="91"/>
      <c r="N31" s="92"/>
      <c r="O31" s="91"/>
      <c r="P31" s="91"/>
      <c r="Q31" s="91"/>
      <c r="R31" s="91"/>
      <c r="S31" s="91"/>
      <c r="T31" s="91"/>
      <c r="U31" s="91"/>
      <c r="V31" s="91"/>
    </row>
    <row r="32" spans="1:24" s="64" customFormat="1" x14ac:dyDescent="0.25">
      <c r="A32" s="86"/>
      <c r="B32" s="63" t="s">
        <v>298</v>
      </c>
      <c r="C32" s="90">
        <f>'Model (SN)'!C21</f>
        <v>1428.0954159393805</v>
      </c>
      <c r="D32" s="91">
        <f>'Model (SN)'!D21</f>
        <v>2557.6519129155599</v>
      </c>
      <c r="E32" s="91">
        <f>'Model (SN)'!E21</f>
        <v>3516.3534134526676</v>
      </c>
      <c r="F32" s="91">
        <f>'Model (SN)'!F21</f>
        <v>3824.2789354652173</v>
      </c>
      <c r="G32" s="91">
        <f>'Model (SN)'!G21</f>
        <v>3940.1538690495922</v>
      </c>
      <c r="H32" s="91">
        <f>'Model (SN)'!H21</f>
        <v>3874.6231346017307</v>
      </c>
      <c r="I32" s="91">
        <f>'Model (SN)'!I21</f>
        <v>3711.7852614481217</v>
      </c>
      <c r="J32" s="91">
        <f>'Model (SN)'!J21</f>
        <v>3507.2997515414545</v>
      </c>
      <c r="K32" s="91">
        <f>'Model (SN)'!K21</f>
        <v>3298.5079996850695</v>
      </c>
      <c r="L32" s="140">
        <f>'Model (SN)'!L21</f>
        <v>2974.9486397784322</v>
      </c>
      <c r="M32" s="91">
        <f>'Model (SN)'!M21</f>
        <v>2760.9314202424507</v>
      </c>
      <c r="N32" s="92">
        <f>'Model (SN)'!N21</f>
        <v>2612.1907068112869</v>
      </c>
      <c r="O32" s="91">
        <f>'Model (SN)'!O21</f>
        <v>2506.5971967795417</v>
      </c>
      <c r="P32" s="91">
        <f>'Model (SN)'!P21</f>
        <v>2431.2451887013231</v>
      </c>
      <c r="Q32" s="91">
        <f>'Model (SN)'!Q21</f>
        <v>2377.610675102153</v>
      </c>
      <c r="R32" s="91">
        <f>'Model (SN)'!R21</f>
        <v>2339.6515941915836</v>
      </c>
      <c r="S32" s="91">
        <f>'Model (SN)'!S21</f>
        <v>2312.9637320276697</v>
      </c>
      <c r="T32" s="91">
        <f>'Model (SN)'!T21</f>
        <v>2294.3221870252428</v>
      </c>
      <c r="U32" s="91">
        <f>'Model (SN)'!U21</f>
        <v>2281.3790943882327</v>
      </c>
      <c r="V32" s="91">
        <f>'Model (SN)'!V21</f>
        <v>2272.4408554179477</v>
      </c>
    </row>
    <row r="33" spans="1:23" s="64" customFormat="1" x14ac:dyDescent="0.25">
      <c r="A33" s="86"/>
      <c r="B33" s="63" t="s">
        <v>299</v>
      </c>
      <c r="C33" s="90">
        <f>'Model (SN)'!C22</f>
        <v>0</v>
      </c>
      <c r="D33" s="91">
        <f>'Model (SN)'!D22</f>
        <v>7.1796142551032087</v>
      </c>
      <c r="E33" s="91">
        <f>'Model (SN)'!E22</f>
        <v>39.400544928700036</v>
      </c>
      <c r="F33" s="91">
        <f>'Model (SN)'!F22</f>
        <v>89.642646852443576</v>
      </c>
      <c r="G33" s="91">
        <f>'Model (SN)'!G22</f>
        <v>149.41022069478061</v>
      </c>
      <c r="H33" s="91">
        <f>'Model (SN)'!H22</f>
        <v>214.00794806395979</v>
      </c>
      <c r="I33" s="91">
        <f>'Model (SN)'!I22</f>
        <v>279.50521171079424</v>
      </c>
      <c r="J33" s="91">
        <f>'Model (SN)'!J22</f>
        <v>343.23227419099533</v>
      </c>
      <c r="K33" s="91">
        <f>'Model (SN)'!K22</f>
        <v>403.65907101669819</v>
      </c>
      <c r="L33" s="140">
        <f>'Model (SN)'!L22</f>
        <v>443.84513523272028</v>
      </c>
      <c r="M33" s="91">
        <f>'Model (SN)'!M22</f>
        <v>490.28671551616861</v>
      </c>
      <c r="N33" s="92">
        <f>'Model (SN)'!N22</f>
        <v>536.37954849051152</v>
      </c>
      <c r="O33" s="91">
        <f>'Model (SN)'!O22</f>
        <v>580.33548606663499</v>
      </c>
      <c r="P33" s="91">
        <f>'Model (SN)'!P22</f>
        <v>621.97402470146312</v>
      </c>
      <c r="Q33" s="91">
        <f>'Model (SN)'!Q22</f>
        <v>661.58511642069016</v>
      </c>
      <c r="R33" s="91">
        <f>'Model (SN)'!R22</f>
        <v>699.53988065933072</v>
      </c>
      <c r="S33" s="91">
        <f>'Model (SN)'!S22</f>
        <v>736.16924041974971</v>
      </c>
      <c r="T33" s="91">
        <f>'Model (SN)'!T22</f>
        <v>771.73643615797687</v>
      </c>
      <c r="U33" s="91">
        <f>'Model (SN)'!U22</f>
        <v>806.44042557857767</v>
      </c>
      <c r="V33" s="91">
        <f>'Model (SN)'!V22</f>
        <v>840.42761338636728</v>
      </c>
    </row>
    <row r="34" spans="1:23" s="64" customFormat="1" x14ac:dyDescent="0.25">
      <c r="A34" s="86"/>
      <c r="B34" s="63" t="s">
        <v>293</v>
      </c>
      <c r="C34" s="90">
        <f>'Model (SN)'!C23</f>
        <v>1428.0954159393805</v>
      </c>
      <c r="D34" s="91">
        <f>'Model (SN)'!D23</f>
        <v>2564.8315271706633</v>
      </c>
      <c r="E34" s="91">
        <f>'Model (SN)'!E23</f>
        <v>3555.7539583813677</v>
      </c>
      <c r="F34" s="91">
        <f>'Model (SN)'!F23</f>
        <v>3913.921582317661</v>
      </c>
      <c r="G34" s="91">
        <f>'Model (SN)'!G23</f>
        <v>4089.5640897443727</v>
      </c>
      <c r="H34" s="91">
        <f>'Model (SN)'!H23</f>
        <v>4088.6310826656904</v>
      </c>
      <c r="I34" s="91">
        <f>'Model (SN)'!I23</f>
        <v>3991.290473158916</v>
      </c>
      <c r="J34" s="91">
        <f>'Model (SN)'!J23</f>
        <v>3850.5320257324497</v>
      </c>
      <c r="K34" s="91">
        <f>'Model (SN)'!K23</f>
        <v>3702.1670707017679</v>
      </c>
      <c r="L34" s="140">
        <f>'Model (SN)'!L23</f>
        <v>3418.7937750111523</v>
      </c>
      <c r="M34" s="91">
        <f>'Model (SN)'!M23</f>
        <v>3251.2181357586192</v>
      </c>
      <c r="N34" s="92">
        <f>'Model (SN)'!N23</f>
        <v>3148.5702553017982</v>
      </c>
      <c r="O34" s="91">
        <f>'Model (SN)'!O23</f>
        <v>3086.9326828461767</v>
      </c>
      <c r="P34" s="91">
        <f>'Model (SN)'!P23</f>
        <v>3053.2192134027864</v>
      </c>
      <c r="Q34" s="91">
        <f>'Model (SN)'!Q23</f>
        <v>3039.1957915228431</v>
      </c>
      <c r="R34" s="91">
        <f>'Model (SN)'!R23</f>
        <v>3039.1914748509143</v>
      </c>
      <c r="S34" s="91">
        <f>'Model (SN)'!S23</f>
        <v>3049.1329724474194</v>
      </c>
      <c r="T34" s="91">
        <f>'Model (SN)'!T23</f>
        <v>3066.0586231832194</v>
      </c>
      <c r="U34" s="91">
        <f>'Model (SN)'!U23</f>
        <v>3087.8195199668103</v>
      </c>
      <c r="V34" s="91">
        <f>'Model (SN)'!V23</f>
        <v>3112.8684688043149</v>
      </c>
    </row>
    <row r="35" spans="1:23" s="64" customFormat="1" x14ac:dyDescent="0.25">
      <c r="A35" s="86"/>
      <c r="B35" s="63" t="s">
        <v>315</v>
      </c>
      <c r="C35" s="90"/>
      <c r="D35" s="91"/>
      <c r="E35" s="91"/>
      <c r="F35" s="91"/>
      <c r="G35" s="91"/>
      <c r="H35" s="91"/>
      <c r="I35" s="91"/>
      <c r="J35" s="91"/>
      <c r="K35" s="91"/>
      <c r="L35" s="140"/>
      <c r="M35" s="91"/>
      <c r="N35" s="92"/>
      <c r="O35" s="91"/>
      <c r="P35" s="91"/>
      <c r="Q35" s="91"/>
      <c r="R35" s="91"/>
      <c r="S35" s="91"/>
      <c r="T35" s="91"/>
      <c r="U35" s="91"/>
      <c r="V35" s="91"/>
    </row>
    <row r="36" spans="1:23" s="64" customFormat="1" x14ac:dyDescent="0.25">
      <c r="A36" s="86"/>
      <c r="B36" s="63" t="s">
        <v>298</v>
      </c>
      <c r="C36" s="90">
        <f>'Model (SN)'!C51</f>
        <v>248.84425254330867</v>
      </c>
      <c r="D36" s="91">
        <f>'Model (SN)'!D51</f>
        <v>631.19774130994074</v>
      </c>
      <c r="E36" s="91">
        <f>'Model (SN)'!E51</f>
        <v>1131.542089290743</v>
      </c>
      <c r="F36" s="91">
        <f>'Model (SN)'!F51</f>
        <v>1564.2521314715791</v>
      </c>
      <c r="G36" s="91">
        <f>'Model (SN)'!G51</f>
        <v>1933.1538566568918</v>
      </c>
      <c r="H36" s="91">
        <f>'Model (SN)'!H51</f>
        <v>1843.1847511073761</v>
      </c>
      <c r="I36" s="91">
        <f>'Model (SN)'!I51</f>
        <v>1724.3104504228641</v>
      </c>
      <c r="J36" s="91">
        <f>'Model (SN)'!J51</f>
        <v>1616.8860281319853</v>
      </c>
      <c r="K36" s="91">
        <f>'Model (SN)'!K51</f>
        <v>1513.1245837719625</v>
      </c>
      <c r="L36" s="140">
        <f>'Model (SN)'!L51</f>
        <v>1308.8795488812641</v>
      </c>
      <c r="M36" s="91">
        <f>'Model (SN)'!M51</f>
        <v>1183.0978322216761</v>
      </c>
      <c r="N36" s="92">
        <f>'Model (SN)'!N51</f>
        <v>1100.3990154853759</v>
      </c>
      <c r="O36" s="91">
        <f>'Model (SN)'!O51</f>
        <v>1043.7513070349214</v>
      </c>
      <c r="P36" s="91">
        <f>'Model (SN)'!P51</f>
        <v>1004.2031205309938</v>
      </c>
      <c r="Q36" s="91">
        <f>'Model (SN)'!Q51</f>
        <v>976.43733018700027</v>
      </c>
      <c r="R36" s="91">
        <f>'Model (SN)'!R51</f>
        <v>956.9665407668856</v>
      </c>
      <c r="S36" s="91">
        <f>'Model (SN)'!S51</f>
        <v>943.36881209509033</v>
      </c>
      <c r="T36" s="91">
        <f>'Model (SN)'!T51</f>
        <v>933.92100456953222</v>
      </c>
      <c r="U36" s="91">
        <f>'Model (SN)'!U51</f>
        <v>927.39044171980618</v>
      </c>
      <c r="V36" s="91">
        <f>'Model (SN)'!V51</f>
        <v>922.89815254106247</v>
      </c>
    </row>
    <row r="37" spans="1:23" s="64" customFormat="1" x14ac:dyDescent="0.25">
      <c r="A37" s="86"/>
      <c r="B37" s="63" t="s">
        <v>299</v>
      </c>
      <c r="C37" s="90">
        <f>'Model (SN)'!C52</f>
        <v>0</v>
      </c>
      <c r="D37" s="91">
        <f>'Model (SN)'!D52</f>
        <v>79.292230589934846</v>
      </c>
      <c r="E37" s="91">
        <f>'Model (SN)'!E52</f>
        <v>140.26992041683692</v>
      </c>
      <c r="F37" s="91">
        <f>'Model (SN)'!F52</f>
        <v>173.20845012615874</v>
      </c>
      <c r="G37" s="91">
        <f>'Model (SN)'!G52</f>
        <v>288.73801456430891</v>
      </c>
      <c r="H37" s="91">
        <f>'Model (SN)'!H52</f>
        <v>423.76980668403581</v>
      </c>
      <c r="I37" s="91">
        <f>'Model (SN)'!I52</f>
        <v>490.01577382686736</v>
      </c>
      <c r="J37" s="91">
        <f>'Model (SN)'!J52</f>
        <v>548.92512793684239</v>
      </c>
      <c r="K37" s="91">
        <f>'Model (SN)'!K52</f>
        <v>606.96491245320078</v>
      </c>
      <c r="L37" s="140">
        <f>'Model (SN)'!L52</f>
        <v>618.47346718483936</v>
      </c>
      <c r="M37" s="91">
        <f>'Model (SN)'!M52</f>
        <v>656.76104111013035</v>
      </c>
      <c r="N37" s="92">
        <f>'Model (SN)'!N52</f>
        <v>696.01154425621678</v>
      </c>
      <c r="O37" s="91">
        <f>'Model (SN)'!O52</f>
        <v>733.24241718837607</v>
      </c>
      <c r="P37" s="91">
        <f>'Model (SN)'!P52</f>
        <v>767.91666228909639</v>
      </c>
      <c r="Q37" s="91">
        <f>'Model (SN)'!Q52</f>
        <v>800.15908970366888</v>
      </c>
      <c r="R37" s="91">
        <f>'Model (SN)'!R52</f>
        <v>830.23636145649391</v>
      </c>
      <c r="S37" s="91">
        <f>'Model (SN)'!S52</f>
        <v>858.41834966244824</v>
      </c>
      <c r="T37" s="91">
        <f>'Model (SN)'!T52</f>
        <v>884.94223521310175</v>
      </c>
      <c r="U37" s="91">
        <f>'Model (SN)'!U52</f>
        <v>910.00725649387039</v>
      </c>
      <c r="V37" s="91">
        <f>'Model (SN)'!V52</f>
        <v>933.77843993712861</v>
      </c>
    </row>
    <row r="38" spans="1:23" s="64" customFormat="1" x14ac:dyDescent="0.25">
      <c r="A38" s="86"/>
      <c r="B38" s="63" t="s">
        <v>293</v>
      </c>
      <c r="C38" s="90">
        <f>'Model (SN)'!C53</f>
        <v>248.84425254330867</v>
      </c>
      <c r="D38" s="91">
        <f>'Model (SN)'!D53</f>
        <v>710.48997189987563</v>
      </c>
      <c r="E38" s="91">
        <f>'Model (SN)'!E53</f>
        <v>1271.8120097075798</v>
      </c>
      <c r="F38" s="91">
        <f>'Model (SN)'!F53</f>
        <v>1737.4605815977379</v>
      </c>
      <c r="G38" s="91">
        <f>'Model (SN)'!G53</f>
        <v>2221.8918712212007</v>
      </c>
      <c r="H38" s="91">
        <f>'Model (SN)'!H53</f>
        <v>2266.9545577914118</v>
      </c>
      <c r="I38" s="91">
        <f>'Model (SN)'!I53</f>
        <v>2214.3262242497312</v>
      </c>
      <c r="J38" s="91">
        <f>'Model (SN)'!J53</f>
        <v>2165.8111560688276</v>
      </c>
      <c r="K38" s="91">
        <f>'Model (SN)'!K53</f>
        <v>2120.0894962251632</v>
      </c>
      <c r="L38" s="140">
        <f>'Model (SN)'!L53</f>
        <v>1927.3530160661035</v>
      </c>
      <c r="M38" s="91">
        <f>'Model (SN)'!M53</f>
        <v>1839.8588733318065</v>
      </c>
      <c r="N38" s="92">
        <f>'Model (SN)'!N53</f>
        <v>1796.4105597415928</v>
      </c>
      <c r="O38" s="91">
        <f>'Model (SN)'!O53</f>
        <v>1776.9937242232975</v>
      </c>
      <c r="P38" s="91">
        <f>'Model (SN)'!P53</f>
        <v>1772.1197828200902</v>
      </c>
      <c r="Q38" s="91">
        <f>'Model (SN)'!Q53</f>
        <v>1776.596419890669</v>
      </c>
      <c r="R38" s="91">
        <f>'Model (SN)'!R53</f>
        <v>1787.2029022233796</v>
      </c>
      <c r="S38" s="91">
        <f>'Model (SN)'!S53</f>
        <v>1801.7871617575386</v>
      </c>
      <c r="T38" s="91">
        <f>'Model (SN)'!T53</f>
        <v>1818.8632397826341</v>
      </c>
      <c r="U38" s="91">
        <f>'Model (SN)'!U53</f>
        <v>1837.3976982136764</v>
      </c>
      <c r="V38" s="91">
        <f>'Model (SN)'!V53</f>
        <v>1856.6765924781912</v>
      </c>
    </row>
    <row r="39" spans="1:23" s="64" customFormat="1" x14ac:dyDescent="0.25">
      <c r="A39" s="86"/>
      <c r="B39" s="63" t="s">
        <v>300</v>
      </c>
      <c r="C39" s="90">
        <f>C30+C32+C36</f>
        <v>5494.3793523303457</v>
      </c>
      <c r="D39" s="91">
        <f t="shared" ref="D39:V39" si="6">D30+D32+D36</f>
        <v>8356.9745162819727</v>
      </c>
      <c r="E39" s="91">
        <f t="shared" si="6"/>
        <v>9866.3604733307129</v>
      </c>
      <c r="F39" s="91">
        <f t="shared" si="6"/>
        <v>10247.44743566225</v>
      </c>
      <c r="G39" s="91">
        <f t="shared" si="6"/>
        <v>10476.747572135959</v>
      </c>
      <c r="H39" s="91">
        <f t="shared" si="6"/>
        <v>10092.066673057181</v>
      </c>
      <c r="I39" s="91">
        <f t="shared" si="6"/>
        <v>9577.2499373438404</v>
      </c>
      <c r="J39" s="91">
        <f t="shared" si="6"/>
        <v>9026.1878084702112</v>
      </c>
      <c r="K39" s="91">
        <f t="shared" si="6"/>
        <v>8487.0514505244719</v>
      </c>
      <c r="L39" s="140">
        <f t="shared" si="6"/>
        <v>7722.5602123367171</v>
      </c>
      <c r="M39" s="91">
        <f t="shared" si="6"/>
        <v>7194.3729464639127</v>
      </c>
      <c r="N39" s="92">
        <f t="shared" si="6"/>
        <v>6817.3398943586417</v>
      </c>
      <c r="O39" s="91">
        <f t="shared" si="6"/>
        <v>6545.2445371260364</v>
      </c>
      <c r="P39" s="91">
        <f t="shared" si="6"/>
        <v>6349.0491804180219</v>
      </c>
      <c r="Q39" s="91">
        <f t="shared" si="6"/>
        <v>6208.429679425195</v>
      </c>
      <c r="R39" s="91">
        <f t="shared" si="6"/>
        <v>6108.4163321041633</v>
      </c>
      <c r="S39" s="91">
        <f t="shared" si="6"/>
        <v>6037.8363063487232</v>
      </c>
      <c r="T39" s="91">
        <f t="shared" si="6"/>
        <v>5988.3877728626194</v>
      </c>
      <c r="U39" s="91">
        <f t="shared" si="6"/>
        <v>5953.9687408917998</v>
      </c>
      <c r="V39" s="91">
        <f t="shared" si="6"/>
        <v>5930.1483266139085</v>
      </c>
    </row>
    <row r="40" spans="1:23" s="64" customFormat="1" x14ac:dyDescent="0.25">
      <c r="A40" s="86"/>
      <c r="B40" s="63" t="s">
        <v>301</v>
      </c>
      <c r="C40" s="90">
        <f>C33+C37</f>
        <v>0</v>
      </c>
      <c r="D40" s="91">
        <f t="shared" ref="D40:V40" si="7">D33+D37</f>
        <v>86.471844845038049</v>
      </c>
      <c r="E40" s="91">
        <f t="shared" si="7"/>
        <v>179.67046534553697</v>
      </c>
      <c r="F40" s="91">
        <f t="shared" si="7"/>
        <v>262.8510969786023</v>
      </c>
      <c r="G40" s="91">
        <f t="shared" si="7"/>
        <v>438.14823525908952</v>
      </c>
      <c r="H40" s="91">
        <f t="shared" si="7"/>
        <v>637.77775474799557</v>
      </c>
      <c r="I40" s="91">
        <f t="shared" si="7"/>
        <v>769.52098553766155</v>
      </c>
      <c r="J40" s="91">
        <f t="shared" si="7"/>
        <v>892.15740212783771</v>
      </c>
      <c r="K40" s="91">
        <f t="shared" si="7"/>
        <v>1010.623983469899</v>
      </c>
      <c r="L40" s="140">
        <f t="shared" si="7"/>
        <v>1062.3186024175598</v>
      </c>
      <c r="M40" s="91">
        <f t="shared" si="7"/>
        <v>1147.0477566262989</v>
      </c>
      <c r="N40" s="92">
        <f t="shared" si="7"/>
        <v>1232.3910927467282</v>
      </c>
      <c r="O40" s="91">
        <f t="shared" si="7"/>
        <v>1313.5779032550111</v>
      </c>
      <c r="P40" s="91">
        <f t="shared" si="7"/>
        <v>1389.8906869905595</v>
      </c>
      <c r="Q40" s="91">
        <f t="shared" si="7"/>
        <v>1461.7442061243592</v>
      </c>
      <c r="R40" s="91">
        <f t="shared" si="7"/>
        <v>1529.7762421158245</v>
      </c>
      <c r="S40" s="91">
        <f t="shared" si="7"/>
        <v>1594.5875900821979</v>
      </c>
      <c r="T40" s="91">
        <f t="shared" si="7"/>
        <v>1656.6786713710785</v>
      </c>
      <c r="U40" s="91">
        <f t="shared" si="7"/>
        <v>1716.4476820724481</v>
      </c>
      <c r="V40" s="91">
        <f t="shared" si="7"/>
        <v>1774.2060533234958</v>
      </c>
    </row>
    <row r="41" spans="1:23" s="64" customFormat="1" x14ac:dyDescent="0.25">
      <c r="A41" s="86"/>
      <c r="B41" s="63" t="s">
        <v>87</v>
      </c>
      <c r="C41" s="90">
        <f>SUM(C39:C40)</f>
        <v>5494.3793523303457</v>
      </c>
      <c r="D41" s="91">
        <f t="shared" ref="D41:V41" si="8">SUM(D39:D40)</f>
        <v>8443.4463611270112</v>
      </c>
      <c r="E41" s="91">
        <f t="shared" si="8"/>
        <v>10046.030938676249</v>
      </c>
      <c r="F41" s="91">
        <f t="shared" si="8"/>
        <v>10510.298532640852</v>
      </c>
      <c r="G41" s="91">
        <f t="shared" si="8"/>
        <v>10914.895807395049</v>
      </c>
      <c r="H41" s="91">
        <f t="shared" si="8"/>
        <v>10729.844427805177</v>
      </c>
      <c r="I41" s="100">
        <f t="shared" si="8"/>
        <v>10346.770922881502</v>
      </c>
      <c r="J41" s="91">
        <f t="shared" si="8"/>
        <v>9918.3452105980487</v>
      </c>
      <c r="K41" s="91">
        <f t="shared" si="8"/>
        <v>9497.6754339943709</v>
      </c>
      <c r="L41" s="140">
        <f t="shared" si="8"/>
        <v>8784.8788147542764</v>
      </c>
      <c r="M41" s="91">
        <f t="shared" si="8"/>
        <v>8341.4207030902107</v>
      </c>
      <c r="N41" s="92">
        <f t="shared" si="8"/>
        <v>8049.7309871053694</v>
      </c>
      <c r="O41" s="91">
        <f t="shared" si="8"/>
        <v>7858.8224403810473</v>
      </c>
      <c r="P41" s="91">
        <f t="shared" si="8"/>
        <v>7738.9398674085814</v>
      </c>
      <c r="Q41" s="91">
        <f t="shared" si="8"/>
        <v>7670.1738855495541</v>
      </c>
      <c r="R41" s="91">
        <f t="shared" si="8"/>
        <v>7638.1925742199874</v>
      </c>
      <c r="S41" s="91">
        <f t="shared" si="8"/>
        <v>7632.4238964309206</v>
      </c>
      <c r="T41" s="100">
        <f t="shared" si="8"/>
        <v>7645.0664442336983</v>
      </c>
      <c r="U41" s="100">
        <f t="shared" si="8"/>
        <v>7670.4164229642483</v>
      </c>
      <c r="V41" s="100">
        <f t="shared" si="8"/>
        <v>7704.3543799374038</v>
      </c>
      <c r="W41" s="116"/>
    </row>
    <row r="42" spans="1:23" s="88" customFormat="1" x14ac:dyDescent="0.25">
      <c r="A42" s="150" t="s">
        <v>302</v>
      </c>
      <c r="C42" s="147"/>
      <c r="D42" s="103"/>
      <c r="E42" s="103"/>
      <c r="F42" s="103"/>
      <c r="G42" s="103"/>
      <c r="H42" s="103"/>
      <c r="I42" s="91"/>
      <c r="J42" s="103"/>
      <c r="K42" s="103"/>
      <c r="L42" s="148"/>
      <c r="M42" s="103"/>
      <c r="N42" s="149"/>
      <c r="O42" s="103"/>
      <c r="P42" s="103"/>
      <c r="Q42" s="103"/>
      <c r="R42" s="103"/>
      <c r="S42" s="103"/>
      <c r="T42" s="91"/>
      <c r="U42" s="91"/>
      <c r="V42" s="91"/>
      <c r="W42" s="64"/>
    </row>
    <row r="43" spans="1:23" x14ac:dyDescent="0.25">
      <c r="A43" s="86"/>
      <c r="B43" s="64" t="s">
        <v>313</v>
      </c>
      <c r="C43" s="90"/>
      <c r="D43" s="91"/>
      <c r="E43" s="91"/>
      <c r="F43" s="91"/>
      <c r="G43" s="91"/>
      <c r="H43" s="91"/>
      <c r="I43" s="91"/>
      <c r="J43" s="91"/>
      <c r="K43" s="91"/>
      <c r="L43" s="140"/>
      <c r="M43" s="91"/>
      <c r="N43" s="92"/>
      <c r="O43" s="91"/>
      <c r="P43" s="91"/>
      <c r="Q43" s="91"/>
      <c r="R43" s="91"/>
      <c r="S43" s="91"/>
      <c r="T43" s="91"/>
      <c r="U43" s="91"/>
      <c r="V43" s="91"/>
    </row>
    <row r="44" spans="1:23" x14ac:dyDescent="0.25">
      <c r="A44" s="86"/>
      <c r="B44" s="63" t="s">
        <v>128</v>
      </c>
      <c r="C44" s="90">
        <f>'Model (SN)'!C7</f>
        <v>0</v>
      </c>
      <c r="D44" s="91">
        <f>'Model (SN)'!D7</f>
        <v>678.82698251173133</v>
      </c>
      <c r="E44" s="91">
        <f>'Model (SN)'!E7</f>
        <v>653.65442125901336</v>
      </c>
      <c r="F44" s="91">
        <f>'Model (SN)'!F7</f>
        <v>620.64404076919516</v>
      </c>
      <c r="G44" s="91">
        <f>'Model (SN)'!G7</f>
        <v>578.57228289485897</v>
      </c>
      <c r="H44" s="91">
        <f>'Model (SN)'!H7</f>
        <v>534.344311318721</v>
      </c>
      <c r="I44" s="91">
        <f>'Model (SN)'!I7</f>
        <v>494.81998538709286</v>
      </c>
      <c r="J44" s="91">
        <f>'Model (SN)'!J7</f>
        <v>469.77104519511107</v>
      </c>
      <c r="K44" s="91">
        <f>'Model (SN)'!K7</f>
        <v>453.89602671087715</v>
      </c>
      <c r="L44" s="140">
        <f>'Model (SN)'!L7</f>
        <v>443.83507363488883</v>
      </c>
      <c r="M44" s="91">
        <f>'Model (SN)'!M7</f>
        <v>437.45884315063665</v>
      </c>
      <c r="N44" s="92">
        <f>'Model (SN)'!N7</f>
        <v>433.41784277212003</v>
      </c>
      <c r="O44" s="91">
        <f>'Model (SN)'!O7</f>
        <v>430.85681802568058</v>
      </c>
      <c r="P44" s="91">
        <f>'Model (SN)'!P7</f>
        <v>429.23374276274711</v>
      </c>
      <c r="Q44" s="91">
        <f>'Model (SN)'!Q7</f>
        <v>428.2051024449176</v>
      </c>
      <c r="R44" s="91">
        <f>'Model (SN)'!R7</f>
        <v>427.5531912688752</v>
      </c>
      <c r="S44" s="91">
        <f>'Model (SN)'!S7</f>
        <v>427.14003598603949</v>
      </c>
      <c r="T44" s="91">
        <f>'Model (SN)'!T7</f>
        <v>426.8781946585579</v>
      </c>
      <c r="U44" s="91">
        <f>'Model (SN)'!U7</f>
        <v>426.71225007639799</v>
      </c>
      <c r="V44" s="91">
        <f>'Model (SN)'!V7</f>
        <v>426.60708102377714</v>
      </c>
    </row>
    <row r="45" spans="1:23" x14ac:dyDescent="0.25">
      <c r="A45" s="86"/>
      <c r="B45" s="63" t="s">
        <v>129</v>
      </c>
      <c r="C45" s="90">
        <f>'Model (SN)'!C8</f>
        <v>0</v>
      </c>
      <c r="D45" s="91">
        <f>'Model (SN)'!D8</f>
        <v>147.17794815340628</v>
      </c>
      <c r="E45" s="91">
        <f>'Model (SN)'!E8</f>
        <v>100.35145759701956</v>
      </c>
      <c r="F45" s="91">
        <f>'Model (SN)'!F8</f>
        <v>78.504800130157122</v>
      </c>
      <c r="G45" s="91">
        <f>'Model (SN)'!G8</f>
        <v>77.506285834476714</v>
      </c>
      <c r="H45" s="91">
        <f>'Model (SN)'!H8</f>
        <v>74.146481941478953</v>
      </c>
      <c r="I45" s="91">
        <f>'Model (SN)'!I8</f>
        <v>69.60232777912708</v>
      </c>
      <c r="J45" s="91">
        <f>'Model (SN)'!J8</f>
        <v>64.865976717828303</v>
      </c>
      <c r="K45" s="91">
        <f>'Model (SN)'!K8</f>
        <v>61.050879567880294</v>
      </c>
      <c r="L45" s="140">
        <f>'Model (SN)'!L8</f>
        <v>58.276644633452051</v>
      </c>
      <c r="M45" s="91">
        <f>'Model (SN)'!M8</f>
        <v>56.362300956249484</v>
      </c>
      <c r="N45" s="92">
        <f>'Model (SN)'!N8</f>
        <v>55.080653026254375</v>
      </c>
      <c r="O45" s="91">
        <f>'Model (SN)'!O8</f>
        <v>54.238421003919747</v>
      </c>
      <c r="P45" s="91">
        <f>'Model (SN)'!P8</f>
        <v>53.691514793233061</v>
      </c>
      <c r="Q45" s="91">
        <f>'Model (SN)'!Q8</f>
        <v>53.339153277230871</v>
      </c>
      <c r="R45" s="91">
        <f>'Model (SN)'!R8</f>
        <v>53.113319463036341</v>
      </c>
      <c r="S45" s="91">
        <f>'Model (SN)'!S8</f>
        <v>52.969090385062159</v>
      </c>
      <c r="T45" s="91">
        <f>'Model (SN)'!T8</f>
        <v>52.877199772030494</v>
      </c>
      <c r="U45" s="91">
        <f>'Model (SN)'!U8</f>
        <v>52.818751117372265</v>
      </c>
      <c r="V45" s="91">
        <f>'Model (SN)'!V8</f>
        <v>52.781615784240635</v>
      </c>
    </row>
    <row r="46" spans="1:23" x14ac:dyDescent="0.25">
      <c r="A46" s="86"/>
      <c r="B46" s="63" t="s">
        <v>130</v>
      </c>
      <c r="C46" s="90">
        <f>'Model (SN)'!C9</f>
        <v>0</v>
      </c>
      <c r="D46" s="91">
        <f>'Model (SN)'!D9</f>
        <v>69.420310194926856</v>
      </c>
      <c r="E46" s="91">
        <f>'Model (SN)'!E9</f>
        <v>93.982580148708777</v>
      </c>
      <c r="F46" s="91">
        <f>'Model (SN)'!F9</f>
        <v>94.898017258099941</v>
      </c>
      <c r="G46" s="91">
        <f>'Model (SN)'!G9</f>
        <v>88.359609964590504</v>
      </c>
      <c r="H46" s="91">
        <f>'Model (SN)'!H9</f>
        <v>83.713758060145381</v>
      </c>
      <c r="I46" s="91">
        <f>'Model (SN)'!I9</f>
        <v>79.546090322119241</v>
      </c>
      <c r="J46" s="91">
        <f>'Model (SN)'!J9</f>
        <v>75.307073511532707</v>
      </c>
      <c r="K46" s="91">
        <f>'Model (SN)'!K9</f>
        <v>70.95808019349856</v>
      </c>
      <c r="L46" s="140">
        <f>'Model (SN)'!L9</f>
        <v>66.837655334200321</v>
      </c>
      <c r="M46" s="91">
        <f>'Model (SN)'!M9</f>
        <v>62.53349457515985</v>
      </c>
      <c r="N46" s="92">
        <f>'Model (SN)'!N9</f>
        <v>59.107644433078164</v>
      </c>
      <c r="O46" s="91">
        <f>'Model (SN)'!O9</f>
        <v>56.460019770386076</v>
      </c>
      <c r="P46" s="91">
        <f>'Model (SN)'!P9</f>
        <v>54.462317378252109</v>
      </c>
      <c r="Q46" s="91">
        <f>'Model (SN)'!Q9</f>
        <v>52.983961244426702</v>
      </c>
      <c r="R46" s="91">
        <f>'Model (SN)'!R9</f>
        <v>51.90705751597315</v>
      </c>
      <c r="S46" s="91">
        <f>'Model (SN)'!S9</f>
        <v>51.132675095641389</v>
      </c>
      <c r="T46" s="91">
        <f>'Model (SN)'!T9</f>
        <v>50.58176945115769</v>
      </c>
      <c r="U46" s="91">
        <f>'Model (SN)'!U9</f>
        <v>50.193351796807818</v>
      </c>
      <c r="V46" s="91">
        <f>'Model (SN)'!V9</f>
        <v>49.921569461674935</v>
      </c>
    </row>
    <row r="47" spans="1:23" x14ac:dyDescent="0.25">
      <c r="A47" s="86"/>
      <c r="B47" s="63" t="s">
        <v>131</v>
      </c>
      <c r="C47" s="90">
        <f>'Model (SN)'!C10</f>
        <v>0</v>
      </c>
      <c r="D47" s="91">
        <f>'Model (SN)'!D10</f>
        <v>895.42524086006449</v>
      </c>
      <c r="E47" s="91">
        <f>'Model (SN)'!E10</f>
        <v>847.98845900474169</v>
      </c>
      <c r="F47" s="91">
        <f>'Model (SN)'!F10</f>
        <v>794.04685815745222</v>
      </c>
      <c r="G47" s="91">
        <f>'Model (SN)'!G10</f>
        <v>744.43817869392615</v>
      </c>
      <c r="H47" s="91">
        <f>'Model (SN)'!H10</f>
        <v>692.20455132034544</v>
      </c>
      <c r="I47" s="91">
        <f>'Model (SN)'!I10</f>
        <v>643.96840348833916</v>
      </c>
      <c r="J47" s="91">
        <f>'Model (SN)'!J10</f>
        <v>609.94409542447215</v>
      </c>
      <c r="K47" s="91">
        <f>'Model (SN)'!K10</f>
        <v>585.90498647225593</v>
      </c>
      <c r="L47" s="140">
        <f>'Model (SN)'!L10</f>
        <v>568.94937360254119</v>
      </c>
      <c r="M47" s="91">
        <f>'Model (SN)'!M10</f>
        <v>556.35463868204602</v>
      </c>
      <c r="N47" s="92">
        <f>'Model (SN)'!N10</f>
        <v>547.60614023145251</v>
      </c>
      <c r="O47" s="91">
        <f>'Model (SN)'!O10</f>
        <v>541.5552587999864</v>
      </c>
      <c r="P47" s="91">
        <f>'Model (SN)'!P10</f>
        <v>537.38757493423225</v>
      </c>
      <c r="Q47" s="91">
        <f>'Model (SN)'!Q10</f>
        <v>534.5282169665752</v>
      </c>
      <c r="R47" s="91">
        <f>'Model (SN)'!R10</f>
        <v>532.57356824788474</v>
      </c>
      <c r="S47" s="91">
        <f>'Model (SN)'!S10</f>
        <v>531.24180146674303</v>
      </c>
      <c r="T47" s="91">
        <f>'Model (SN)'!T10</f>
        <v>530.33716388174605</v>
      </c>
      <c r="U47" s="91">
        <f>'Model (SN)'!U10</f>
        <v>529.72435299057804</v>
      </c>
      <c r="V47" s="91">
        <f>'Model (SN)'!V10</f>
        <v>529.31026626969265</v>
      </c>
    </row>
    <row r="48" spans="1:23" x14ac:dyDescent="0.25">
      <c r="A48" s="86"/>
      <c r="B48" s="63" t="s">
        <v>303</v>
      </c>
      <c r="C48" s="90">
        <f>SUM($C$47:C47)</f>
        <v>0</v>
      </c>
      <c r="D48" s="91">
        <f>SUM($C$47:D47)</f>
        <v>895.42524086006449</v>
      </c>
      <c r="E48" s="91">
        <f>SUM($C$47:E47)</f>
        <v>1743.4136998648062</v>
      </c>
      <c r="F48" s="91">
        <f>SUM($C$47:F47)</f>
        <v>2537.4605580222583</v>
      </c>
      <c r="G48" s="91">
        <f>SUM($C$47:G47)</f>
        <v>3281.8987367161844</v>
      </c>
      <c r="H48" s="91">
        <f>SUM($C$47:H47)</f>
        <v>3974.1032880365301</v>
      </c>
      <c r="I48" s="91">
        <f>SUM($C$47:I47)</f>
        <v>4618.0716915248695</v>
      </c>
      <c r="J48" s="91">
        <f>SUM($C$47:J47)</f>
        <v>5228.0157869493414</v>
      </c>
      <c r="K48" s="91">
        <f>SUM($C$47:K47)</f>
        <v>5813.920773421597</v>
      </c>
      <c r="L48" s="140">
        <f>SUM($C$47:L47)</f>
        <v>6382.8701470241385</v>
      </c>
      <c r="M48" s="91">
        <f>SUM($C$47:M47)</f>
        <v>6939.2247857061848</v>
      </c>
      <c r="N48" s="92">
        <f>SUM($C$47:N47)</f>
        <v>7486.8309259376374</v>
      </c>
      <c r="O48" s="91">
        <f>SUM($C$47:O47)</f>
        <v>8028.3861847376238</v>
      </c>
      <c r="P48" s="91">
        <f>SUM($C$47:P47)</f>
        <v>8565.7737596718562</v>
      </c>
      <c r="Q48" s="91">
        <f>SUM($C$47:Q47)</f>
        <v>9100.3019766384314</v>
      </c>
      <c r="R48" s="91">
        <f>SUM($C$47:R47)</f>
        <v>9632.8755448863158</v>
      </c>
      <c r="S48" s="91">
        <f>SUM($C$47:S47)</f>
        <v>10164.117346353059</v>
      </c>
      <c r="T48" s="91">
        <f>SUM($C$47:T47)</f>
        <v>10694.454510234806</v>
      </c>
      <c r="U48" s="91">
        <f>SUM($C$47:U47)</f>
        <v>11224.178863225383</v>
      </c>
      <c r="V48" s="91">
        <f>SUM($C$47:V47)</f>
        <v>11753.489129495076</v>
      </c>
    </row>
    <row r="49" spans="1:22" x14ac:dyDescent="0.25">
      <c r="A49" s="86"/>
      <c r="B49" s="63" t="s">
        <v>314</v>
      </c>
      <c r="C49" s="90"/>
      <c r="D49" s="91"/>
      <c r="E49" s="91"/>
      <c r="F49" s="91"/>
      <c r="G49" s="91"/>
      <c r="H49" s="91"/>
      <c r="I49" s="91"/>
      <c r="J49" s="91"/>
      <c r="K49" s="91"/>
      <c r="L49" s="140"/>
      <c r="M49" s="91"/>
      <c r="N49" s="92"/>
      <c r="O49" s="91"/>
      <c r="P49" s="91"/>
      <c r="Q49" s="91"/>
      <c r="R49" s="91"/>
      <c r="S49" s="91"/>
      <c r="T49" s="91"/>
      <c r="U49" s="91"/>
      <c r="V49" s="91"/>
    </row>
    <row r="50" spans="1:22" x14ac:dyDescent="0.25">
      <c r="A50" s="86"/>
      <c r="B50" s="63" t="s">
        <v>128</v>
      </c>
      <c r="C50" s="90">
        <f>'Model (SN)'!C25</f>
        <v>0</v>
      </c>
      <c r="D50" s="91">
        <f>'Model (SN)'!D25</f>
        <v>696.47284939598728</v>
      </c>
      <c r="E50" s="91">
        <f>'Model (SN)'!E25</f>
        <v>571.73374031171613</v>
      </c>
      <c r="F50" s="91">
        <f>'Model (SN)'!F25</f>
        <v>498.90519829245568</v>
      </c>
      <c r="G50" s="91">
        <f>'Model (SN)'!G25</f>
        <v>427.1963980276455</v>
      </c>
      <c r="H50" s="91">
        <f>'Model (SN)'!H25</f>
        <v>380.25164623917874</v>
      </c>
      <c r="I50" s="91">
        <f>'Model (SN)'!I25</f>
        <v>344.40115857025063</v>
      </c>
      <c r="J50" s="91">
        <f>'Model (SN)'!J25</f>
        <v>315.25987298583073</v>
      </c>
      <c r="K50" s="91">
        <f>'Model (SN)'!K25</f>
        <v>293.74336184387477</v>
      </c>
      <c r="L50" s="140">
        <f>'Model (SN)'!L25</f>
        <v>278.66018957063204</v>
      </c>
      <c r="M50" s="91">
        <f>'Model (SN)'!M25</f>
        <v>268.41424238169776</v>
      </c>
      <c r="N50" s="92">
        <f>'Model (SN)'!N25</f>
        <v>261.59472619782514</v>
      </c>
      <c r="O50" s="91">
        <f>'Model (SN)'!O25</f>
        <v>257.11801441716091</v>
      </c>
      <c r="P50" s="91">
        <f>'Model (SN)'!P25</f>
        <v>254.20738089426649</v>
      </c>
      <c r="Q50" s="91">
        <f>'Model (SN)'!Q25</f>
        <v>252.32785988633583</v>
      </c>
      <c r="R50" s="91">
        <f>'Model (SN)'!R25</f>
        <v>251.12013789413257</v>
      </c>
      <c r="S50" s="91">
        <f>'Model (SN)'!S25</f>
        <v>250.3468724018916</v>
      </c>
      <c r="T50" s="91">
        <f>'Model (SN)'!T25</f>
        <v>249.85307665403371</v>
      </c>
      <c r="U50" s="91">
        <f>'Model (SN)'!U25</f>
        <v>249.53835752125502</v>
      </c>
      <c r="V50" s="91">
        <f>'Model (SN)'!V25</f>
        <v>249.33806034800017</v>
      </c>
    </row>
    <row r="51" spans="1:22" x14ac:dyDescent="0.25">
      <c r="A51" s="86"/>
      <c r="B51" s="63" t="s">
        <v>151</v>
      </c>
      <c r="C51" s="90">
        <f>'Model (SN)'!C26</f>
        <v>0</v>
      </c>
      <c r="D51" s="91">
        <f>'Model (SN)'!D26</f>
        <v>167.40401679576206</v>
      </c>
      <c r="E51" s="91">
        <f>'Model (SN)'!E26</f>
        <v>195.06147087926169</v>
      </c>
      <c r="F51" s="91">
        <f>'Model (SN)'!F26</f>
        <v>177.44633220150482</v>
      </c>
      <c r="G51" s="91">
        <f>'Model (SN)'!G26</f>
        <v>184.99697952303472</v>
      </c>
      <c r="H51" s="91">
        <f>'Model (SN)'!H26</f>
        <v>175.63582887365556</v>
      </c>
      <c r="I51" s="91">
        <f>'Model (SN)'!I26</f>
        <v>162.98240926212614</v>
      </c>
      <c r="J51" s="91">
        <f>'Model (SN)'!J26</f>
        <v>150.59256851597934</v>
      </c>
      <c r="K51" s="91">
        <f>'Model (SN)'!K26</f>
        <v>140.37930590569408</v>
      </c>
      <c r="L51" s="140">
        <f>'Model (SN)'!L26</f>
        <v>132.72813335947262</v>
      </c>
      <c r="M51" s="91">
        <f>'Model (SN)'!M26</f>
        <v>127.31307284955355</v>
      </c>
      <c r="N51" s="92">
        <f>'Model (SN)'!N26</f>
        <v>123.61468997628187</v>
      </c>
      <c r="O51" s="91">
        <f>'Model (SN)'!O26</f>
        <v>121.14662431064191</v>
      </c>
      <c r="P51" s="91">
        <f>'Model (SN)'!P26</f>
        <v>119.5249247176708</v>
      </c>
      <c r="Q51" s="91">
        <f>'Model (SN)'!Q26</f>
        <v>118.47056494033988</v>
      </c>
      <c r="R51" s="91">
        <f>'Model (SN)'!R26</f>
        <v>117.79007588468561</v>
      </c>
      <c r="S51" s="91">
        <f>'Model (SN)'!S26</f>
        <v>117.35313974708392</v>
      </c>
      <c r="T51" s="91">
        <f>'Model (SN)'!T26</f>
        <v>117.07360763628164</v>
      </c>
      <c r="U51" s="91">
        <f>'Model (SN)'!U26</f>
        <v>116.89523994903952</v>
      </c>
      <c r="V51" s="91">
        <f>'Model (SN)'!V26</f>
        <v>116.78163678303069</v>
      </c>
    </row>
    <row r="52" spans="1:22" x14ac:dyDescent="0.25">
      <c r="A52" s="86"/>
      <c r="B52" s="63" t="s">
        <v>304</v>
      </c>
      <c r="C52" s="90">
        <f>'Model (SN)'!C27+'Model (SN)'!C28</f>
        <v>0</v>
      </c>
      <c r="D52" s="91">
        <f>'Model (SN)'!D27+'Model (SN)'!D28</f>
        <v>2.5239623826033184</v>
      </c>
      <c r="E52" s="91">
        <f>'Model (SN)'!E27+'Model (SN)'!E28</f>
        <v>12.743505062988435</v>
      </c>
      <c r="F52" s="91">
        <f>'Model (SN)'!F27+'Model (SN)'!F28</f>
        <v>25.435233268161394</v>
      </c>
      <c r="G52" s="91">
        <f>'Model (SN)'!G27+'Model (SN)'!G28</f>
        <v>38.695505913982046</v>
      </c>
      <c r="H52" s="91">
        <f>'Model (SN)'!H27+'Model (SN)'!H28</f>
        <v>52.184320541082009</v>
      </c>
      <c r="I52" s="91">
        <f>'Model (SN)'!I27+'Model (SN)'!I28</f>
        <v>65.244224058306074</v>
      </c>
      <c r="J52" s="91">
        <f>'Model (SN)'!J27+'Model (SN)'!J28</f>
        <v>77.543051137495169</v>
      </c>
      <c r="K52" s="91">
        <f>'Model (SN)'!K27+'Model (SN)'!K28</f>
        <v>88.954769868686157</v>
      </c>
      <c r="L52" s="140">
        <f>'Model (SN)'!L27+'Model (SN)'!L28</f>
        <v>99.493018551547081</v>
      </c>
      <c r="M52" s="91">
        <f>'Model (SN)'!M27+'Model (SN)'!M28</f>
        <v>110.19066317543373</v>
      </c>
      <c r="N52" s="92">
        <f>'Model (SN)'!N27+'Model (SN)'!N28</f>
        <v>119.88952346516588</v>
      </c>
      <c r="O52" s="91">
        <f>'Model (SN)'!O27+'Model (SN)'!O28</f>
        <v>128.88601497003771</v>
      </c>
      <c r="P52" s="91">
        <f>'Model (SN)'!P27+'Model (SN)'!P28</f>
        <v>137.36714080210106</v>
      </c>
      <c r="Q52" s="91">
        <f>'Model (SN)'!Q27+'Model (SN)'!Q28</f>
        <v>145.46011471285183</v>
      </c>
      <c r="R52" s="91">
        <f>'Model (SN)'!R27+'Model (SN)'!R28</f>
        <v>153.25478978078328</v>
      </c>
      <c r="S52" s="91">
        <f>'Model (SN)'!S27+'Model (SN)'!S28</f>
        <v>160.81551942577616</v>
      </c>
      <c r="T52" s="91">
        <f>'Model (SN)'!T27+'Model (SN)'!T28</f>
        <v>168.18849370547446</v>
      </c>
      <c r="U52" s="91">
        <f>'Model (SN)'!U27+'Model (SN)'!U28</f>
        <v>175.4067843623819</v>
      </c>
      <c r="V52" s="91">
        <f>'Model (SN)'!V27+'Model (SN)'!V28</f>
        <v>182.49399217250337</v>
      </c>
    </row>
    <row r="53" spans="1:22" x14ac:dyDescent="0.25">
      <c r="A53" s="86"/>
      <c r="B53" s="64" t="s">
        <v>130</v>
      </c>
      <c r="C53" s="90">
        <f>'Model (SN)'!C34</f>
        <v>0</v>
      </c>
      <c r="D53" s="91">
        <f>'Model (SN)'!D34</f>
        <v>39.827492363014017</v>
      </c>
      <c r="E53" s="91">
        <f>'Model (SN)'!E34</f>
        <v>71.529399871096047</v>
      </c>
      <c r="F53" s="91">
        <f>'Model (SN)'!F34</f>
        <v>99.164777116126615</v>
      </c>
      <c r="G53" s="91">
        <f>'Model (SN)'!G34</f>
        <v>109.15354827790387</v>
      </c>
      <c r="H53" s="91">
        <f>'Model (SN)'!H34</f>
        <v>114.0519609085169</v>
      </c>
      <c r="I53" s="91">
        <f>'Model (SN)'!I34</f>
        <v>114.02594070574465</v>
      </c>
      <c r="J53" s="91">
        <f>'Model (SN)'!J34</f>
        <v>111.31125348073731</v>
      </c>
      <c r="K53" s="91">
        <f>'Model (SN)'!K34</f>
        <v>107.3857062607571</v>
      </c>
      <c r="L53" s="140">
        <f>'Model (SN)'!L34</f>
        <v>103.24802466926727</v>
      </c>
      <c r="M53" s="91">
        <f>'Model (SN)'!M34</f>
        <v>95.345157925187493</v>
      </c>
      <c r="N53" s="92">
        <f>'Model (SN)'!N34</f>
        <v>90.671718449039233</v>
      </c>
      <c r="O53" s="91">
        <f>'Model (SN)'!O34</f>
        <v>87.80901919985466</v>
      </c>
      <c r="P53" s="91">
        <f>'Model (SN)'!P34</f>
        <v>86.090037457562445</v>
      </c>
      <c r="Q53" s="91">
        <f>'Model (SN)'!Q34</f>
        <v>85.149818105409338</v>
      </c>
      <c r="R53" s="91">
        <f>'Model (SN)'!R34</f>
        <v>84.758725380376418</v>
      </c>
      <c r="S53" s="91">
        <f>'Model (SN)'!S34</f>
        <v>84.758604994710041</v>
      </c>
      <c r="T53" s="91">
        <f>'Model (SN)'!T34</f>
        <v>85.035858821858071</v>
      </c>
      <c r="U53" s="91">
        <f>'Model (SN)'!U34</f>
        <v>85.507890464768792</v>
      </c>
      <c r="V53" s="91">
        <f>'Model (SN)'!V34</f>
        <v>86.11477004773468</v>
      </c>
    </row>
    <row r="54" spans="1:22" x14ac:dyDescent="0.25">
      <c r="A54" s="86"/>
      <c r="B54" s="98" t="s">
        <v>131</v>
      </c>
      <c r="C54" s="90">
        <f>'Model (SN)'!C35</f>
        <v>0</v>
      </c>
      <c r="D54" s="91">
        <f>'Model (SN)'!D35</f>
        <v>906.22832093736668</v>
      </c>
      <c r="E54" s="91">
        <f>'Model (SN)'!E35</f>
        <v>851.06811612506226</v>
      </c>
      <c r="F54" s="91">
        <f>'Model (SN)'!F35</f>
        <v>800.95154087824847</v>
      </c>
      <c r="G54" s="91">
        <f>'Model (SN)'!G35</f>
        <v>760.04243174256612</v>
      </c>
      <c r="H54" s="91">
        <f>'Model (SN)'!H35</f>
        <v>722.12375656243319</v>
      </c>
      <c r="I54" s="91">
        <f>'Model (SN)'!I35</f>
        <v>686.65373259642763</v>
      </c>
      <c r="J54" s="91">
        <f>'Model (SN)'!J35</f>
        <v>654.70674612004245</v>
      </c>
      <c r="K54" s="91">
        <f>'Model (SN)'!K35</f>
        <v>630.46314387901202</v>
      </c>
      <c r="L54" s="140">
        <f>'Model (SN)'!L35</f>
        <v>614.12936615091905</v>
      </c>
      <c r="M54" s="91">
        <f>'Model (SN)'!M35</f>
        <v>601.2631363318726</v>
      </c>
      <c r="N54" s="92">
        <f>'Model (SN)'!N35</f>
        <v>595.77065808831208</v>
      </c>
      <c r="O54" s="91">
        <f>'Model (SN)'!O35</f>
        <v>594.95967289769521</v>
      </c>
      <c r="P54" s="91">
        <f>'Model (SN)'!P35</f>
        <v>597.18948387160071</v>
      </c>
      <c r="Q54" s="91">
        <f>'Model (SN)'!Q35</f>
        <v>601.40835764493681</v>
      </c>
      <c r="R54" s="91">
        <f>'Model (SN)'!R35</f>
        <v>606.92372893997788</v>
      </c>
      <c r="S54" s="91">
        <f>'Model (SN)'!S35</f>
        <v>613.27413656946169</v>
      </c>
      <c r="T54" s="91">
        <f>'Model (SN)'!T35</f>
        <v>620.15103681764788</v>
      </c>
      <c r="U54" s="91">
        <f>'Model (SN)'!U35</f>
        <v>627.34827229744531</v>
      </c>
      <c r="V54" s="91">
        <f>'Model (SN)'!V35</f>
        <v>634.72845935126884</v>
      </c>
    </row>
    <row r="55" spans="1:22" x14ac:dyDescent="0.25">
      <c r="A55" s="86"/>
      <c r="B55" s="63" t="s">
        <v>303</v>
      </c>
      <c r="C55" s="90">
        <f>SUM($C$54:C54)</f>
        <v>0</v>
      </c>
      <c r="D55" s="91">
        <f>SUM($C$54:D54)</f>
        <v>906.22832093736668</v>
      </c>
      <c r="E55" s="91">
        <f>SUM($C$54:E54)</f>
        <v>1757.296437062429</v>
      </c>
      <c r="F55" s="91">
        <f>SUM($C$54:F54)</f>
        <v>2558.2479779406776</v>
      </c>
      <c r="G55" s="91">
        <f>SUM($C$54:G54)</f>
        <v>3318.2904096832435</v>
      </c>
      <c r="H55" s="91">
        <f>SUM($C$54:H54)</f>
        <v>4040.4141662456768</v>
      </c>
      <c r="I55" s="91">
        <f>SUM($C$54:I54)</f>
        <v>4727.0678988421041</v>
      </c>
      <c r="J55" s="91">
        <f>SUM($C$54:J54)</f>
        <v>5381.7746449621463</v>
      </c>
      <c r="K55" s="91">
        <f>SUM($C$54:K54)</f>
        <v>6012.2377888411584</v>
      </c>
      <c r="L55" s="140">
        <f>SUM($C$54:L54)</f>
        <v>6626.3671549920773</v>
      </c>
      <c r="M55" s="91">
        <f>SUM($C$54:M54)</f>
        <v>7227.6302913239497</v>
      </c>
      <c r="N55" s="92">
        <f>SUM($C$54:N54)</f>
        <v>7823.400949412262</v>
      </c>
      <c r="O55" s="91">
        <f>SUM($C$54:O54)</f>
        <v>8418.3606223099578</v>
      </c>
      <c r="P55" s="91">
        <f>SUM($C$54:P54)</f>
        <v>9015.5501061815594</v>
      </c>
      <c r="Q55" s="91">
        <f>SUM($C$54:Q54)</f>
        <v>9616.9584638264969</v>
      </c>
      <c r="R55" s="91">
        <f>SUM($C$54:R54)</f>
        <v>10223.882192766474</v>
      </c>
      <c r="S55" s="91">
        <f>SUM($C$54:S54)</f>
        <v>10837.156329335936</v>
      </c>
      <c r="T55" s="91">
        <f>SUM($C$54:T54)</f>
        <v>11457.307366153584</v>
      </c>
      <c r="U55" s="91">
        <f>SUM($C$54:U54)</f>
        <v>12084.65563845103</v>
      </c>
      <c r="V55" s="91">
        <f>SUM($C$54:V54)</f>
        <v>12719.384097802298</v>
      </c>
    </row>
    <row r="56" spans="1:22" x14ac:dyDescent="0.25">
      <c r="A56" s="86"/>
      <c r="B56" s="63" t="s">
        <v>315</v>
      </c>
      <c r="C56" s="90"/>
      <c r="D56" s="91"/>
      <c r="E56" s="91"/>
      <c r="F56" s="91"/>
      <c r="G56" s="91"/>
      <c r="H56" s="91"/>
      <c r="I56" s="91"/>
      <c r="J56" s="91"/>
      <c r="K56" s="91"/>
      <c r="L56" s="140"/>
      <c r="M56" s="91"/>
      <c r="N56" s="92"/>
      <c r="O56" s="91"/>
      <c r="P56" s="91"/>
      <c r="Q56" s="91"/>
      <c r="R56" s="91"/>
      <c r="S56" s="91"/>
      <c r="T56" s="91"/>
      <c r="U56" s="91"/>
      <c r="V56" s="91"/>
    </row>
    <row r="57" spans="1:22" x14ac:dyDescent="0.25">
      <c r="A57" s="86"/>
      <c r="B57" s="63" t="s">
        <v>128</v>
      </c>
      <c r="C57" s="90">
        <f>'Model (SN)'!C55</f>
        <v>0</v>
      </c>
      <c r="D57" s="91">
        <f>'Model (SN)'!D55</f>
        <v>8291.4514192246461</v>
      </c>
      <c r="E57" s="91">
        <f>'Model (SN)'!E55</f>
        <v>6757.3862396571903</v>
      </c>
      <c r="F57" s="91">
        <f>'Model (SN)'!F55</f>
        <v>5525.3470112934256</v>
      </c>
      <c r="G57" s="91">
        <f>'Model (SN)'!G55</f>
        <v>2584.707597679499</v>
      </c>
      <c r="H57" s="91">
        <f>'Model (SN)'!H55</f>
        <v>2064.9718723029114</v>
      </c>
      <c r="I57" s="91">
        <f>'Model (SN)'!I55</f>
        <v>1821.7744953449489</v>
      </c>
      <c r="J57" s="91">
        <f>'Model (SN)'!J55</f>
        <v>1646.6658904714491</v>
      </c>
      <c r="K57" s="91">
        <f>'Model (SN)'!K55</f>
        <v>1505.8868342298567</v>
      </c>
      <c r="L57" s="140">
        <f>'Model (SN)'!L55</f>
        <v>1401.1491224901522</v>
      </c>
      <c r="M57" s="91">
        <f>'Model (SN)'!M55</f>
        <v>1327.3096461539494</v>
      </c>
      <c r="N57" s="92">
        <f>'Model (SN)'!N55</f>
        <v>1276.9648743820155</v>
      </c>
      <c r="O57" s="91">
        <f>'Model (SN)'!O55</f>
        <v>1243.3735400811897</v>
      </c>
      <c r="P57" s="91">
        <f>'Model (SN)'!P55</f>
        <v>1221.2848660578768</v>
      </c>
      <c r="Q57" s="91">
        <f>'Model (SN)'!Q55</f>
        <v>1206.9062620556529</v>
      </c>
      <c r="R57" s="91">
        <f>'Model (SN)'!R55</f>
        <v>1197.6134386918723</v>
      </c>
      <c r="S57" s="91">
        <f>'Model (SN)'!S55</f>
        <v>1191.6384582476933</v>
      </c>
      <c r="T57" s="91">
        <f>'Model (SN)'!T55</f>
        <v>1187.8111384127565</v>
      </c>
      <c r="U57" s="91">
        <f>'Model (SN)'!U55</f>
        <v>1185.3662553835575</v>
      </c>
      <c r="V57" s="91">
        <f>'Model (SN)'!V55</f>
        <v>1183.8076335644967</v>
      </c>
    </row>
    <row r="58" spans="1:22" x14ac:dyDescent="0.25">
      <c r="A58" s="86"/>
      <c r="B58" s="63" t="s">
        <v>151</v>
      </c>
      <c r="C58" s="90">
        <f>'Model (SN)'!C56</f>
        <v>0</v>
      </c>
      <c r="D58" s="91">
        <f>'Model (SN)'!D56</f>
        <v>1534.1272679265815</v>
      </c>
      <c r="E58" s="91">
        <f>'Model (SN)'!E56</f>
        <v>2492.4986453174411</v>
      </c>
      <c r="F58" s="91">
        <f>'Model (SN)'!F56</f>
        <v>3110.1003015807946</v>
      </c>
      <c r="G58" s="91">
        <f>'Model (SN)'!G56</f>
        <v>4430.0252643143394</v>
      </c>
      <c r="H58" s="91">
        <f>'Model (SN)'!H56</f>
        <v>3136.8392336298898</v>
      </c>
      <c r="I58" s="91">
        <f>'Model (SN)'!I56</f>
        <v>2588.5365337229086</v>
      </c>
      <c r="J58" s="91">
        <f>'Model (SN)'!J56</f>
        <v>2309.3040382403397</v>
      </c>
      <c r="K58" s="91">
        <f>'Model (SN)'!K56</f>
        <v>2103.4576612612941</v>
      </c>
      <c r="L58" s="140">
        <f>'Model (SN)'!L56</f>
        <v>1941.7533823079325</v>
      </c>
      <c r="M58" s="91">
        <f>'Model (SN)'!M56</f>
        <v>1821.4224745470196</v>
      </c>
      <c r="N58" s="92">
        <f>'Model (SN)'!N56</f>
        <v>1736.246161476425</v>
      </c>
      <c r="O58" s="91">
        <f>'Model (SN)'!O56</f>
        <v>1677.9849172568872</v>
      </c>
      <c r="P58" s="91">
        <f>'Model (SN)'!P56</f>
        <v>1639.0338678314224</v>
      </c>
      <c r="Q58" s="91">
        <f>'Model (SN)'!Q56</f>
        <v>1613.392571940042</v>
      </c>
      <c r="R58" s="91">
        <f>'Model (SN)'!R56</f>
        <v>1596.6924966707679</v>
      </c>
      <c r="S58" s="91">
        <f>'Model (SN)'!S56</f>
        <v>1585.8972252451131</v>
      </c>
      <c r="T58" s="91">
        <f>'Model (SN)'!T56</f>
        <v>1578.9561969379472</v>
      </c>
      <c r="U58" s="91">
        <f>'Model (SN)'!U56</f>
        <v>1574.5104911646447</v>
      </c>
      <c r="V58" s="91">
        <f>'Model (SN)'!V56</f>
        <v>1571.6709785691778</v>
      </c>
    </row>
    <row r="59" spans="1:22" x14ac:dyDescent="0.25">
      <c r="A59" s="86"/>
      <c r="B59" s="63" t="s">
        <v>152</v>
      </c>
      <c r="C59" s="90">
        <f>'Model (SN)'!C57</f>
        <v>0</v>
      </c>
      <c r="D59" s="91">
        <f>'Model (SN)'!D57</f>
        <v>369.6473769348425</v>
      </c>
      <c r="E59" s="91">
        <f>'Model (SN)'!E57</f>
        <v>456.70525035766406</v>
      </c>
      <c r="F59" s="91">
        <f>'Model (SN)'!F57</f>
        <v>367.39591182522855</v>
      </c>
      <c r="G59" s="91">
        <f>'Model (SN)'!G57</f>
        <v>684.02441874525596</v>
      </c>
      <c r="H59" s="91">
        <f>'Model (SN)'!H57</f>
        <v>902.43448620715913</v>
      </c>
      <c r="I59" s="91">
        <f>'Model (SN)'!I57</f>
        <v>707.4302616512739</v>
      </c>
      <c r="J59" s="91">
        <f>'Model (SN)'!J57</f>
        <v>606.68129856185863</v>
      </c>
      <c r="K59" s="91">
        <f>'Model (SN)'!K57</f>
        <v>549.40131663720319</v>
      </c>
      <c r="L59" s="140">
        <f>'Model (SN)'!L57</f>
        <v>506.15426910182197</v>
      </c>
      <c r="M59" s="91">
        <f>'Model (SN)'!M57</f>
        <v>472.272383765602</v>
      </c>
      <c r="N59" s="92">
        <f>'Model (SN)'!N57</f>
        <v>443.01084688060195</v>
      </c>
      <c r="O59" s="91">
        <f>'Model (SN)'!O57</f>
        <v>423.71637298842285</v>
      </c>
      <c r="P59" s="91">
        <f>'Model (SN)'!P57</f>
        <v>411.00613253045663</v>
      </c>
      <c r="Q59" s="91">
        <f>'Model (SN)'!Q57</f>
        <v>402.78849021430295</v>
      </c>
      <c r="R59" s="91">
        <f>'Model (SN)'!R57</f>
        <v>397.60099989427925</v>
      </c>
      <c r="S59" s="91">
        <f>'Model (SN)'!S57</f>
        <v>394.43245576462459</v>
      </c>
      <c r="T59" s="91">
        <f>'Model (SN)'!T57</f>
        <v>392.59356803882952</v>
      </c>
      <c r="U59" s="91">
        <f>'Model (SN)'!U57</f>
        <v>391.62083579176982</v>
      </c>
      <c r="V59" s="91">
        <f>'Model (SN)'!V57</f>
        <v>391.20610663255206</v>
      </c>
    </row>
    <row r="60" spans="1:22" x14ac:dyDescent="0.25">
      <c r="A60" s="86"/>
      <c r="B60" s="63" t="s">
        <v>153</v>
      </c>
      <c r="C60" s="90">
        <f>'Model (SN)'!C58</f>
        <v>0</v>
      </c>
      <c r="D60" s="91">
        <f>'Model (SN)'!D58</f>
        <v>0</v>
      </c>
      <c r="E60" s="91">
        <f>'Model (SN)'!E58</f>
        <v>52.849003591907035</v>
      </c>
      <c r="F60" s="91">
        <f>'Model (SN)'!F58</f>
        <v>114.59615335907783</v>
      </c>
      <c r="G60" s="91">
        <f>'Model (SN)'!G58</f>
        <v>159.42850001010981</v>
      </c>
      <c r="H60" s="91">
        <f>'Model (SN)'!H58</f>
        <v>246.51932072063346</v>
      </c>
      <c r="I60" s="91">
        <f>'Model (SN)'!I58</f>
        <v>358.98866739840963</v>
      </c>
      <c r="J60" s="91">
        <f>'Model (SN)'!J58</f>
        <v>436.02603315182898</v>
      </c>
      <c r="K60" s="91">
        <f>'Model (SN)'!K58</f>
        <v>493.48636798043316</v>
      </c>
      <c r="L60" s="140">
        <f>'Model (SN)'!L58</f>
        <v>538.89902748731254</v>
      </c>
      <c r="M60" s="91">
        <f>'Model (SN)'!M58</f>
        <v>575.07928248300527</v>
      </c>
      <c r="N60" s="92">
        <f>'Model (SN)'!N58</f>
        <v>603.98600949736976</v>
      </c>
      <c r="O60" s="91">
        <f>'Model (SN)'!O58</f>
        <v>626.76818015185916</v>
      </c>
      <c r="P60" s="91">
        <f>'Model (SN)'!P58</f>
        <v>645.26204360422469</v>
      </c>
      <c r="Q60" s="91">
        <f>'Model (SN)'!Q58</f>
        <v>660.6969029246045</v>
      </c>
      <c r="R60" s="91">
        <f>'Model (SN)'!R58</f>
        <v>673.92047342030457</v>
      </c>
      <c r="S60" s="91">
        <f>'Model (SN)'!S58</f>
        <v>685.51446107663128</v>
      </c>
      <c r="T60" s="91">
        <f>'Model (SN)'!T58</f>
        <v>695.87693868814483</v>
      </c>
      <c r="U60" s="91">
        <f>'Model (SN)'!U58</f>
        <v>705.28070101919036</v>
      </c>
      <c r="V60" s="91">
        <f>'Model (SN)'!V58</f>
        <v>713.9139581692566</v>
      </c>
    </row>
    <row r="61" spans="1:22" x14ac:dyDescent="0.25">
      <c r="A61" s="82"/>
      <c r="B61" s="153" t="s">
        <v>142</v>
      </c>
      <c r="C61" s="90">
        <f>'Model (SN)'!C59</f>
        <v>0</v>
      </c>
      <c r="D61" s="91">
        <f>'Model (SN)'!D59</f>
        <v>0</v>
      </c>
      <c r="E61" s="91">
        <f>'Model (SN)'!E59</f>
        <v>4.49893532054059</v>
      </c>
      <c r="F61" s="91">
        <f>'Model (SN)'!F59</f>
        <v>22.711227840025519</v>
      </c>
      <c r="G61" s="91">
        <f>'Model (SN)'!G59</f>
        <v>55.766425580678877</v>
      </c>
      <c r="H61" s="91">
        <f>'Model (SN)'!H59</f>
        <v>98.236082085331361</v>
      </c>
      <c r="I61" s="91">
        <f>'Model (SN)'!I59</f>
        <v>154.04366825719998</v>
      </c>
      <c r="J61" s="91">
        <f>'Model (SN)'!J59</f>
        <v>216.46319497823205</v>
      </c>
      <c r="K61" s="91">
        <f>'Model (SN)'!K59</f>
        <v>278.95880657602726</v>
      </c>
      <c r="L61" s="140">
        <f>'Model (SN)'!L59</f>
        <v>339.40470309927343</v>
      </c>
      <c r="M61" s="91">
        <f>'Model (SN)'!M59</f>
        <v>404.82189781595969</v>
      </c>
      <c r="N61" s="92">
        <f>'Model (SN)'!N59</f>
        <v>462.11142839659368</v>
      </c>
      <c r="O61" s="91">
        <f>'Model (SN)'!O59</f>
        <v>513.75137651633963</v>
      </c>
      <c r="P61" s="91">
        <f>'Model (SN)'!P59</f>
        <v>560.70761279402996</v>
      </c>
      <c r="Q61" s="91">
        <f>'Model (SN)'!Q59</f>
        <v>603.59597640792174</v>
      </c>
      <c r="R61" s="91">
        <f>'Model (SN)'!R59</f>
        <v>642.88729626444058</v>
      </c>
      <c r="S61" s="91">
        <f>'Model (SN)'!S59</f>
        <v>678.97635432841662</v>
      </c>
      <c r="T61" s="91">
        <f>'Model (SN)'!T59</f>
        <v>712.20451673063337</v>
      </c>
      <c r="U61" s="91">
        <f>'Model (SN)'!U59</f>
        <v>742.86906971676592</v>
      </c>
      <c r="V61" s="91">
        <f>'Model (SN)'!V59</f>
        <v>771.22914032253516</v>
      </c>
    </row>
    <row r="62" spans="1:22" x14ac:dyDescent="0.25">
      <c r="A62" s="82"/>
      <c r="B62" s="64" t="s">
        <v>130</v>
      </c>
      <c r="C62" s="90">
        <f>'Model (SN)'!C69</f>
        <v>0</v>
      </c>
      <c r="D62" s="91">
        <f>'Model (SN)'!D69</f>
        <v>102.15423321098493</v>
      </c>
      <c r="E62" s="91">
        <f>'Model (SN)'!E69</f>
        <v>291.66660488127735</v>
      </c>
      <c r="F62" s="91">
        <f>'Model (SN)'!F69</f>
        <v>522.09757433553011</v>
      </c>
      <c r="G62" s="91">
        <f>'Model (SN)'!G69</f>
        <v>713.25317596611478</v>
      </c>
      <c r="H62" s="91">
        <f>'Model (SN)'!H69</f>
        <v>912.11936005160317</v>
      </c>
      <c r="I62" s="91">
        <f>'Model (SN)'!I69</f>
        <v>930.61825703619684</v>
      </c>
      <c r="J62" s="91">
        <f>'Model (SN)'!J69</f>
        <v>909.01355046501874</v>
      </c>
      <c r="K62" s="91">
        <f>'Model (SN)'!K69</f>
        <v>889.09739994698998</v>
      </c>
      <c r="L62" s="140">
        <f>'Model (SN)'!L69</f>
        <v>870.32798472149614</v>
      </c>
      <c r="M62" s="91">
        <f>'Model (SN)'!M69</f>
        <v>791.206819007587</v>
      </c>
      <c r="N62" s="92">
        <f>'Model (SN)'!N69</f>
        <v>755.28918389998489</v>
      </c>
      <c r="O62" s="91">
        <f>'Model (SN)'!O69</f>
        <v>737.45301081679793</v>
      </c>
      <c r="P62" s="91">
        <f>'Model (SN)'!P69</f>
        <v>729.48211366533565</v>
      </c>
      <c r="Q62" s="91">
        <f>'Model (SN)'!Q69</f>
        <v>727.48128888569454</v>
      </c>
      <c r="R62" s="91">
        <f>'Model (SN)'!R69</f>
        <v>729.31901438120008</v>
      </c>
      <c r="S62" s="91">
        <f>'Model (SN)'!S69</f>
        <v>733.67313170032628</v>
      </c>
      <c r="T62" s="91">
        <f>'Model (SN)'!T69</f>
        <v>739.66018518633257</v>
      </c>
      <c r="U62" s="91">
        <f>'Model (SN)'!U69</f>
        <v>746.6701668880437</v>
      </c>
      <c r="V62" s="91">
        <f>'Model (SN)'!V69</f>
        <v>754.27883524044819</v>
      </c>
    </row>
    <row r="63" spans="1:22" x14ac:dyDescent="0.25">
      <c r="A63" s="82"/>
      <c r="B63" s="153" t="s">
        <v>131</v>
      </c>
      <c r="C63" s="90">
        <f>'Model (SN)'!C70</f>
        <v>0</v>
      </c>
      <c r="D63" s="91">
        <f>'Model (SN)'!D70</f>
        <v>10297.380297297057</v>
      </c>
      <c r="E63" s="91">
        <f>'Model (SN)'!E70</f>
        <v>10055.60467912602</v>
      </c>
      <c r="F63" s="91">
        <f>'Model (SN)'!F70</f>
        <v>9662.2481802340826</v>
      </c>
      <c r="G63" s="91">
        <f>'Model (SN)'!G70</f>
        <v>8627.205382295997</v>
      </c>
      <c r="H63" s="91">
        <f>'Model (SN)'!H70</f>
        <v>7361.120354997528</v>
      </c>
      <c r="I63" s="91">
        <f>'Model (SN)'!I70</f>
        <v>6561.3918834109381</v>
      </c>
      <c r="J63" s="91">
        <f>'Model (SN)'!J70</f>
        <v>6124.1540058687278</v>
      </c>
      <c r="K63" s="91">
        <f>'Model (SN)'!K70</f>
        <v>5820.2883866318043</v>
      </c>
      <c r="L63" s="140">
        <f>'Model (SN)'!L70</f>
        <v>5597.6884892079888</v>
      </c>
      <c r="M63" s="91">
        <f>'Model (SN)'!M70</f>
        <v>5392.1125037731226</v>
      </c>
      <c r="N63" s="92">
        <f>'Model (SN)'!N70</f>
        <v>5277.608504532991</v>
      </c>
      <c r="O63" s="91">
        <f>'Model (SN)'!O70</f>
        <v>5223.0473978114969</v>
      </c>
      <c r="P63" s="91">
        <f>'Model (SN)'!P70</f>
        <v>5206.776636483346</v>
      </c>
      <c r="Q63" s="91">
        <f>'Model (SN)'!Q70</f>
        <v>5214.8614924282174</v>
      </c>
      <c r="R63" s="91">
        <f>'Model (SN)'!R70</f>
        <v>5238.0337193228643</v>
      </c>
      <c r="S63" s="91">
        <f>'Model (SN)'!S70</f>
        <v>5270.1320863628052</v>
      </c>
      <c r="T63" s="91">
        <f>'Model (SN)'!T70</f>
        <v>5307.1025439946434</v>
      </c>
      <c r="U63" s="91">
        <f>'Model (SN)'!U70</f>
        <v>5346.3175199639718</v>
      </c>
      <c r="V63" s="91">
        <f>'Model (SN)'!V70</f>
        <v>5386.1066524984672</v>
      </c>
    </row>
    <row r="64" spans="1:22" x14ac:dyDescent="0.25">
      <c r="A64" s="82"/>
      <c r="B64" s="153" t="s">
        <v>303</v>
      </c>
      <c r="C64" s="90">
        <f>SUM($C$63:C63)</f>
        <v>0</v>
      </c>
      <c r="D64" s="91">
        <f>SUM($C$63:D63)</f>
        <v>10297.380297297057</v>
      </c>
      <c r="E64" s="91">
        <f>SUM($C$63:E63)</f>
        <v>20352.984976423075</v>
      </c>
      <c r="F64" s="91">
        <f>SUM($C$63:F63)</f>
        <v>30015.233156657159</v>
      </c>
      <c r="G64" s="91">
        <f>SUM($C$63:G63)</f>
        <v>38642.438538953153</v>
      </c>
      <c r="H64" s="91">
        <f>SUM($C$63:H63)</f>
        <v>46003.558893950678</v>
      </c>
      <c r="I64" s="91">
        <f>SUM($C$63:I63)</f>
        <v>52564.950777361613</v>
      </c>
      <c r="J64" s="91">
        <f>SUM($C$63:J63)</f>
        <v>58689.104783230345</v>
      </c>
      <c r="K64" s="91">
        <f>SUM($C$63:K63)</f>
        <v>64509.393169862145</v>
      </c>
      <c r="L64" s="140">
        <f>SUM($C$63:L63)</f>
        <v>70107.081659070129</v>
      </c>
      <c r="M64" s="91">
        <f>SUM($C$63:M63)</f>
        <v>75499.194162843254</v>
      </c>
      <c r="N64" s="92">
        <f>SUM($C$63:N63)</f>
        <v>80776.802667376251</v>
      </c>
      <c r="O64" s="91">
        <f>SUM($C$63:O63)</f>
        <v>85999.850065187755</v>
      </c>
      <c r="P64" s="91">
        <f>SUM($C$63:P63)</f>
        <v>91206.626701671106</v>
      </c>
      <c r="Q64" s="91">
        <f>SUM($C$63:Q63)</f>
        <v>96421.488194099322</v>
      </c>
      <c r="R64" s="91">
        <f>SUM($C$63:R63)</f>
        <v>101659.52191342218</v>
      </c>
      <c r="S64" s="91">
        <f>SUM($C$63:S63)</f>
        <v>106929.65399978499</v>
      </c>
      <c r="T64" s="91">
        <f>SUM($C$63:T63)</f>
        <v>112236.75654377963</v>
      </c>
      <c r="U64" s="91">
        <f>SUM($C$63:U63)</f>
        <v>117583.0740637436</v>
      </c>
      <c r="V64" s="91">
        <f>SUM($C$63:V63)</f>
        <v>122969.18071624206</v>
      </c>
    </row>
    <row r="65" spans="1:23" s="64" customFormat="1" x14ac:dyDescent="0.25">
      <c r="A65" s="82"/>
      <c r="B65" s="153" t="s">
        <v>305</v>
      </c>
      <c r="C65" s="90">
        <f t="shared" ref="C65:V65" si="9">C47+C54+C63</f>
        <v>0</v>
      </c>
      <c r="D65" s="91">
        <f t="shared" si="9"/>
        <v>12099.033859094488</v>
      </c>
      <c r="E65" s="91">
        <f t="shared" si="9"/>
        <v>11754.661254255823</v>
      </c>
      <c r="F65" s="91">
        <f t="shared" si="9"/>
        <v>11257.246579269784</v>
      </c>
      <c r="G65" s="91">
        <f t="shared" si="9"/>
        <v>10131.685992732489</v>
      </c>
      <c r="H65" s="91">
        <f t="shared" si="9"/>
        <v>8775.4486628803061</v>
      </c>
      <c r="I65" s="91">
        <f t="shared" si="9"/>
        <v>7892.0140194957048</v>
      </c>
      <c r="J65" s="91">
        <f t="shared" si="9"/>
        <v>7388.8048474132429</v>
      </c>
      <c r="K65" s="91">
        <f t="shared" si="9"/>
        <v>7036.6565169830719</v>
      </c>
      <c r="L65" s="140">
        <f t="shared" si="9"/>
        <v>6780.7672289614493</v>
      </c>
      <c r="M65" s="91">
        <f t="shared" si="9"/>
        <v>6549.7302787870412</v>
      </c>
      <c r="N65" s="92">
        <f t="shared" si="9"/>
        <v>6420.9853028527559</v>
      </c>
      <c r="O65" s="91">
        <f t="shared" si="9"/>
        <v>6359.5623295091791</v>
      </c>
      <c r="P65" s="91">
        <f t="shared" si="9"/>
        <v>6341.3536952891791</v>
      </c>
      <c r="Q65" s="91">
        <f t="shared" si="9"/>
        <v>6350.7980670397292</v>
      </c>
      <c r="R65" s="91">
        <f t="shared" si="9"/>
        <v>6377.5310165107267</v>
      </c>
      <c r="S65" s="91">
        <f t="shared" si="9"/>
        <v>6414.64802439901</v>
      </c>
      <c r="T65" s="91">
        <f t="shared" si="9"/>
        <v>6457.5907446940373</v>
      </c>
      <c r="U65" s="91">
        <f t="shared" si="9"/>
        <v>6503.3901452519949</v>
      </c>
      <c r="V65" s="91">
        <f t="shared" si="9"/>
        <v>6550.1453781194286</v>
      </c>
    </row>
    <row r="66" spans="1:23" x14ac:dyDescent="0.25">
      <c r="A66" s="82"/>
      <c r="B66" s="153" t="s">
        <v>306</v>
      </c>
      <c r="C66" s="90">
        <f>SUM($C$65:C65)</f>
        <v>0</v>
      </c>
      <c r="D66" s="91">
        <f>SUM($C$65:D65)</f>
        <v>12099.033859094488</v>
      </c>
      <c r="E66" s="91">
        <f>SUM($C$65:E65)</f>
        <v>23853.69511335031</v>
      </c>
      <c r="F66" s="91">
        <f>SUM($C$65:F65)</f>
        <v>35110.941692620094</v>
      </c>
      <c r="G66" s="91">
        <f>SUM($C$65:G65)</f>
        <v>45242.627685352585</v>
      </c>
      <c r="H66" s="91">
        <f>SUM($C$65:H65)</f>
        <v>54018.076348232891</v>
      </c>
      <c r="I66" s="91">
        <f>SUM($C$65:I65)</f>
        <v>61910.090367728597</v>
      </c>
      <c r="J66" s="91">
        <f>SUM($C$65:J65)</f>
        <v>69298.895215141834</v>
      </c>
      <c r="K66" s="91">
        <f>SUM($C$65:K65)</f>
        <v>76335.551732124906</v>
      </c>
      <c r="L66" s="140">
        <f>SUM($C$65:L65)</f>
        <v>83116.318961086363</v>
      </c>
      <c r="M66" s="91">
        <f>SUM($C$65:M65)</f>
        <v>89666.049239873406</v>
      </c>
      <c r="N66" s="92">
        <f>SUM($C$65:N65)</f>
        <v>96087.034542726164</v>
      </c>
      <c r="O66" s="91">
        <f>SUM($C$65:O65)</f>
        <v>102446.59687223534</v>
      </c>
      <c r="P66" s="91">
        <f>SUM($C$65:P65)</f>
        <v>108787.95056752452</v>
      </c>
      <c r="Q66" s="91">
        <f>SUM($C$65:Q65)</f>
        <v>115138.74863456424</v>
      </c>
      <c r="R66" s="91">
        <f>SUM($C$65:R65)</f>
        <v>121516.27965107496</v>
      </c>
      <c r="S66" s="91">
        <f>SUM($C$65:S65)</f>
        <v>127930.92767547397</v>
      </c>
      <c r="T66" s="91">
        <f>SUM($C$65:T65)</f>
        <v>134388.51842016799</v>
      </c>
      <c r="U66" s="91">
        <f>SUM($C$65:U65)</f>
        <v>140891.90856541999</v>
      </c>
      <c r="V66" s="91">
        <f>SUM($C$65:V65)</f>
        <v>147442.05394353942</v>
      </c>
    </row>
    <row r="67" spans="1:23" x14ac:dyDescent="0.25">
      <c r="A67" s="112"/>
      <c r="B67" s="154" t="s">
        <v>307</v>
      </c>
      <c r="C67" s="155"/>
      <c r="D67" s="156"/>
      <c r="E67" s="156"/>
      <c r="F67" s="156"/>
      <c r="G67" s="156"/>
      <c r="H67" s="156"/>
      <c r="I67" s="100">
        <f>SUM($I$65:I65)</f>
        <v>7892.0140194957048</v>
      </c>
      <c r="J67" s="100">
        <f>SUM($I$65:J65)</f>
        <v>15280.818866908947</v>
      </c>
      <c r="K67" s="100">
        <f>SUM($I$65:K65)</f>
        <v>22317.475383892019</v>
      </c>
      <c r="L67" s="142">
        <f>SUM($I$65:L65)</f>
        <v>29098.242612853468</v>
      </c>
      <c r="M67" s="100">
        <f>SUM($I$65:M65)</f>
        <v>35647.972891640507</v>
      </c>
      <c r="N67" s="101">
        <f>SUM($I$65:N65)</f>
        <v>42068.958194493265</v>
      </c>
      <c r="O67" s="100">
        <f>SUM($I$65:O65)</f>
        <v>48428.520524002444</v>
      </c>
      <c r="P67" s="100">
        <f>SUM($I$65:P65)</f>
        <v>54769.874219291625</v>
      </c>
      <c r="Q67" s="100">
        <f>SUM($I$65:Q65)</f>
        <v>61120.672286331355</v>
      </c>
      <c r="R67" s="100">
        <f>SUM($I$65:R65)</f>
        <v>67498.203302842085</v>
      </c>
      <c r="S67" s="100">
        <f>SUM($I$65:S65)</f>
        <v>73912.851327241093</v>
      </c>
      <c r="T67" s="100">
        <f>SUM($I$65:T65)</f>
        <v>80370.442071935133</v>
      </c>
      <c r="U67" s="100">
        <f>SUM($I$65:U65)</f>
        <v>86873.832217187126</v>
      </c>
      <c r="V67" s="100">
        <f>SUM($I$65:V65)</f>
        <v>93423.977595306555</v>
      </c>
      <c r="W67" s="116"/>
    </row>
    <row r="68" spans="1:23" s="88" customFormat="1" x14ac:dyDescent="0.25">
      <c r="C68" s="157"/>
      <c r="D68" s="157"/>
      <c r="E68" s="157"/>
      <c r="F68" s="157"/>
      <c r="G68" s="157"/>
      <c r="H68" s="157"/>
      <c r="I68" s="176"/>
      <c r="L68" s="139"/>
      <c r="T68" s="64"/>
      <c r="U68" s="64"/>
      <c r="V68" s="64"/>
      <c r="W68" s="64"/>
    </row>
    <row r="69" spans="1:23" x14ac:dyDescent="0.25">
      <c r="C69" s="158"/>
      <c r="D69" s="158"/>
      <c r="E69" s="158"/>
      <c r="F69" s="158"/>
      <c r="G69" s="158"/>
      <c r="H69" s="210"/>
    </row>
    <row r="70" spans="1:23" x14ac:dyDescent="0.25">
      <c r="C70" s="159"/>
      <c r="D70" s="160"/>
      <c r="E70" s="305"/>
      <c r="F70" s="305"/>
      <c r="G70" s="305"/>
      <c r="H70" s="176"/>
    </row>
    <row r="71" spans="1:23" x14ac:dyDescent="0.25">
      <c r="C71" s="159"/>
      <c r="D71" s="160"/>
      <c r="E71" s="305"/>
      <c r="F71" s="305"/>
      <c r="G71" s="305"/>
      <c r="H71" s="176"/>
    </row>
    <row r="72" spans="1:23" x14ac:dyDescent="0.25">
      <c r="A72" s="13"/>
      <c r="B72" s="13"/>
      <c r="C72" s="28"/>
      <c r="D72" s="28"/>
      <c r="E72" s="28"/>
      <c r="F72" s="28"/>
      <c r="G72" s="28"/>
      <c r="H72" s="211"/>
    </row>
    <row r="73" spans="1:23" x14ac:dyDescent="0.25">
      <c r="A73" s="13"/>
      <c r="B73" s="13"/>
      <c r="C73" s="27"/>
      <c r="D73" s="27"/>
      <c r="E73" s="27"/>
      <c r="F73" s="27"/>
      <c r="G73" s="27"/>
      <c r="H73" s="202"/>
    </row>
    <row r="74" spans="1:23" x14ac:dyDescent="0.25">
      <c r="A74" s="13"/>
      <c r="B74" s="13"/>
      <c r="C74" s="24"/>
      <c r="D74" s="24"/>
      <c r="E74" s="24"/>
      <c r="F74" s="24"/>
      <c r="G74" s="24"/>
      <c r="H74" s="306"/>
    </row>
    <row r="75" spans="1:23" x14ac:dyDescent="0.25">
      <c r="A75" s="13"/>
      <c r="B75" s="13"/>
      <c r="C75" s="24"/>
      <c r="D75" s="24"/>
      <c r="E75" s="24"/>
      <c r="F75" s="24"/>
      <c r="G75" s="24"/>
      <c r="H75" s="306"/>
    </row>
    <row r="76" spans="1:23" x14ac:dyDescent="0.25">
      <c r="A76" s="161"/>
      <c r="B76" s="161"/>
      <c r="C76" s="162"/>
      <c r="D76" s="24"/>
      <c r="E76" s="24"/>
      <c r="F76" s="24"/>
      <c r="G76" s="24"/>
      <c r="H76" s="306"/>
    </row>
    <row r="77" spans="1:23" x14ac:dyDescent="0.25">
      <c r="A77" s="13"/>
      <c r="B77" s="13"/>
      <c r="C77" s="24"/>
      <c r="D77" s="24"/>
      <c r="E77" s="24"/>
      <c r="F77" s="24"/>
      <c r="G77" s="24"/>
      <c r="H77" s="306"/>
    </row>
    <row r="78" spans="1:23" x14ac:dyDescent="0.25">
      <c r="A78" s="13"/>
      <c r="B78" s="13"/>
      <c r="C78" s="24"/>
      <c r="D78" s="13"/>
      <c r="E78" s="13"/>
      <c r="F78" s="13"/>
      <c r="G78" s="13"/>
      <c r="H78" s="63"/>
    </row>
    <row r="79" spans="1:23" x14ac:dyDescent="0.25">
      <c r="A79" s="13"/>
      <c r="B79" s="13"/>
      <c r="C79" s="24"/>
      <c r="D79" s="13"/>
      <c r="E79" s="13"/>
      <c r="F79" s="13"/>
      <c r="G79" s="13"/>
      <c r="H79" s="63"/>
    </row>
  </sheetData>
  <mergeCells count="2">
    <mergeCell ref="C3:H3"/>
    <mergeCell ref="M3:V3"/>
  </mergeCells>
  <printOptions horizontalCentered="1"/>
  <pageMargins left="0.5" right="0.5" top="0.75" bottom="0.75" header="0.3" footer="0.3"/>
  <pageSetup scale="8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1"/>
  <sheetViews>
    <sheetView topLeftCell="A13" zoomScaleNormal="100" workbookViewId="0">
      <selection activeCell="Q32" sqref="Q32"/>
    </sheetView>
  </sheetViews>
  <sheetFormatPr defaultRowHeight="15" x14ac:dyDescent="0.25"/>
  <sheetData>
    <row r="1" spans="1:9" s="5" customFormat="1" x14ac:dyDescent="0.25">
      <c r="A1" s="1" t="s">
        <v>14</v>
      </c>
      <c r="B1" s="1"/>
      <c r="C1" s="2"/>
      <c r="D1" s="3"/>
      <c r="E1" s="4"/>
      <c r="F1" s="3"/>
      <c r="G1" s="4"/>
      <c r="H1" s="3"/>
      <c r="I1" s="4"/>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X79"/>
  <sheetViews>
    <sheetView zoomScaleNormal="100" workbookViewId="0">
      <pane xSplit="2" ySplit="5" topLeftCell="C6" activePane="bottomRight" state="frozen"/>
      <selection activeCell="E71" sqref="E71"/>
      <selection pane="topRight" activeCell="E71" sqref="E71"/>
      <selection pane="bottomLeft" activeCell="E71" sqref="E71"/>
      <selection pane="bottomRight" activeCell="E71" sqref="E71"/>
    </sheetView>
  </sheetViews>
  <sheetFormatPr defaultColWidth="9.140625" defaultRowHeight="15" x14ac:dyDescent="0.25"/>
  <cols>
    <col min="1" max="1" width="2.85546875" style="127" customWidth="1"/>
    <col min="2" max="2" width="23.42578125" style="127" customWidth="1"/>
    <col min="3" max="3" width="9.140625" style="305" customWidth="1"/>
    <col min="4" max="5" width="9.140625" style="127" customWidth="1"/>
    <col min="6" max="7" width="9.140625" style="127"/>
    <col min="8" max="8" width="9.140625" style="64"/>
    <col min="9" max="9" width="12.28515625" style="176" customWidth="1"/>
    <col min="10" max="11" width="9.140625" style="127"/>
    <col min="12" max="12" width="12.85546875" style="191" customWidth="1"/>
    <col min="13" max="14" width="9.140625" style="64"/>
    <col min="15" max="17" width="9.140625" style="127"/>
    <col min="18" max="19" width="9.140625" style="64"/>
    <col min="20" max="16384" width="9.140625" style="127"/>
  </cols>
  <sheetData>
    <row r="1" spans="1:24" s="5" customFormat="1" x14ac:dyDescent="0.25">
      <c r="A1" s="74" t="s">
        <v>288</v>
      </c>
      <c r="B1" s="143"/>
      <c r="C1" s="76"/>
      <c r="D1" s="75"/>
      <c r="E1" s="75"/>
      <c r="F1" s="75"/>
      <c r="G1" s="75"/>
      <c r="H1" s="75"/>
      <c r="I1" s="144"/>
      <c r="J1" s="75"/>
      <c r="K1" s="75"/>
      <c r="L1" s="206"/>
      <c r="M1" s="75"/>
      <c r="N1" s="75"/>
      <c r="O1" s="75"/>
      <c r="P1" s="75"/>
      <c r="Q1" s="75"/>
      <c r="R1" s="77"/>
      <c r="S1" s="77"/>
    </row>
    <row r="2" spans="1:24" s="5" customFormat="1" x14ac:dyDescent="0.25">
      <c r="A2" s="145"/>
      <c r="B2" s="146"/>
      <c r="C2" s="144"/>
      <c r="D2" s="77"/>
      <c r="E2" s="77"/>
      <c r="F2" s="77"/>
      <c r="G2" s="77"/>
      <c r="H2" s="77"/>
      <c r="I2" s="144"/>
      <c r="J2" s="77"/>
      <c r="K2" s="77"/>
      <c r="L2" s="207"/>
      <c r="M2" s="77"/>
      <c r="N2" s="77"/>
      <c r="O2" s="77"/>
      <c r="P2" s="77"/>
      <c r="Q2" s="77"/>
      <c r="R2" s="77"/>
      <c r="S2" s="77"/>
    </row>
    <row r="3" spans="1:24" s="13" customFormat="1" x14ac:dyDescent="0.25">
      <c r="A3" s="78"/>
      <c r="B3" s="123"/>
      <c r="C3" s="352" t="s">
        <v>105</v>
      </c>
      <c r="D3" s="354"/>
      <c r="E3" s="354"/>
      <c r="F3" s="354"/>
      <c r="G3" s="354"/>
      <c r="H3" s="354"/>
      <c r="I3" s="306"/>
      <c r="J3" s="306"/>
      <c r="K3" s="306"/>
      <c r="L3" s="133" t="s">
        <v>21</v>
      </c>
      <c r="M3" s="352" t="s">
        <v>106</v>
      </c>
      <c r="N3" s="355"/>
      <c r="O3" s="355"/>
      <c r="P3" s="355"/>
      <c r="Q3" s="355"/>
      <c r="R3" s="355"/>
      <c r="S3" s="355"/>
      <c r="T3" s="355"/>
      <c r="U3" s="355"/>
      <c r="V3" s="355"/>
    </row>
    <row r="4" spans="1:24" s="13" customFormat="1" x14ac:dyDescent="0.25">
      <c r="A4" s="78"/>
      <c r="B4" s="123"/>
      <c r="C4" s="79">
        <v>2004</v>
      </c>
      <c r="D4" s="80">
        <v>2005</v>
      </c>
      <c r="E4" s="80">
        <v>2006</v>
      </c>
      <c r="F4" s="80">
        <v>2007</v>
      </c>
      <c r="G4" s="80">
        <v>2008</v>
      </c>
      <c r="H4" s="80">
        <v>2009</v>
      </c>
      <c r="I4" s="80">
        <v>2010</v>
      </c>
      <c r="J4" s="80">
        <v>2011</v>
      </c>
      <c r="K4" s="80">
        <v>2012</v>
      </c>
      <c r="L4" s="136">
        <v>2013</v>
      </c>
      <c r="M4" s="80">
        <v>2014</v>
      </c>
      <c r="N4" s="81">
        <v>2015</v>
      </c>
      <c r="O4" s="80">
        <v>2016</v>
      </c>
      <c r="P4" s="80">
        <v>2017</v>
      </c>
      <c r="Q4" s="80">
        <v>2018</v>
      </c>
      <c r="R4" s="80">
        <v>2019</v>
      </c>
      <c r="S4" s="80">
        <v>2020</v>
      </c>
      <c r="T4" s="80">
        <v>2021</v>
      </c>
      <c r="U4" s="80">
        <v>2022</v>
      </c>
      <c r="V4" s="80">
        <v>2023</v>
      </c>
    </row>
    <row r="5" spans="1:24" x14ac:dyDescent="0.25">
      <c r="A5" s="82"/>
      <c r="B5" s="64"/>
      <c r="C5" s="83" t="s">
        <v>107</v>
      </c>
      <c r="D5" s="84" t="s">
        <v>108</v>
      </c>
      <c r="E5" s="84" t="s">
        <v>109</v>
      </c>
      <c r="F5" s="84" t="s">
        <v>110</v>
      </c>
      <c r="G5" s="84" t="s">
        <v>111</v>
      </c>
      <c r="H5" s="84" t="s">
        <v>112</v>
      </c>
      <c r="I5" s="84" t="s">
        <v>113</v>
      </c>
      <c r="J5" s="84" t="s">
        <v>114</v>
      </c>
      <c r="K5" s="84" t="s">
        <v>115</v>
      </c>
      <c r="L5" s="138" t="s">
        <v>116</v>
      </c>
      <c r="M5" s="84" t="s">
        <v>117</v>
      </c>
      <c r="N5" s="85" t="s">
        <v>118</v>
      </c>
      <c r="O5" s="84" t="s">
        <v>119</v>
      </c>
      <c r="P5" s="84" t="s">
        <v>120</v>
      </c>
      <c r="Q5" s="84" t="s">
        <v>121</v>
      </c>
      <c r="R5" s="84" t="s">
        <v>122</v>
      </c>
      <c r="S5" s="84" t="s">
        <v>123</v>
      </c>
      <c r="T5" s="84" t="s">
        <v>450</v>
      </c>
      <c r="U5" s="84" t="s">
        <v>451</v>
      </c>
      <c r="V5" s="84" t="s">
        <v>452</v>
      </c>
    </row>
    <row r="6" spans="1:24" x14ac:dyDescent="0.25">
      <c r="A6" s="86" t="s">
        <v>289</v>
      </c>
      <c r="B6" s="64"/>
      <c r="C6" s="147">
        <f>SUM('Model (SC)'!C3:C5)+SUM('Model (SC)'!C12:C15)+SUM('Model (SC)'!C23)+SUM('Model (SC)'!C37:C41)+SUM('Model (SC)'!C53)</f>
        <v>109999.99999999999</v>
      </c>
      <c r="D6" s="103">
        <f>SUM('Model (SC)'!D3:D5)+SUM('Model (SC)'!D12:D15)+SUM('Model (SC)'!D23)+SUM('Model (SC)'!D37:D41)+SUM('Model (SC)'!D53)</f>
        <v>108865.32614090553</v>
      </c>
      <c r="E6" s="103">
        <f>SUM('Model (SC)'!E3:E5)+SUM('Model (SC)'!E12:E15)+SUM('Model (SC)'!E23)+SUM('Model (SC)'!E37:E41)+SUM('Model (SC)'!E53)</f>
        <v>107186.10488664967</v>
      </c>
      <c r="F6" s="103">
        <f>SUM('Model (SC)'!F3:F5)+SUM('Model (SC)'!F12:F15)+SUM('Model (SC)'!F23)+SUM('Model (SC)'!F37:F41)+SUM('Model (SC)'!F53)</f>
        <v>106114.85830737992</v>
      </c>
      <c r="G6" s="103">
        <f>SUM('Model (SC)'!G3:G5)+SUM('Model (SC)'!G12:G15)+SUM('Model (SC)'!G23)+SUM('Model (SC)'!G37:G41)+SUM('Model (SC)'!G53)</f>
        <v>105203.29231464742</v>
      </c>
      <c r="H6" s="212">
        <f>SUM('Model (SC)'!H3:H5)+SUM('Model (SC)'!H12:H15)+SUM('Model (SC)'!H23)+SUM('Model (SC)'!H37:H41)+SUM('Model (SC)'!H53)</f>
        <v>105015.8836517671</v>
      </c>
      <c r="I6" s="100">
        <f>SUM('Model (SC)'!I3:I5)+SUM('Model (SC)'!I12:I15)+SUM('Model (SC)'!I23)+SUM('Model (SC)'!I37:I41)+SUM('Model (SC)'!I53)</f>
        <v>105711.90963227142</v>
      </c>
      <c r="J6" s="212">
        <f>SUM('Model (SC)'!J3:J5)+SUM('Model (SC)'!J12:J15)+SUM('Model (SC)'!J23)+SUM('Model (SC)'!J37:J41)+SUM('Model (SC)'!J53)</f>
        <v>106911.14478485816</v>
      </c>
      <c r="K6" s="103">
        <f>SUM('Model (SC)'!K3:K5)+SUM('Model (SC)'!K12:K15)+SUM('Model (SC)'!K23)+SUM('Model (SC)'!K37:K41)+SUM('Model (SC)'!K53)</f>
        <v>108462.52826787508</v>
      </c>
      <c r="L6" s="148">
        <f>SUM('Model (SC)'!L3:L5)+SUM('Model (SC)'!L12:L15)+SUM('Model (SC)'!L23)+SUM('Model (SC)'!L37:L41)+SUM('Model (SC)'!L53)</f>
        <v>110269.80103891363</v>
      </c>
      <c r="M6" s="103">
        <f>SUM('Model (SC)'!M3:M5)+SUM('Model (SC)'!M12:M15)+SUM('Model (SC)'!M23)+SUM('Model (SC)'!M37:M41)+SUM('Model (SC)'!M53)</f>
        <v>112298.61596289785</v>
      </c>
      <c r="N6" s="149">
        <f>SUM('Model (SC)'!N3:N5)+SUM('Model (SC)'!N12:N15)+SUM('Model (SC)'!N23)+SUM('Model (SC)'!N37:N41)+SUM('Model (SC)'!N53)</f>
        <v>114454.84544801107</v>
      </c>
      <c r="O6" s="103">
        <f>SUM('Model (SC)'!O3:O5)+SUM('Model (SC)'!O12:O15)+SUM('Model (SC)'!O23)+SUM('Model (SC)'!O37:O41)+SUM('Model (SC)'!O53)</f>
        <v>116671.20755361098</v>
      </c>
      <c r="P6" s="103">
        <f>SUM('Model (SC)'!P3:P5)+SUM('Model (SC)'!P12:P15)+SUM('Model (SC)'!P23)+SUM('Model (SC)'!P37:P41)+SUM('Model (SC)'!P53)</f>
        <v>118904.38513401868</v>
      </c>
      <c r="Q6" s="103">
        <f>SUM('Model (SC)'!Q3:Q5)+SUM('Model (SC)'!Q12:Q15)+SUM('Model (SC)'!Q23)+SUM('Model (SC)'!Q37:Q41)+SUM('Model (SC)'!Q53)</f>
        <v>121126.62659154748</v>
      </c>
      <c r="R6" s="103">
        <f>SUM('Model (SC)'!R3:R5)+SUM('Model (SC)'!R12:R15)+SUM('Model (SC)'!R23)+SUM('Model (SC)'!R37:R41)+SUM('Model (SC)'!R53)</f>
        <v>123320.57981486985</v>
      </c>
      <c r="S6" s="103">
        <f>SUM('Model (SC)'!S3:S5)+SUM('Model (SC)'!S12:S15)+SUM('Model (SC)'!S23)+SUM('Model (SC)'!S37:S41)+SUM('Model (SC)'!S53)</f>
        <v>125475.82379050124</v>
      </c>
      <c r="T6" s="100">
        <f>SUM('Model (SC)'!T3:T5)+SUM('Model (SC)'!T12:T15)+SUM('Model (SC)'!T23)+SUM('Model (SC)'!T37:T41)+SUM('Model (SC)'!T53)</f>
        <v>127586.51482468411</v>
      </c>
      <c r="U6" s="100">
        <f>SUM('Model (SC)'!U3:U5)+SUM('Model (SC)'!U12:U15)+SUM('Model (SC)'!U23)+SUM('Model (SC)'!U37:U41)+SUM('Model (SC)'!U53)</f>
        <v>129649.79222226453</v>
      </c>
      <c r="V6" s="100">
        <f>SUM('Model (SC)'!V3:V5)+SUM('Model (SC)'!V12:V15)+SUM('Model (SC)'!V23)+SUM('Model (SC)'!V37:V41)+SUM('Model (SC)'!V53)</f>
        <v>131664.7066997932</v>
      </c>
      <c r="W6" s="116"/>
    </row>
    <row r="7" spans="1:24" s="88" customFormat="1" x14ac:dyDescent="0.25">
      <c r="A7" s="150" t="s">
        <v>290</v>
      </c>
      <c r="C7" s="147"/>
      <c r="D7" s="103"/>
      <c r="E7" s="103"/>
      <c r="F7" s="103"/>
      <c r="G7" s="103"/>
      <c r="H7" s="91"/>
      <c r="I7" s="91"/>
      <c r="J7" s="91"/>
      <c r="K7" s="103"/>
      <c r="L7" s="148"/>
      <c r="M7" s="103"/>
      <c r="N7" s="149"/>
      <c r="O7" s="103"/>
      <c r="P7" s="103"/>
      <c r="Q7" s="103"/>
      <c r="R7" s="103"/>
      <c r="S7" s="103"/>
      <c r="T7" s="91"/>
      <c r="U7" s="91"/>
      <c r="V7" s="91"/>
      <c r="W7" s="64"/>
    </row>
    <row r="8" spans="1:24" s="64" customFormat="1" x14ac:dyDescent="0.25">
      <c r="A8" s="86"/>
      <c r="B8" s="64" t="s">
        <v>313</v>
      </c>
      <c r="C8" s="90">
        <f>'Model (SC)'!C3</f>
        <v>37328.860303712914</v>
      </c>
      <c r="D8" s="91">
        <f>'Model (SC)'!D3</f>
        <v>35944.615059052026</v>
      </c>
      <c r="E8" s="91">
        <f>'Model (SC)'!E3</f>
        <v>34129.366234797257</v>
      </c>
      <c r="F8" s="91">
        <f>'Model (SC)'!F3</f>
        <v>31815.830071853721</v>
      </c>
      <c r="G8" s="91">
        <f>'Model (SC)'!G3</f>
        <v>29383.723194820872</v>
      </c>
      <c r="H8" s="91">
        <f>'Model (SC)'!H3</f>
        <v>27210.270931858315</v>
      </c>
      <c r="I8" s="91">
        <f>'Model (SC)'!I3</f>
        <v>25832.823639290818</v>
      </c>
      <c r="J8" s="91">
        <f>'Model (SC)'!J3</f>
        <v>24959.85252502521</v>
      </c>
      <c r="K8" s="91">
        <f>'Model (SC)'!K3</f>
        <v>24406.598276783407</v>
      </c>
      <c r="L8" s="140">
        <f>'Model (SC)'!L3</f>
        <v>24055.967816971341</v>
      </c>
      <c r="M8" s="91">
        <f>'Model (SC)'!M3</f>
        <v>23833.752226691249</v>
      </c>
      <c r="N8" s="92">
        <f>'Model (SC)'!N3</f>
        <v>23692.920855138429</v>
      </c>
      <c r="O8" s="91">
        <f>'Model (SC)'!O3</f>
        <v>23603.667553025603</v>
      </c>
      <c r="P8" s="91">
        <f>'Model (SC)'!P3</f>
        <v>23547.102372624337</v>
      </c>
      <c r="Q8" s="91">
        <f>'Model (SC)'!Q3</f>
        <v>23511.253619042276</v>
      </c>
      <c r="R8" s="91">
        <f>'Model (SC)'!R3</f>
        <v>23488.534109897766</v>
      </c>
      <c r="S8" s="91">
        <f>'Model (SC)'!S3</f>
        <v>23474.135391833948</v>
      </c>
      <c r="T8" s="91">
        <f>'Model (SC)'!T3</f>
        <v>23465.010059039007</v>
      </c>
      <c r="U8" s="91">
        <f>'Model (SC)'!U3</f>
        <v>23459.226787344309</v>
      </c>
      <c r="V8" s="91">
        <f>'Model (SC)'!V3</f>
        <v>23455.561580579113</v>
      </c>
    </row>
    <row r="9" spans="1:24" s="64" customFormat="1" x14ac:dyDescent="0.25">
      <c r="A9" s="86"/>
      <c r="B9" s="64" t="s">
        <v>314</v>
      </c>
      <c r="C9" s="90">
        <f>'Model (SC)'!C12</f>
        <v>24973.444837624658</v>
      </c>
      <c r="D9" s="91">
        <f>'Model (SC)'!D12</f>
        <v>20500.67140142811</v>
      </c>
      <c r="E9" s="91">
        <f>'Model (SC)'!E12</f>
        <v>17889.256500904768</v>
      </c>
      <c r="F9" s="91">
        <f>'Model (SC)'!F12</f>
        <v>15317.992209211909</v>
      </c>
      <c r="G9" s="91">
        <f>'Model (SC)'!G12</f>
        <v>13634.693039370628</v>
      </c>
      <c r="H9" s="91">
        <f>'Model (SC)'!H12</f>
        <v>12349.201182827517</v>
      </c>
      <c r="I9" s="91">
        <f>'Model (SC)'!I12</f>
        <v>11304.281357638176</v>
      </c>
      <c r="J9" s="91">
        <f>'Model (SC)'!J12</f>
        <v>10532.763265342432</v>
      </c>
      <c r="K9" s="91">
        <f>'Model (SC)'!K12</f>
        <v>9991.9255699909336</v>
      </c>
      <c r="L9" s="140">
        <f>'Model (SC)'!L12</f>
        <v>9624.5363786477628</v>
      </c>
      <c r="M9" s="91">
        <f>'Model (SC)'!M12</f>
        <v>9380.0088118015756</v>
      </c>
      <c r="N9" s="92">
        <f>'Model (SC)'!N12</f>
        <v>9219.487242575553</v>
      </c>
      <c r="O9" s="91">
        <f>'Model (SC)'!O12</f>
        <v>9115.1205816359579</v>
      </c>
      <c r="P9" s="91">
        <f>'Model (SC)'!P12</f>
        <v>9047.7265486116703</v>
      </c>
      <c r="Q9" s="91">
        <f>'Model (SC)'!Q12</f>
        <v>9004.421230137832</v>
      </c>
      <c r="R9" s="91">
        <f>'Model (SC)'!R12</f>
        <v>8976.6942295346271</v>
      </c>
      <c r="S9" s="91">
        <f>'Model (SC)'!S12</f>
        <v>8958.9881827291028</v>
      </c>
      <c r="T9" s="91">
        <f>'Model (SC)'!T12</f>
        <v>8947.7032907069515</v>
      </c>
      <c r="U9" s="91">
        <f>'Model (SC)'!U12</f>
        <v>8940.5212298243914</v>
      </c>
      <c r="V9" s="91">
        <f>'Model (SC)'!V12</f>
        <v>8935.9552154930025</v>
      </c>
    </row>
    <row r="10" spans="1:24" s="64" customFormat="1" x14ac:dyDescent="0.25">
      <c r="A10" s="86"/>
      <c r="B10" s="64" t="s">
        <v>315</v>
      </c>
      <c r="C10" s="90">
        <f>'Model (SC)'!C37</f>
        <v>20197.694858662428</v>
      </c>
      <c r="D10" s="91">
        <f>'Model (SC)'!D37</f>
        <v>16460.764033938365</v>
      </c>
      <c r="E10" s="91">
        <f>'Model (SC)'!E37</f>
        <v>13459.558197925611</v>
      </c>
      <c r="F10" s="91">
        <f>'Model (SC)'!F37</f>
        <v>6296.2601741540166</v>
      </c>
      <c r="G10" s="91">
        <f>'Model (SC)'!G37</f>
        <v>5030.2015485239654</v>
      </c>
      <c r="H10" s="91">
        <f>'Model (SC)'!H37</f>
        <v>4437.7809743848038</v>
      </c>
      <c r="I10" s="91">
        <f>'Model (SC)'!I37</f>
        <v>4011.2223431467796</v>
      </c>
      <c r="J10" s="91">
        <f>'Model (SC)'!J37</f>
        <v>3668.2893297704495</v>
      </c>
      <c r="K10" s="91">
        <f>'Model (SC)'!K37</f>
        <v>3413.1518110233492</v>
      </c>
      <c r="L10" s="140">
        <f>'Model (SC)'!L37</f>
        <v>3233.2813473185142</v>
      </c>
      <c r="M10" s="91">
        <f>'Model (SC)'!M37</f>
        <v>3110.6431882597944</v>
      </c>
      <c r="N10" s="92">
        <f>'Model (SC)'!N37</f>
        <v>3028.8158355082242</v>
      </c>
      <c r="O10" s="91">
        <f>'Model (SC)'!O37</f>
        <v>2975.0085736432011</v>
      </c>
      <c r="P10" s="91">
        <f>'Model (SC)'!P37</f>
        <v>2939.9827812400636</v>
      </c>
      <c r="Q10" s="91">
        <f>'Model (SC)'!Q37</f>
        <v>2917.3457782369587</v>
      </c>
      <c r="R10" s="91">
        <f>'Model (SC)'!R37</f>
        <v>2902.7909282238243</v>
      </c>
      <c r="S10" s="91">
        <f>'Model (SC)'!S37</f>
        <v>2893.4677067220587</v>
      </c>
      <c r="T10" s="91">
        <f>'Model (SC)'!T37</f>
        <v>2887.5120544614197</v>
      </c>
      <c r="U10" s="91">
        <f>'Model (SC)'!U37</f>
        <v>2883.7153044945258</v>
      </c>
      <c r="V10" s="91">
        <f>'Model (SC)'!V37</f>
        <v>2881.2984922299543</v>
      </c>
    </row>
    <row r="11" spans="1:24" s="116" customFormat="1" x14ac:dyDescent="0.25">
      <c r="A11" s="151"/>
      <c r="B11" s="152" t="s">
        <v>22</v>
      </c>
      <c r="C11" s="99">
        <f>SUM(C8:C10)</f>
        <v>82500</v>
      </c>
      <c r="D11" s="100">
        <f t="shared" ref="D11:V11" si="0">SUM(D8:D10)</f>
        <v>72906.050494418509</v>
      </c>
      <c r="E11" s="100">
        <f t="shared" si="0"/>
        <v>65478.180933627635</v>
      </c>
      <c r="F11" s="100">
        <f t="shared" si="0"/>
        <v>53430.082455219643</v>
      </c>
      <c r="G11" s="100">
        <f t="shared" si="0"/>
        <v>48048.617782715468</v>
      </c>
      <c r="H11" s="100">
        <f t="shared" si="0"/>
        <v>43997.25308907064</v>
      </c>
      <c r="I11" s="100">
        <f t="shared" si="0"/>
        <v>41148.327340075775</v>
      </c>
      <c r="J11" s="100">
        <f t="shared" si="0"/>
        <v>39160.905120138093</v>
      </c>
      <c r="K11" s="100">
        <f t="shared" si="0"/>
        <v>37811.675657797692</v>
      </c>
      <c r="L11" s="142">
        <f t="shared" si="0"/>
        <v>36913.785542937621</v>
      </c>
      <c r="M11" s="100">
        <f t="shared" si="0"/>
        <v>36324.404226752624</v>
      </c>
      <c r="N11" s="101">
        <f t="shared" si="0"/>
        <v>35941.223933222209</v>
      </c>
      <c r="O11" s="100">
        <f t="shared" si="0"/>
        <v>35693.796708304762</v>
      </c>
      <c r="P11" s="100">
        <f t="shared" si="0"/>
        <v>35534.811702476072</v>
      </c>
      <c r="Q11" s="100">
        <f t="shared" si="0"/>
        <v>35433.020627417063</v>
      </c>
      <c r="R11" s="100">
        <f t="shared" si="0"/>
        <v>35368.019267656215</v>
      </c>
      <c r="S11" s="100">
        <f t="shared" si="0"/>
        <v>35326.591281285109</v>
      </c>
      <c r="T11" s="100">
        <f t="shared" si="0"/>
        <v>35300.225404207376</v>
      </c>
      <c r="U11" s="100">
        <f t="shared" si="0"/>
        <v>35283.463321663221</v>
      </c>
      <c r="V11" s="100">
        <f t="shared" si="0"/>
        <v>35272.815288302067</v>
      </c>
    </row>
    <row r="12" spans="1:24" s="88" customFormat="1" x14ac:dyDescent="0.25">
      <c r="A12" s="150" t="s">
        <v>291</v>
      </c>
      <c r="C12" s="147"/>
      <c r="D12" s="103"/>
      <c r="E12" s="103"/>
      <c r="F12" s="103"/>
      <c r="G12" s="103"/>
      <c r="H12" s="91"/>
      <c r="I12" s="91"/>
      <c r="J12" s="91"/>
      <c r="K12" s="103"/>
      <c r="L12" s="148"/>
      <c r="M12" s="103"/>
      <c r="N12" s="149"/>
      <c r="O12" s="103"/>
      <c r="P12" s="103"/>
      <c r="Q12" s="103"/>
      <c r="R12" s="103"/>
      <c r="S12" s="103"/>
      <c r="T12" s="91"/>
      <c r="U12" s="91"/>
      <c r="V12" s="91"/>
      <c r="W12" s="64"/>
      <c r="X12" s="64"/>
    </row>
    <row r="13" spans="1:24" s="64" customFormat="1" x14ac:dyDescent="0.25">
      <c r="A13" s="86"/>
      <c r="B13" s="64" t="s">
        <v>313</v>
      </c>
      <c r="C13" s="90">
        <f>'Model (SC)'!C4</f>
        <v>8625.5137507233158</v>
      </c>
      <c r="D13" s="91">
        <f>'Model (SC)'!D4</f>
        <v>5881.1995157454367</v>
      </c>
      <c r="E13" s="91">
        <f>'Model (SC)'!E4</f>
        <v>4600.8538746215972</v>
      </c>
      <c r="F13" s="91">
        <f>'Model (SC)'!F4</f>
        <v>4542.3349259900533</v>
      </c>
      <c r="G13" s="91">
        <f>'Model (SC)'!G4</f>
        <v>4345.4301923503408</v>
      </c>
      <c r="H13" s="91">
        <f>'Model (SC)'!H4</f>
        <v>4079.1154033174189</v>
      </c>
      <c r="I13" s="91">
        <f>'Model (SC)'!I4</f>
        <v>3801.5367190100169</v>
      </c>
      <c r="J13" s="91">
        <f>'Model (SC)'!J4</f>
        <v>3577.9490597166414</v>
      </c>
      <c r="K13" s="91">
        <f>'Model (SC)'!K4</f>
        <v>3415.362192085453</v>
      </c>
      <c r="L13" s="140">
        <f>'Model (SC)'!L4</f>
        <v>3303.1701285426861</v>
      </c>
      <c r="M13" s="91">
        <f>'Model (SC)'!M4</f>
        <v>3228.0578445187493</v>
      </c>
      <c r="N13" s="92">
        <f>'Model (SC)'!N4</f>
        <v>3178.6979779008598</v>
      </c>
      <c r="O13" s="91">
        <f>'Model (SC)'!O4</f>
        <v>3146.64598166215</v>
      </c>
      <c r="P13" s="91">
        <f>'Model (SC)'!P4</f>
        <v>3125.995475661518</v>
      </c>
      <c r="Q13" s="91">
        <f>'Model (SC)'!Q4</f>
        <v>3112.7602546643966</v>
      </c>
      <c r="R13" s="91">
        <f>'Model (SC)'!R4</f>
        <v>3104.3075624579274</v>
      </c>
      <c r="S13" s="91">
        <f>'Model (SC)'!S4</f>
        <v>3098.9222193667129</v>
      </c>
      <c r="T13" s="91">
        <f>'Model (SC)'!T4</f>
        <v>3095.4967763517016</v>
      </c>
      <c r="U13" s="91">
        <f>'Model (SC)'!U4</f>
        <v>3093.3204222811128</v>
      </c>
      <c r="V13" s="91">
        <f>'Model (SC)'!V4</f>
        <v>3091.9387502525742</v>
      </c>
    </row>
    <row r="14" spans="1:24" s="64" customFormat="1" x14ac:dyDescent="0.25">
      <c r="A14" s="86"/>
      <c r="B14" s="64" t="s">
        <v>314</v>
      </c>
      <c r="C14" s="90">
        <f>'Model (SC)'!C13</f>
        <v>6397.3001938886364</v>
      </c>
      <c r="D14" s="91">
        <f>'Model (SC)'!D13</f>
        <v>7454.2224814028104</v>
      </c>
      <c r="E14" s="91">
        <f>'Model (SC)'!E13</f>
        <v>6781.0646191510732</v>
      </c>
      <c r="F14" s="91">
        <f>'Model (SC)'!F13</f>
        <v>7069.6106080620802</v>
      </c>
      <c r="G14" s="91">
        <f>'Model (SC)'!G13</f>
        <v>6711.8767136755614</v>
      </c>
      <c r="H14" s="91">
        <f>'Model (SC)'!H13</f>
        <v>6228.3296322877231</v>
      </c>
      <c r="I14" s="91">
        <f>'Model (SC)'!I13</f>
        <v>5754.8551474772676</v>
      </c>
      <c r="J14" s="91">
        <f>'Model (SC)'!J13</f>
        <v>5364.5580200390004</v>
      </c>
      <c r="K14" s="91">
        <f>'Model (SC)'!K13</f>
        <v>5072.1704862731012</v>
      </c>
      <c r="L14" s="140">
        <f>'Model (SC)'!L13</f>
        <v>4865.2353821274946</v>
      </c>
      <c r="M14" s="91">
        <f>'Model (SC)'!M13</f>
        <v>4723.9026595016039</v>
      </c>
      <c r="N14" s="92">
        <f>'Model (SC)'!N13</f>
        <v>4629.5861833289246</v>
      </c>
      <c r="O14" s="91">
        <f>'Model (SC)'!O13</f>
        <v>4567.6133626098108</v>
      </c>
      <c r="P14" s="91">
        <f>'Model (SC)'!P13</f>
        <v>4527.3212827836942</v>
      </c>
      <c r="Q14" s="91">
        <f>'Model (SC)'!Q13</f>
        <v>4501.3165736315395</v>
      </c>
      <c r="R14" s="91">
        <f>'Model (SC)'!R13</f>
        <v>4484.6191747799548</v>
      </c>
      <c r="S14" s="91">
        <f>'Model (SC)'!S13</f>
        <v>4473.9369291513131</v>
      </c>
      <c r="T14" s="91">
        <f>'Model (SC)'!T13</f>
        <v>4467.1206551931464</v>
      </c>
      <c r="U14" s="91">
        <f>'Model (SC)'!U13</f>
        <v>4462.7793402722427</v>
      </c>
      <c r="V14" s="91">
        <f>'Model (SC)'!V13</f>
        <v>4460.0180536091157</v>
      </c>
    </row>
    <row r="15" spans="1:24" s="64" customFormat="1" x14ac:dyDescent="0.25">
      <c r="A15" s="86"/>
      <c r="B15" s="64" t="s">
        <v>315</v>
      </c>
      <c r="C15" s="90">
        <f>'Model (SC)'!C38</f>
        <v>3982.8067030577031</v>
      </c>
      <c r="D15" s="91">
        <f>'Model (SC)'!D38</f>
        <v>6470.8714325568135</v>
      </c>
      <c r="E15" s="91">
        <f>'Model (SC)'!E38</f>
        <v>8074.2508051884597</v>
      </c>
      <c r="F15" s="91">
        <f>'Model (SC)'!F38</f>
        <v>11500.958679440217</v>
      </c>
      <c r="G15" s="91">
        <f>'Model (SC)'!G38</f>
        <v>8143.6687733220115</v>
      </c>
      <c r="H15" s="91">
        <f>'Model (SC)'!H38</f>
        <v>6720.1990820195369</v>
      </c>
      <c r="I15" s="91">
        <f>'Model (SC)'!I38</f>
        <v>5995.2728793697515</v>
      </c>
      <c r="J15" s="91">
        <f>'Model (SC)'!J38</f>
        <v>5460.8671966258871</v>
      </c>
      <c r="K15" s="91">
        <f>'Model (SC)'!K38</f>
        <v>5041.0605094016928</v>
      </c>
      <c r="L15" s="140">
        <f>'Model (SC)'!L38</f>
        <v>4728.6648196601836</v>
      </c>
      <c r="M15" s="91">
        <f>'Model (SC)'!M38</f>
        <v>4507.5353229543462</v>
      </c>
      <c r="N15" s="92">
        <f>'Model (SC)'!N38</f>
        <v>4356.281069896404</v>
      </c>
      <c r="O15" s="91">
        <f>'Model (SC)'!O38</f>
        <v>4255.1587549579945</v>
      </c>
      <c r="P15" s="91">
        <f>'Model (SC)'!P38</f>
        <v>4188.5904021972101</v>
      </c>
      <c r="Q15" s="91">
        <f>'Model (SC)'!Q38</f>
        <v>4145.2346955915073</v>
      </c>
      <c r="R15" s="91">
        <f>'Model (SC)'!R38</f>
        <v>4117.2086769590796</v>
      </c>
      <c r="S15" s="91">
        <f>'Model (SC)'!S38</f>
        <v>4099.1888068701683</v>
      </c>
      <c r="T15" s="91">
        <f>'Model (SC)'!T38</f>
        <v>4087.6471394192909</v>
      </c>
      <c r="U15" s="91">
        <f>'Model (SC)'!U38</f>
        <v>4080.275371747156</v>
      </c>
      <c r="V15" s="91">
        <f>'Model (SC)'!V38</f>
        <v>4075.576549945421</v>
      </c>
    </row>
    <row r="16" spans="1:24" s="116" customFormat="1" x14ac:dyDescent="0.25">
      <c r="A16" s="151"/>
      <c r="B16" s="152" t="s">
        <v>22</v>
      </c>
      <c r="C16" s="99">
        <f>SUM(C13:C15)</f>
        <v>19005.620647669657</v>
      </c>
      <c r="D16" s="100">
        <f t="shared" ref="D16:V16" si="1">SUM(D13:D15)</f>
        <v>19806.29342970506</v>
      </c>
      <c r="E16" s="100">
        <f t="shared" si="1"/>
        <v>19456.169298961133</v>
      </c>
      <c r="F16" s="100">
        <f t="shared" si="1"/>
        <v>23112.904213492351</v>
      </c>
      <c r="G16" s="100">
        <f t="shared" si="1"/>
        <v>19200.975679347914</v>
      </c>
      <c r="H16" s="100">
        <f t="shared" si="1"/>
        <v>17027.644117624681</v>
      </c>
      <c r="I16" s="100">
        <f t="shared" si="1"/>
        <v>15551.664745857035</v>
      </c>
      <c r="J16" s="100">
        <f t="shared" si="1"/>
        <v>14403.374276381528</v>
      </c>
      <c r="K16" s="100">
        <f t="shared" si="1"/>
        <v>13528.593187760249</v>
      </c>
      <c r="L16" s="142">
        <f>SUM(L13:L15)</f>
        <v>12897.070330330364</v>
      </c>
      <c r="M16" s="100">
        <f t="shared" si="1"/>
        <v>12459.4958269747</v>
      </c>
      <c r="N16" s="101">
        <f t="shared" si="1"/>
        <v>12164.565231126187</v>
      </c>
      <c r="O16" s="100">
        <f>SUM(O13:O15)</f>
        <v>11969.418099229955</v>
      </c>
      <c r="P16" s="100">
        <f t="shared" si="1"/>
        <v>11841.907160642422</v>
      </c>
      <c r="Q16" s="100">
        <f t="shared" si="1"/>
        <v>11759.311523887443</v>
      </c>
      <c r="R16" s="100">
        <f t="shared" si="1"/>
        <v>11706.13541419696</v>
      </c>
      <c r="S16" s="100">
        <f t="shared" si="1"/>
        <v>11672.047955388194</v>
      </c>
      <c r="T16" s="100">
        <f t="shared" si="1"/>
        <v>11650.264570964138</v>
      </c>
      <c r="U16" s="100">
        <f t="shared" si="1"/>
        <v>11636.375134300511</v>
      </c>
      <c r="V16" s="100">
        <f t="shared" si="1"/>
        <v>11627.53335380711</v>
      </c>
    </row>
    <row r="17" spans="1:24" s="88" customFormat="1" x14ac:dyDescent="0.25">
      <c r="A17" s="150" t="s">
        <v>25</v>
      </c>
      <c r="C17" s="147"/>
      <c r="D17" s="103"/>
      <c r="E17" s="103"/>
      <c r="F17" s="103"/>
      <c r="G17" s="103"/>
      <c r="H17" s="91"/>
      <c r="I17" s="124"/>
      <c r="J17" s="124"/>
      <c r="K17" s="124"/>
      <c r="L17" s="208"/>
      <c r="M17" s="124"/>
      <c r="N17" s="124"/>
      <c r="O17" s="124"/>
      <c r="P17" s="124"/>
      <c r="Q17" s="124"/>
      <c r="R17" s="124"/>
      <c r="S17" s="124"/>
      <c r="T17" s="124"/>
      <c r="U17" s="124"/>
      <c r="V17" s="124"/>
      <c r="W17" s="64"/>
      <c r="X17" s="64"/>
    </row>
    <row r="18" spans="1:24" s="64" customFormat="1" x14ac:dyDescent="0.25">
      <c r="A18" s="86"/>
      <c r="B18" s="64" t="s">
        <v>292</v>
      </c>
      <c r="C18" s="90"/>
      <c r="D18" s="91"/>
      <c r="E18" s="91"/>
      <c r="F18" s="91"/>
      <c r="G18" s="91"/>
      <c r="H18" s="91"/>
      <c r="I18" s="91"/>
      <c r="J18" s="91"/>
      <c r="K18" s="91"/>
      <c r="L18" s="140"/>
      <c r="M18" s="91"/>
      <c r="N18" s="91"/>
      <c r="O18" s="91"/>
      <c r="P18" s="91"/>
      <c r="Q18" s="91"/>
      <c r="R18" s="91"/>
      <c r="S18" s="91"/>
      <c r="T18" s="91"/>
      <c r="U18" s="91"/>
      <c r="V18" s="91"/>
    </row>
    <row r="19" spans="1:24" s="64" customFormat="1" x14ac:dyDescent="0.25">
      <c r="A19" s="86"/>
      <c r="B19" s="64" t="s">
        <v>141</v>
      </c>
      <c r="C19" s="90">
        <f>'Model (SC)'!C14</f>
        <v>499.08600271353481</v>
      </c>
      <c r="D19" s="91">
        <f>'Model (SC)'!D14</f>
        <v>2299.209312918696</v>
      </c>
      <c r="E19" s="91">
        <f>'Model (SC)'!E14</f>
        <v>4404.6622598193253</v>
      </c>
      <c r="F19" s="91">
        <f>'Model (SC)'!F14</f>
        <v>6462.0346163191389</v>
      </c>
      <c r="G19" s="91">
        <f>'Model (SC)'!G14</f>
        <v>8503.4940796788851</v>
      </c>
      <c r="H19" s="91">
        <f>'Model (SC)'!H14</f>
        <v>10428.014914081959</v>
      </c>
      <c r="I19" s="91">
        <f>'Model (SC)'!I14</f>
        <v>12198.303815214915</v>
      </c>
      <c r="J19" s="91">
        <f>'Model (SC)'!J14</f>
        <v>13805.453763251333</v>
      </c>
      <c r="K19" s="91">
        <f>'Model (SC)'!K14</f>
        <v>15259.913839575041</v>
      </c>
      <c r="L19" s="140">
        <f>'Model (SC)'!L14</f>
        <v>16693.223843708023</v>
      </c>
      <c r="M19" s="91">
        <f>'Model (SC)'!M14</f>
        <v>17978.535183536027</v>
      </c>
      <c r="N19" s="92">
        <f>'Model (SC)'!N14</f>
        <v>19154.897929417901</v>
      </c>
      <c r="O19" s="91">
        <f>'Model (SC)'!O14</f>
        <v>20248.503491143521</v>
      </c>
      <c r="P19" s="91">
        <f>'Model (SC)'!P14</f>
        <v>21277.810051605207</v>
      </c>
      <c r="Q19" s="91">
        <f>'Model (SC)'!Q14</f>
        <v>22256.105346976688</v>
      </c>
      <c r="R19" s="91">
        <f>'Model (SC)'!R14</f>
        <v>23193.020617802165</v>
      </c>
      <c r="S19" s="91">
        <f>'Model (SC)'!S14</f>
        <v>24095.545925151968</v>
      </c>
      <c r="T19" s="91">
        <f>'Model (SC)'!T14</f>
        <v>24968.757836584067</v>
      </c>
      <c r="U19" s="91">
        <f>'Model (SC)'!U14</f>
        <v>25816.353126912698</v>
      </c>
      <c r="V19" s="91">
        <f>'Model (SC)'!V14</f>
        <v>26641.040648236038</v>
      </c>
    </row>
    <row r="20" spans="1:24" s="64" customFormat="1" x14ac:dyDescent="0.25">
      <c r="A20" s="86"/>
      <c r="B20" s="64" t="s">
        <v>142</v>
      </c>
      <c r="C20" s="90">
        <f>'Model (SC)'!C15</f>
        <v>0</v>
      </c>
      <c r="D20" s="91">
        <f>'Model (SC)'!D15</f>
        <v>220.67967048466105</v>
      </c>
      <c r="E20" s="91">
        <f>'Model (SC)'!E15</f>
        <v>624.87739869154939</v>
      </c>
      <c r="F20" s="91">
        <f>'Model (SC)'!F15</f>
        <v>1189.5791726580394</v>
      </c>
      <c r="G20" s="91">
        <f>'Model (SC)'!G15</f>
        <v>1815.3855211759815</v>
      </c>
      <c r="H20" s="91">
        <f>'Model (SC)'!H15</f>
        <v>2473.3180098342605</v>
      </c>
      <c r="I20" s="91">
        <f>'Model (SC)'!I15</f>
        <v>3134.9878761240998</v>
      </c>
      <c r="J20" s="91">
        <f>'Model (SC)'!J15</f>
        <v>3784.3807057842246</v>
      </c>
      <c r="K20" s="91">
        <f>'Model (SC)'!K15</f>
        <v>4413.7442422773511</v>
      </c>
      <c r="L20" s="140">
        <f>'Model (SC)'!L15</f>
        <v>5095.7766578989049</v>
      </c>
      <c r="M20" s="91">
        <f>'Model (SC)'!M15</f>
        <v>5728.3090411959238</v>
      </c>
      <c r="N20" s="92">
        <f>'Model (SC)'!N15</f>
        <v>6330.9042602031959</v>
      </c>
      <c r="O20" s="91">
        <f>'Model (SC)'!O15</f>
        <v>6914.3487287038961</v>
      </c>
      <c r="P20" s="91">
        <f>'Model (SC)'!P15</f>
        <v>7485.3393941523045</v>
      </c>
      <c r="Q20" s="91">
        <f>'Model (SC)'!Q15</f>
        <v>8048.3559855658577</v>
      </c>
      <c r="R20" s="91">
        <f>'Model (SC)'!R15</f>
        <v>8606.4924485245901</v>
      </c>
      <c r="S20" s="91">
        <f>'Model (SC)'!S15</f>
        <v>9161.8923015208329</v>
      </c>
      <c r="T20" s="91">
        <f>'Model (SC)'!T15</f>
        <v>9716.0185529755199</v>
      </c>
      <c r="U20" s="91">
        <f>'Model (SC)'!U15</f>
        <v>10269.841223839057</v>
      </c>
      <c r="V20" s="91">
        <f>'Model (SC)'!V15</f>
        <v>10823.974530334608</v>
      </c>
    </row>
    <row r="21" spans="1:24" s="64" customFormat="1" x14ac:dyDescent="0.25">
      <c r="A21" s="86"/>
      <c r="B21" s="63" t="s">
        <v>293</v>
      </c>
      <c r="C21" s="90">
        <f>SUM(C19:C20)</f>
        <v>499.08600271353481</v>
      </c>
      <c r="D21" s="91">
        <f t="shared" ref="D21:V21" si="2">SUM(D19:D20)</f>
        <v>2519.8889834033571</v>
      </c>
      <c r="E21" s="91">
        <f t="shared" si="2"/>
        <v>5029.5396585108747</v>
      </c>
      <c r="F21" s="91">
        <f t="shared" si="2"/>
        <v>7651.613788977178</v>
      </c>
      <c r="G21" s="91">
        <f t="shared" si="2"/>
        <v>10318.879600854867</v>
      </c>
      <c r="H21" s="91">
        <f t="shared" si="2"/>
        <v>12901.332923916219</v>
      </c>
      <c r="I21" s="91">
        <f t="shared" si="2"/>
        <v>15333.291691339015</v>
      </c>
      <c r="J21" s="91">
        <f t="shared" si="2"/>
        <v>17589.834469035559</v>
      </c>
      <c r="K21" s="91">
        <f t="shared" si="2"/>
        <v>19673.658081852394</v>
      </c>
      <c r="L21" s="140">
        <f t="shared" si="2"/>
        <v>21789.000501606926</v>
      </c>
      <c r="M21" s="91">
        <f t="shared" si="2"/>
        <v>23706.844224731951</v>
      </c>
      <c r="N21" s="92">
        <f t="shared" si="2"/>
        <v>25485.802189621096</v>
      </c>
      <c r="O21" s="91">
        <f t="shared" si="2"/>
        <v>27162.852219847417</v>
      </c>
      <c r="P21" s="91">
        <f t="shared" si="2"/>
        <v>28763.14944575751</v>
      </c>
      <c r="Q21" s="91">
        <f t="shared" si="2"/>
        <v>30304.461332542545</v>
      </c>
      <c r="R21" s="91">
        <f t="shared" si="2"/>
        <v>31799.513066326756</v>
      </c>
      <c r="S21" s="91">
        <f t="shared" si="2"/>
        <v>33257.438226672799</v>
      </c>
      <c r="T21" s="91">
        <f t="shared" si="2"/>
        <v>34684.776389559585</v>
      </c>
      <c r="U21" s="91">
        <f t="shared" si="2"/>
        <v>36086.194350751757</v>
      </c>
      <c r="V21" s="91">
        <f t="shared" si="2"/>
        <v>37465.015178570648</v>
      </c>
    </row>
    <row r="22" spans="1:24" s="64" customFormat="1" x14ac:dyDescent="0.25">
      <c r="A22" s="86"/>
      <c r="B22" s="64" t="s">
        <v>294</v>
      </c>
      <c r="C22" s="90"/>
      <c r="D22" s="91"/>
      <c r="E22" s="91"/>
      <c r="F22" s="91"/>
      <c r="G22" s="91"/>
      <c r="H22" s="209"/>
      <c r="I22" s="91"/>
      <c r="J22" s="91"/>
      <c r="K22" s="91"/>
      <c r="L22" s="140"/>
      <c r="M22" s="91"/>
      <c r="N22" s="92"/>
      <c r="O22" s="91"/>
      <c r="P22" s="91"/>
      <c r="Q22" s="91"/>
      <c r="R22" s="91"/>
      <c r="S22" s="91"/>
      <c r="T22" s="91"/>
      <c r="U22" s="91"/>
      <c r="V22" s="91"/>
    </row>
    <row r="23" spans="1:24" s="64" customFormat="1" x14ac:dyDescent="0.25">
      <c r="A23" s="86"/>
      <c r="B23" s="64" t="s">
        <v>141</v>
      </c>
      <c r="C23" s="90">
        <f>'Model (SC)'!C39+'Model (SC)'!C40</f>
        <v>2500.913997286465</v>
      </c>
      <c r="D23" s="91">
        <f>'Model (SC)'!D39+'Model (SC)'!D40</f>
        <v>5141.8936601885216</v>
      </c>
      <c r="E23" s="91">
        <f>'Model (SC)'!E39+'Model (SC)'!E40</f>
        <v>6935.1194489196296</v>
      </c>
      <c r="F23" s="91">
        <f>'Model (SC)'!F39+'Model (SC)'!F40</f>
        <v>10818.035726907423</v>
      </c>
      <c r="G23" s="91">
        <f>'Model (SC)'!G39+'Model (SC)'!G40</f>
        <v>15677.212641481012</v>
      </c>
      <c r="H23" s="91">
        <f>'Model (SC)'!H39+'Model (SC)'!H40</f>
        <v>18724.737808001493</v>
      </c>
      <c r="I23" s="91">
        <f>'Model (SC)'!I39+'Model (SC)'!I40</f>
        <v>21034.24180430784</v>
      </c>
      <c r="J23" s="91">
        <f>'Model (SC)'!J39+'Model (SC)'!J40</f>
        <v>22877.723147971174</v>
      </c>
      <c r="K23" s="91">
        <f>'Model (SC)'!K39+'Model (SC)'!K40</f>
        <v>24348.370277741695</v>
      </c>
      <c r="L23" s="140">
        <f>'Model (SC)'!L39+'Model (SC)'!L40</f>
        <v>25588.150122153384</v>
      </c>
      <c r="M23" s="91">
        <f>'Model (SC)'!M39+'Model (SC)'!M40</f>
        <v>26559.408207848304</v>
      </c>
      <c r="N23" s="92">
        <f>'Model (SC)'!N39+'Model (SC)'!N40</f>
        <v>27355.591460875963</v>
      </c>
      <c r="O23" s="91">
        <f>'Model (SC)'!O39+'Model (SC)'!O40</f>
        <v>28026.065134706587</v>
      </c>
      <c r="P23" s="91">
        <f>'Model (SC)'!P39+'Model (SC)'!P40</f>
        <v>28605.246437033064</v>
      </c>
      <c r="Q23" s="91">
        <f>'Model (SC)'!Q39+'Model (SC)'!Q40</f>
        <v>29116.712465839832</v>
      </c>
      <c r="R23" s="91">
        <f>'Model (SC)'!R39+'Model (SC)'!R40</f>
        <v>29576.601741357368</v>
      </c>
      <c r="S23" s="91">
        <f>'Model (SC)'!S39+'Model (SC)'!S40</f>
        <v>29995.993313303647</v>
      </c>
      <c r="T23" s="91">
        <f>'Model (SC)'!T39+'Model (SC)'!T40</f>
        <v>30382.555372648512</v>
      </c>
      <c r="U23" s="91">
        <f>'Model (SC)'!U39+'Model (SC)'!U40</f>
        <v>30741.670432426821</v>
      </c>
      <c r="V23" s="91">
        <f>'Model (SC)'!V39+'Model (SC)'!V40</f>
        <v>31077.193834160727</v>
      </c>
    </row>
    <row r="24" spans="1:24" s="64" customFormat="1" x14ac:dyDescent="0.25">
      <c r="A24" s="86"/>
      <c r="B24" s="64" t="s">
        <v>142</v>
      </c>
      <c r="C24" s="90">
        <f>'Model (SC)'!C41</f>
        <v>0</v>
      </c>
      <c r="D24" s="91">
        <f>'Model (SC)'!D41</f>
        <v>47.753212063060928</v>
      </c>
      <c r="E24" s="91">
        <f>'Model (SC)'!E41</f>
        <v>241.06460795415808</v>
      </c>
      <c r="F24" s="91">
        <f>'Model (SC)'!F41</f>
        <v>591.92359014245085</v>
      </c>
      <c r="G24" s="91">
        <f>'Model (SC)'!G41</f>
        <v>1042.7108028531093</v>
      </c>
      <c r="H24" s="91">
        <f>'Model (SC)'!H41</f>
        <v>1635.0712853489022</v>
      </c>
      <c r="I24" s="91">
        <f>'Model (SC)'!I41</f>
        <v>2297.613127810238</v>
      </c>
      <c r="J24" s="91">
        <f>'Model (SC)'!J41</f>
        <v>2960.9625607337603</v>
      </c>
      <c r="K24" s="91">
        <f>'Model (SC)'!K41</f>
        <v>3602.5556287286945</v>
      </c>
      <c r="L24" s="140">
        <f>'Model (SC)'!L41</f>
        <v>4296.915727131066</v>
      </c>
      <c r="M24" s="91">
        <f>'Model (SC)'!M41</f>
        <v>4905.0060658206876</v>
      </c>
      <c r="N24" s="92">
        <f>'Model (SC)'!N41</f>
        <v>5455.2154841913461</v>
      </c>
      <c r="O24" s="91">
        <f>'Model (SC)'!O41</f>
        <v>5956.9721624042222</v>
      </c>
      <c r="P24" s="91">
        <f>'Model (SC)'!P41</f>
        <v>6416.4857821819969</v>
      </c>
      <c r="Q24" s="91">
        <f>'Model (SC)'!Q41</f>
        <v>6838.529278159589</v>
      </c>
      <c r="R24" s="91">
        <f>'Model (SC)'!R41</f>
        <v>7227.1230228576605</v>
      </c>
      <c r="S24" s="91">
        <f>'Model (SC)'!S41</f>
        <v>7585.7569072442584</v>
      </c>
      <c r="T24" s="91">
        <f>'Model (SC)'!T41</f>
        <v>7917.4799688708954</v>
      </c>
      <c r="U24" s="91">
        <f>'Model (SC)'!U41</f>
        <v>8224.9569236597363</v>
      </c>
      <c r="V24" s="91">
        <f>'Model (SC)'!V41</f>
        <v>8510.5175128929313</v>
      </c>
    </row>
    <row r="25" spans="1:24" s="64" customFormat="1" x14ac:dyDescent="0.25">
      <c r="A25" s="86"/>
      <c r="B25" s="64" t="s">
        <v>293</v>
      </c>
      <c r="C25" s="90">
        <f>SUM(C23:C24)</f>
        <v>2500.913997286465</v>
      </c>
      <c r="D25" s="91">
        <f t="shared" ref="D25:V25" si="3">SUM(D23:D24)</f>
        <v>5189.6468722515829</v>
      </c>
      <c r="E25" s="91">
        <f t="shared" si="3"/>
        <v>7176.184056873788</v>
      </c>
      <c r="F25" s="91">
        <f t="shared" si="3"/>
        <v>11409.959317049874</v>
      </c>
      <c r="G25" s="91">
        <f t="shared" si="3"/>
        <v>16719.923444334119</v>
      </c>
      <c r="H25" s="91">
        <f t="shared" si="3"/>
        <v>20359.809093350395</v>
      </c>
      <c r="I25" s="91">
        <f t="shared" si="3"/>
        <v>23331.854932118076</v>
      </c>
      <c r="J25" s="91">
        <f t="shared" si="3"/>
        <v>25838.685708704936</v>
      </c>
      <c r="K25" s="91">
        <f t="shared" si="3"/>
        <v>27950.925906470387</v>
      </c>
      <c r="L25" s="140">
        <f t="shared" si="3"/>
        <v>29885.065849284449</v>
      </c>
      <c r="M25" s="91">
        <f t="shared" si="3"/>
        <v>31464.41427366899</v>
      </c>
      <c r="N25" s="92">
        <f t="shared" si="3"/>
        <v>32810.806945067307</v>
      </c>
      <c r="O25" s="91">
        <f t="shared" si="3"/>
        <v>33983.037297110808</v>
      </c>
      <c r="P25" s="91">
        <f t="shared" si="3"/>
        <v>35021.73221921506</v>
      </c>
      <c r="Q25" s="91">
        <f t="shared" si="3"/>
        <v>35955.241743999417</v>
      </c>
      <c r="R25" s="91">
        <f t="shared" si="3"/>
        <v>36803.724764215032</v>
      </c>
      <c r="S25" s="91">
        <f t="shared" si="3"/>
        <v>37581.750220547903</v>
      </c>
      <c r="T25" s="91">
        <f t="shared" si="3"/>
        <v>38300.035341519411</v>
      </c>
      <c r="U25" s="91">
        <f t="shared" si="3"/>
        <v>38966.627356086559</v>
      </c>
      <c r="V25" s="91">
        <f t="shared" si="3"/>
        <v>39587.711347053657</v>
      </c>
    </row>
    <row r="26" spans="1:24" s="64" customFormat="1" x14ac:dyDescent="0.25">
      <c r="A26" s="86"/>
      <c r="B26" s="63" t="s">
        <v>295</v>
      </c>
      <c r="C26" s="90">
        <f>C19+C23</f>
        <v>3000</v>
      </c>
      <c r="D26" s="91">
        <f t="shared" ref="D26:V27" si="4">D19+D23</f>
        <v>7441.1029731072176</v>
      </c>
      <c r="E26" s="91">
        <f t="shared" si="4"/>
        <v>11339.781708738956</v>
      </c>
      <c r="F26" s="91">
        <f t="shared" si="4"/>
        <v>17280.070343226562</v>
      </c>
      <c r="G26" s="91">
        <f t="shared" si="4"/>
        <v>24180.706721159899</v>
      </c>
      <c r="H26" s="91">
        <f t="shared" si="4"/>
        <v>29152.752722083453</v>
      </c>
      <c r="I26" s="91">
        <f t="shared" si="4"/>
        <v>33232.545619522753</v>
      </c>
      <c r="J26" s="91">
        <f t="shared" si="4"/>
        <v>36683.176911222508</v>
      </c>
      <c r="K26" s="91">
        <f t="shared" si="4"/>
        <v>39608.28411731674</v>
      </c>
      <c r="L26" s="140">
        <f t="shared" si="4"/>
        <v>42281.373965861407</v>
      </c>
      <c r="M26" s="91">
        <f t="shared" si="4"/>
        <v>44537.943391384331</v>
      </c>
      <c r="N26" s="92">
        <f t="shared" si="4"/>
        <v>46510.489390293864</v>
      </c>
      <c r="O26" s="91">
        <f t="shared" si="4"/>
        <v>48274.568625850108</v>
      </c>
      <c r="P26" s="91">
        <f t="shared" si="4"/>
        <v>49883.056488638271</v>
      </c>
      <c r="Q26" s="91">
        <f t="shared" si="4"/>
        <v>51372.817812816516</v>
      </c>
      <c r="R26" s="91">
        <f t="shared" si="4"/>
        <v>52769.622359159534</v>
      </c>
      <c r="S26" s="91">
        <f t="shared" si="4"/>
        <v>54091.539238455618</v>
      </c>
      <c r="T26" s="91">
        <f t="shared" si="4"/>
        <v>55351.313209232583</v>
      </c>
      <c r="U26" s="91">
        <f t="shared" si="4"/>
        <v>56558.023559339519</v>
      </c>
      <c r="V26" s="91">
        <f t="shared" si="4"/>
        <v>57718.234482396765</v>
      </c>
    </row>
    <row r="27" spans="1:24" s="64" customFormat="1" x14ac:dyDescent="0.25">
      <c r="A27" s="86"/>
      <c r="B27" s="63" t="s">
        <v>296</v>
      </c>
      <c r="C27" s="90">
        <f>C20+C24</f>
        <v>0</v>
      </c>
      <c r="D27" s="91">
        <f t="shared" si="4"/>
        <v>268.43288254772199</v>
      </c>
      <c r="E27" s="91">
        <f t="shared" si="4"/>
        <v>865.94200664570747</v>
      </c>
      <c r="F27" s="91">
        <f t="shared" si="4"/>
        <v>1781.5027628004902</v>
      </c>
      <c r="G27" s="91">
        <f t="shared" si="4"/>
        <v>2858.0963240290907</v>
      </c>
      <c r="H27" s="91">
        <f t="shared" si="4"/>
        <v>4108.3892951831622</v>
      </c>
      <c r="I27" s="91">
        <f t="shared" si="4"/>
        <v>5432.6010039343382</v>
      </c>
      <c r="J27" s="91">
        <f t="shared" si="4"/>
        <v>6745.3432665179844</v>
      </c>
      <c r="K27" s="91">
        <f t="shared" si="4"/>
        <v>8016.2998710060456</v>
      </c>
      <c r="L27" s="140">
        <f t="shared" si="4"/>
        <v>9392.6923850299718</v>
      </c>
      <c r="M27" s="91">
        <f t="shared" si="4"/>
        <v>10633.315107016611</v>
      </c>
      <c r="N27" s="92">
        <f t="shared" si="4"/>
        <v>11786.119744394542</v>
      </c>
      <c r="O27" s="91">
        <f t="shared" si="4"/>
        <v>12871.320891108118</v>
      </c>
      <c r="P27" s="91">
        <f t="shared" si="4"/>
        <v>13901.825176334301</v>
      </c>
      <c r="Q27" s="91">
        <f t="shared" si="4"/>
        <v>14886.885263725446</v>
      </c>
      <c r="R27" s="91">
        <f t="shared" si="4"/>
        <v>15833.615471382251</v>
      </c>
      <c r="S27" s="91">
        <f t="shared" si="4"/>
        <v>16747.649208765091</v>
      </c>
      <c r="T27" s="91">
        <f t="shared" si="4"/>
        <v>17633.498521846413</v>
      </c>
      <c r="U27" s="91">
        <f t="shared" si="4"/>
        <v>18494.798147498794</v>
      </c>
      <c r="V27" s="91">
        <f t="shared" si="4"/>
        <v>19334.492043227539</v>
      </c>
    </row>
    <row r="28" spans="1:24" s="116" customFormat="1" x14ac:dyDescent="0.25">
      <c r="A28" s="151"/>
      <c r="B28" s="116" t="s">
        <v>87</v>
      </c>
      <c r="C28" s="99">
        <f>SUM(C26:C27)</f>
        <v>3000</v>
      </c>
      <c r="D28" s="100">
        <f t="shared" ref="D28:V28" si="5">SUM(D26:D27)</f>
        <v>7709.53585565494</v>
      </c>
      <c r="E28" s="100">
        <f t="shared" si="5"/>
        <v>12205.723715384664</v>
      </c>
      <c r="F28" s="100">
        <f t="shared" si="5"/>
        <v>19061.573106027052</v>
      </c>
      <c r="G28" s="100">
        <f t="shared" si="5"/>
        <v>27038.80304518899</v>
      </c>
      <c r="H28" s="100">
        <f t="shared" si="5"/>
        <v>33261.142017266611</v>
      </c>
      <c r="I28" s="100">
        <f t="shared" si="5"/>
        <v>38665.146623457091</v>
      </c>
      <c r="J28" s="100">
        <f t="shared" si="5"/>
        <v>43428.520177740495</v>
      </c>
      <c r="K28" s="100">
        <f t="shared" si="5"/>
        <v>47624.583988322789</v>
      </c>
      <c r="L28" s="142">
        <f t="shared" si="5"/>
        <v>51674.066350891379</v>
      </c>
      <c r="M28" s="100">
        <f t="shared" si="5"/>
        <v>55171.258498400945</v>
      </c>
      <c r="N28" s="101">
        <f t="shared" si="5"/>
        <v>58296.609134688406</v>
      </c>
      <c r="O28" s="100">
        <f t="shared" si="5"/>
        <v>61145.889516958225</v>
      </c>
      <c r="P28" s="100">
        <f t="shared" si="5"/>
        <v>63784.88166497257</v>
      </c>
      <c r="Q28" s="100">
        <f t="shared" si="5"/>
        <v>66259.703076541962</v>
      </c>
      <c r="R28" s="100">
        <f t="shared" si="5"/>
        <v>68603.237830541781</v>
      </c>
      <c r="S28" s="100">
        <f t="shared" si="5"/>
        <v>70839.188447220717</v>
      </c>
      <c r="T28" s="100">
        <f t="shared" si="5"/>
        <v>72984.811731078997</v>
      </c>
      <c r="U28" s="100">
        <f t="shared" si="5"/>
        <v>75052.821706838309</v>
      </c>
      <c r="V28" s="100">
        <f t="shared" si="5"/>
        <v>77052.726525624312</v>
      </c>
    </row>
    <row r="29" spans="1:24" s="64" customFormat="1" x14ac:dyDescent="0.25">
      <c r="A29" s="86" t="s">
        <v>297</v>
      </c>
      <c r="C29" s="90"/>
      <c r="D29" s="91"/>
      <c r="E29" s="91"/>
      <c r="F29" s="91"/>
      <c r="G29" s="91"/>
      <c r="H29" s="91"/>
      <c r="I29" s="91"/>
      <c r="J29" s="91"/>
      <c r="K29" s="91"/>
      <c r="L29" s="140"/>
      <c r="M29" s="91"/>
      <c r="N29" s="92"/>
      <c r="O29" s="91"/>
      <c r="P29" s="91"/>
      <c r="Q29" s="91"/>
      <c r="R29" s="91"/>
      <c r="S29" s="91"/>
      <c r="T29" s="91"/>
      <c r="U29" s="91"/>
      <c r="V29" s="91"/>
    </row>
    <row r="30" spans="1:24" s="64" customFormat="1" x14ac:dyDescent="0.25">
      <c r="A30" s="86"/>
      <c r="B30" s="63" t="s">
        <v>313</v>
      </c>
      <c r="C30" s="90">
        <f>'Model (SC)'!C5</f>
        <v>3817.4396838476564</v>
      </c>
      <c r="D30" s="91">
        <f>'Model (SC)'!D5</f>
        <v>5168.124862056472</v>
      </c>
      <c r="E30" s="91">
        <f>'Model (SC)'!E5</f>
        <v>5218.4649705873035</v>
      </c>
      <c r="F30" s="91">
        <f>'Model (SC)'!F5</f>
        <v>4858.916368725454</v>
      </c>
      <c r="G30" s="91">
        <f>'Model (SC)'!G5</f>
        <v>4603.4398464294745</v>
      </c>
      <c r="H30" s="91">
        <f>'Model (SC)'!H5</f>
        <v>4374.2587873480752</v>
      </c>
      <c r="I30" s="91">
        <f>'Model (SC)'!I5</f>
        <v>4141.1542254728547</v>
      </c>
      <c r="J30" s="91">
        <f>'Model (SC)'!J5</f>
        <v>3902.0020287967718</v>
      </c>
      <c r="K30" s="91">
        <f>'Model (SC)'!K5</f>
        <v>3675.4188670674394</v>
      </c>
      <c r="L30" s="140">
        <f>'Model (SC)'!L5</f>
        <v>3438.7320236770211</v>
      </c>
      <c r="M30" s="91">
        <f>'Model (SC)'!M5</f>
        <v>3250.3436939997864</v>
      </c>
      <c r="N30" s="92">
        <f>'Model (SC)'!N5</f>
        <v>3104.750172061978</v>
      </c>
      <c r="O30" s="91">
        <f>'Model (SC)'!O5</f>
        <v>2994.8960333115738</v>
      </c>
      <c r="P30" s="91">
        <f>'Model (SC)'!P5</f>
        <v>2913.6008711857048</v>
      </c>
      <c r="Q30" s="91">
        <f>'Model (SC)'!Q5</f>
        <v>2854.381674136042</v>
      </c>
      <c r="R30" s="91">
        <f>'Model (SC)'!R5</f>
        <v>2811.7981971456943</v>
      </c>
      <c r="S30" s="91">
        <f>'Model (SC)'!S5</f>
        <v>2781.5037622259633</v>
      </c>
      <c r="T30" s="91">
        <f>'Model (SC)'!T5</f>
        <v>2760.1445812678439</v>
      </c>
      <c r="U30" s="91">
        <f>'Model (SC)'!U5</f>
        <v>2745.1992047837603</v>
      </c>
      <c r="V30" s="91">
        <f>'Model (SC)'!V5</f>
        <v>2734.8093186548981</v>
      </c>
    </row>
    <row r="31" spans="1:24" s="64" customFormat="1" x14ac:dyDescent="0.25">
      <c r="A31" s="86"/>
      <c r="B31" s="63" t="s">
        <v>314</v>
      </c>
      <c r="C31" s="90"/>
      <c r="D31" s="91"/>
      <c r="E31" s="91"/>
      <c r="F31" s="91"/>
      <c r="G31" s="91"/>
      <c r="H31" s="91"/>
      <c r="I31" s="91"/>
      <c r="J31" s="91"/>
      <c r="K31" s="91"/>
      <c r="L31" s="140"/>
      <c r="M31" s="91"/>
      <c r="N31" s="92"/>
      <c r="O31" s="91"/>
      <c r="P31" s="91"/>
      <c r="Q31" s="91"/>
      <c r="R31" s="91"/>
      <c r="S31" s="91"/>
      <c r="T31" s="91"/>
      <c r="U31" s="91"/>
      <c r="V31" s="91"/>
    </row>
    <row r="32" spans="1:24" s="64" customFormat="1" x14ac:dyDescent="0.25">
      <c r="A32" s="86"/>
      <c r="B32" s="63" t="s">
        <v>298</v>
      </c>
      <c r="C32" s="90">
        <f>'Model (SC)'!C21</f>
        <v>1428.0954159393805</v>
      </c>
      <c r="D32" s="91">
        <f>'Model (SC)'!D21</f>
        <v>2557.6519129155599</v>
      </c>
      <c r="E32" s="91">
        <f>'Model (SC)'!E21</f>
        <v>3516.3534134526676</v>
      </c>
      <c r="F32" s="91">
        <f>'Model (SC)'!F21</f>
        <v>3824.2789354652173</v>
      </c>
      <c r="G32" s="91">
        <f>'Model (SC)'!G21</f>
        <v>3940.1538690495922</v>
      </c>
      <c r="H32" s="91">
        <f>'Model (SC)'!H21</f>
        <v>3874.6231346017307</v>
      </c>
      <c r="I32" s="91">
        <f>'Model (SC)'!I21</f>
        <v>3711.7852614481217</v>
      </c>
      <c r="J32" s="91">
        <f>'Model (SC)'!J21</f>
        <v>3507.2997515414545</v>
      </c>
      <c r="K32" s="91">
        <f>'Model (SC)'!K21</f>
        <v>3298.5079996850695</v>
      </c>
      <c r="L32" s="140">
        <f>'Model (SC)'!L21</f>
        <v>2974.9486397784322</v>
      </c>
      <c r="M32" s="91">
        <f>'Model (SC)'!M21</f>
        <v>2760.9314202424507</v>
      </c>
      <c r="N32" s="92">
        <f>'Model (SC)'!N21</f>
        <v>2612.1907068112869</v>
      </c>
      <c r="O32" s="91">
        <f>'Model (SC)'!O21</f>
        <v>2506.5971967795417</v>
      </c>
      <c r="P32" s="91">
        <f>'Model (SC)'!P21</f>
        <v>2431.2451887013231</v>
      </c>
      <c r="Q32" s="91">
        <f>'Model (SC)'!Q21</f>
        <v>2377.610675102153</v>
      </c>
      <c r="R32" s="91">
        <f>'Model (SC)'!R21</f>
        <v>2339.6515941915836</v>
      </c>
      <c r="S32" s="91">
        <f>'Model (SC)'!S21</f>
        <v>2312.9637320276697</v>
      </c>
      <c r="T32" s="91">
        <f>'Model (SC)'!T21</f>
        <v>2294.3221870252428</v>
      </c>
      <c r="U32" s="91">
        <f>'Model (SC)'!U21</f>
        <v>2281.3790943882327</v>
      </c>
      <c r="V32" s="91">
        <f>'Model (SC)'!V21</f>
        <v>2272.4408554179477</v>
      </c>
    </row>
    <row r="33" spans="1:23" s="64" customFormat="1" x14ac:dyDescent="0.25">
      <c r="A33" s="86"/>
      <c r="B33" s="63" t="s">
        <v>299</v>
      </c>
      <c r="C33" s="90">
        <f>'Model (SC)'!C22</f>
        <v>0</v>
      </c>
      <c r="D33" s="91">
        <f>'Model (SC)'!D22</f>
        <v>7.1796142551032087</v>
      </c>
      <c r="E33" s="91">
        <f>'Model (SC)'!E22</f>
        <v>39.400544928700036</v>
      </c>
      <c r="F33" s="91">
        <f>'Model (SC)'!F22</f>
        <v>89.642646852443576</v>
      </c>
      <c r="G33" s="91">
        <f>'Model (SC)'!G22</f>
        <v>149.41022069478061</v>
      </c>
      <c r="H33" s="91">
        <f>'Model (SC)'!H22</f>
        <v>214.00794806395979</v>
      </c>
      <c r="I33" s="91">
        <f>'Model (SC)'!I22</f>
        <v>279.50521171079424</v>
      </c>
      <c r="J33" s="91">
        <f>'Model (SC)'!J22</f>
        <v>343.23227419099533</v>
      </c>
      <c r="K33" s="91">
        <f>'Model (SC)'!K22</f>
        <v>403.65907101669819</v>
      </c>
      <c r="L33" s="140">
        <f>'Model (SC)'!L22</f>
        <v>443.84513523272028</v>
      </c>
      <c r="M33" s="91">
        <f>'Model (SC)'!M22</f>
        <v>490.28671551616861</v>
      </c>
      <c r="N33" s="92">
        <f>'Model (SC)'!N22</f>
        <v>536.37954849051152</v>
      </c>
      <c r="O33" s="91">
        <f>'Model (SC)'!O22</f>
        <v>580.33548606663499</v>
      </c>
      <c r="P33" s="91">
        <f>'Model (SC)'!P22</f>
        <v>621.97402470146312</v>
      </c>
      <c r="Q33" s="91">
        <f>'Model (SC)'!Q22</f>
        <v>661.58511642069016</v>
      </c>
      <c r="R33" s="91">
        <f>'Model (SC)'!R22</f>
        <v>699.53988065933072</v>
      </c>
      <c r="S33" s="91">
        <f>'Model (SC)'!S22</f>
        <v>736.16924041974971</v>
      </c>
      <c r="T33" s="91">
        <f>'Model (SC)'!T22</f>
        <v>771.73643615797687</v>
      </c>
      <c r="U33" s="91">
        <f>'Model (SC)'!U22</f>
        <v>806.44042557857767</v>
      </c>
      <c r="V33" s="91">
        <f>'Model (SC)'!V22</f>
        <v>840.42761338636728</v>
      </c>
    </row>
    <row r="34" spans="1:23" s="64" customFormat="1" x14ac:dyDescent="0.25">
      <c r="A34" s="86"/>
      <c r="B34" s="63" t="s">
        <v>293</v>
      </c>
      <c r="C34" s="90">
        <f>'Model (SC)'!C23</f>
        <v>1428.0954159393805</v>
      </c>
      <c r="D34" s="91">
        <f>'Model (SC)'!D23</f>
        <v>2564.8315271706633</v>
      </c>
      <c r="E34" s="91">
        <f>'Model (SC)'!E23</f>
        <v>3555.7539583813677</v>
      </c>
      <c r="F34" s="91">
        <f>'Model (SC)'!F23</f>
        <v>3913.921582317661</v>
      </c>
      <c r="G34" s="91">
        <f>'Model (SC)'!G23</f>
        <v>4089.5640897443727</v>
      </c>
      <c r="H34" s="91">
        <f>'Model (SC)'!H23</f>
        <v>4088.6310826656904</v>
      </c>
      <c r="I34" s="91">
        <f>'Model (SC)'!I23</f>
        <v>3991.290473158916</v>
      </c>
      <c r="J34" s="91">
        <f>'Model (SC)'!J23</f>
        <v>3850.5320257324497</v>
      </c>
      <c r="K34" s="91">
        <f>'Model (SC)'!K23</f>
        <v>3702.1670707017679</v>
      </c>
      <c r="L34" s="140">
        <f>'Model (SC)'!L23</f>
        <v>3418.7937750111523</v>
      </c>
      <c r="M34" s="91">
        <f>'Model (SC)'!M23</f>
        <v>3251.2181357586192</v>
      </c>
      <c r="N34" s="92">
        <f>'Model (SC)'!N23</f>
        <v>3148.5702553017982</v>
      </c>
      <c r="O34" s="91">
        <f>'Model (SC)'!O23</f>
        <v>3086.9326828461767</v>
      </c>
      <c r="P34" s="91">
        <f>'Model (SC)'!P23</f>
        <v>3053.2192134027864</v>
      </c>
      <c r="Q34" s="91">
        <f>'Model (SC)'!Q23</f>
        <v>3039.1957915228431</v>
      </c>
      <c r="R34" s="91">
        <f>'Model (SC)'!R23</f>
        <v>3039.1914748509143</v>
      </c>
      <c r="S34" s="91">
        <f>'Model (SC)'!S23</f>
        <v>3049.1329724474194</v>
      </c>
      <c r="T34" s="91">
        <f>'Model (SC)'!T23</f>
        <v>3066.0586231832194</v>
      </c>
      <c r="U34" s="91">
        <f>'Model (SC)'!U23</f>
        <v>3087.8195199668103</v>
      </c>
      <c r="V34" s="91">
        <f>'Model (SC)'!V23</f>
        <v>3112.8684688043149</v>
      </c>
    </row>
    <row r="35" spans="1:23" s="64" customFormat="1" x14ac:dyDescent="0.25">
      <c r="A35" s="86"/>
      <c r="B35" s="63" t="s">
        <v>315</v>
      </c>
      <c r="C35" s="90"/>
      <c r="D35" s="91"/>
      <c r="E35" s="91"/>
      <c r="F35" s="91"/>
      <c r="G35" s="91"/>
      <c r="H35" s="91"/>
      <c r="I35" s="91"/>
      <c r="J35" s="91"/>
      <c r="K35" s="91"/>
      <c r="L35" s="140"/>
      <c r="M35" s="91"/>
      <c r="N35" s="92"/>
      <c r="O35" s="91"/>
      <c r="P35" s="91"/>
      <c r="Q35" s="91"/>
      <c r="R35" s="91"/>
      <c r="S35" s="91"/>
      <c r="T35" s="91"/>
      <c r="U35" s="91"/>
      <c r="V35" s="91"/>
    </row>
    <row r="36" spans="1:23" s="64" customFormat="1" x14ac:dyDescent="0.25">
      <c r="A36" s="86"/>
      <c r="B36" s="63" t="s">
        <v>298</v>
      </c>
      <c r="C36" s="90">
        <f>'Model (SC)'!C51</f>
        <v>248.84425254330867</v>
      </c>
      <c r="D36" s="91">
        <f>'Model (SC)'!D51</f>
        <v>631.19774130994074</v>
      </c>
      <c r="E36" s="91">
        <f>'Model (SC)'!E51</f>
        <v>1131.542089290743</v>
      </c>
      <c r="F36" s="91">
        <f>'Model (SC)'!F51</f>
        <v>1564.2521314715791</v>
      </c>
      <c r="G36" s="91">
        <f>'Model (SC)'!G51</f>
        <v>1933.1538566568918</v>
      </c>
      <c r="H36" s="91">
        <f>'Model (SC)'!H51</f>
        <v>1843.1847511073761</v>
      </c>
      <c r="I36" s="91">
        <f>'Model (SC)'!I51</f>
        <v>1724.3104504228641</v>
      </c>
      <c r="J36" s="91">
        <f>'Model (SC)'!J51</f>
        <v>1616.8860281319853</v>
      </c>
      <c r="K36" s="91">
        <f>'Model (SC)'!K51</f>
        <v>1513.1245837719625</v>
      </c>
      <c r="L36" s="140">
        <f>'Model (SC)'!L51</f>
        <v>1308.8795488812641</v>
      </c>
      <c r="M36" s="91">
        <f>'Model (SC)'!M51</f>
        <v>1183.0978322216761</v>
      </c>
      <c r="N36" s="92">
        <f>'Model (SC)'!N51</f>
        <v>1100.3990154853759</v>
      </c>
      <c r="O36" s="91">
        <f>'Model (SC)'!O51</f>
        <v>1043.7513070349214</v>
      </c>
      <c r="P36" s="91">
        <f>'Model (SC)'!P51</f>
        <v>1004.2031205309938</v>
      </c>
      <c r="Q36" s="91">
        <f>'Model (SC)'!Q51</f>
        <v>976.43733018700027</v>
      </c>
      <c r="R36" s="91">
        <f>'Model (SC)'!R51</f>
        <v>956.9665407668856</v>
      </c>
      <c r="S36" s="91">
        <f>'Model (SC)'!S51</f>
        <v>943.36881209509033</v>
      </c>
      <c r="T36" s="91">
        <f>'Model (SC)'!T51</f>
        <v>933.92100456953222</v>
      </c>
      <c r="U36" s="91">
        <f>'Model (SC)'!U51</f>
        <v>927.39044171980618</v>
      </c>
      <c r="V36" s="91">
        <f>'Model (SC)'!V51</f>
        <v>922.89815254106247</v>
      </c>
    </row>
    <row r="37" spans="1:23" s="64" customFormat="1" x14ac:dyDescent="0.25">
      <c r="A37" s="86"/>
      <c r="B37" s="63" t="s">
        <v>299</v>
      </c>
      <c r="C37" s="90">
        <f>'Model (SC)'!C52</f>
        <v>0</v>
      </c>
      <c r="D37" s="91">
        <f>'Model (SC)'!D52</f>
        <v>79.292230589934846</v>
      </c>
      <c r="E37" s="91">
        <f>'Model (SC)'!E52</f>
        <v>140.26992041683692</v>
      </c>
      <c r="F37" s="91">
        <f>'Model (SC)'!F52</f>
        <v>173.20845012615874</v>
      </c>
      <c r="G37" s="91">
        <f>'Model (SC)'!G52</f>
        <v>288.73801456430891</v>
      </c>
      <c r="H37" s="91">
        <f>'Model (SC)'!H52</f>
        <v>423.76980668403581</v>
      </c>
      <c r="I37" s="91">
        <f>'Model (SC)'!I52</f>
        <v>490.01577382686736</v>
      </c>
      <c r="J37" s="91">
        <f>'Model (SC)'!J52</f>
        <v>548.92512793684239</v>
      </c>
      <c r="K37" s="91">
        <f>'Model (SC)'!K52</f>
        <v>606.96491245320078</v>
      </c>
      <c r="L37" s="140">
        <f>'Model (SC)'!L52</f>
        <v>618.47346718483936</v>
      </c>
      <c r="M37" s="91">
        <f>'Model (SC)'!M52</f>
        <v>658.79774878951002</v>
      </c>
      <c r="N37" s="92">
        <f>'Model (SC)'!N52</f>
        <v>698.7277061250951</v>
      </c>
      <c r="O37" s="91">
        <f>'Model (SC)'!O52</f>
        <v>736.52320592534636</v>
      </c>
      <c r="P37" s="91">
        <f>'Model (SC)'!P52</f>
        <v>771.7614008081207</v>
      </c>
      <c r="Q37" s="91">
        <f>'Model (SC)'!Q52</f>
        <v>804.5765678551129</v>
      </c>
      <c r="R37" s="91">
        <f>'Model (SC)'!R52</f>
        <v>835.23108971138527</v>
      </c>
      <c r="S37" s="91">
        <f>'Model (SC)'!S52</f>
        <v>863.99055983874985</v>
      </c>
      <c r="T37" s="91">
        <f>'Model (SC)'!T52</f>
        <v>891.08890941302002</v>
      </c>
      <c r="U37" s="91">
        <f>'Model (SC)'!U52</f>
        <v>916.72289299210661</v>
      </c>
      <c r="V37" s="91">
        <f>'Model (SC)'!V52</f>
        <v>941.05559205943621</v>
      </c>
    </row>
    <row r="38" spans="1:23" s="64" customFormat="1" x14ac:dyDescent="0.25">
      <c r="A38" s="86"/>
      <c r="B38" s="63" t="s">
        <v>293</v>
      </c>
      <c r="C38" s="90">
        <f>'Model (SC)'!C53</f>
        <v>248.84425254330867</v>
      </c>
      <c r="D38" s="91">
        <f>'Model (SC)'!D53</f>
        <v>710.48997189987563</v>
      </c>
      <c r="E38" s="91">
        <f>'Model (SC)'!E53</f>
        <v>1271.8120097075798</v>
      </c>
      <c r="F38" s="91">
        <f>'Model (SC)'!F53</f>
        <v>1737.4605815977379</v>
      </c>
      <c r="G38" s="91">
        <f>'Model (SC)'!G53</f>
        <v>2221.8918712212007</v>
      </c>
      <c r="H38" s="91">
        <f>'Model (SC)'!H53</f>
        <v>2266.9545577914118</v>
      </c>
      <c r="I38" s="91">
        <f>'Model (SC)'!I53</f>
        <v>2214.3262242497312</v>
      </c>
      <c r="J38" s="91">
        <f>'Model (SC)'!J53</f>
        <v>2165.8111560688276</v>
      </c>
      <c r="K38" s="91">
        <f>'Model (SC)'!K53</f>
        <v>2120.0894962251632</v>
      </c>
      <c r="L38" s="140">
        <f>'Model (SC)'!L53</f>
        <v>1927.3530160661035</v>
      </c>
      <c r="M38" s="91">
        <f>'Model (SC)'!M53</f>
        <v>1841.8955810111861</v>
      </c>
      <c r="N38" s="92">
        <f>'Model (SC)'!N53</f>
        <v>1799.1267216104711</v>
      </c>
      <c r="O38" s="91">
        <f>'Model (SC)'!O53</f>
        <v>1780.2745129602677</v>
      </c>
      <c r="P38" s="91">
        <f>'Model (SC)'!P53</f>
        <v>1775.9645213391145</v>
      </c>
      <c r="Q38" s="91">
        <f>'Model (SC)'!Q53</f>
        <v>1781.0138980421132</v>
      </c>
      <c r="R38" s="91">
        <f>'Model (SC)'!R53</f>
        <v>1792.1976304782709</v>
      </c>
      <c r="S38" s="91">
        <f>'Model (SC)'!S53</f>
        <v>1807.3593719338401</v>
      </c>
      <c r="T38" s="91">
        <f>'Model (SC)'!T53</f>
        <v>1825.0099139825522</v>
      </c>
      <c r="U38" s="91">
        <f>'Model (SC)'!U53</f>
        <v>1844.1133347119128</v>
      </c>
      <c r="V38" s="91">
        <f>'Model (SC)'!V53</f>
        <v>1863.9537446004988</v>
      </c>
    </row>
    <row r="39" spans="1:23" s="64" customFormat="1" x14ac:dyDescent="0.25">
      <c r="A39" s="86"/>
      <c r="B39" s="63" t="s">
        <v>300</v>
      </c>
      <c r="C39" s="90">
        <f>C30+C32+C36</f>
        <v>5494.3793523303457</v>
      </c>
      <c r="D39" s="91">
        <f t="shared" ref="D39:V39" si="6">D30+D32+D36</f>
        <v>8356.9745162819727</v>
      </c>
      <c r="E39" s="91">
        <f t="shared" si="6"/>
        <v>9866.3604733307129</v>
      </c>
      <c r="F39" s="91">
        <f t="shared" si="6"/>
        <v>10247.44743566225</v>
      </c>
      <c r="G39" s="91">
        <f t="shared" si="6"/>
        <v>10476.747572135959</v>
      </c>
      <c r="H39" s="91">
        <f t="shared" si="6"/>
        <v>10092.066673057181</v>
      </c>
      <c r="I39" s="91">
        <f t="shared" si="6"/>
        <v>9577.2499373438404</v>
      </c>
      <c r="J39" s="91">
        <f t="shared" si="6"/>
        <v>9026.1878084702112</v>
      </c>
      <c r="K39" s="91">
        <f t="shared" si="6"/>
        <v>8487.0514505244719</v>
      </c>
      <c r="L39" s="140">
        <f t="shared" si="6"/>
        <v>7722.5602123367171</v>
      </c>
      <c r="M39" s="91">
        <f t="shared" si="6"/>
        <v>7194.3729464639127</v>
      </c>
      <c r="N39" s="92">
        <f t="shared" si="6"/>
        <v>6817.3398943586417</v>
      </c>
      <c r="O39" s="91">
        <f t="shared" si="6"/>
        <v>6545.2445371260364</v>
      </c>
      <c r="P39" s="91">
        <f t="shared" si="6"/>
        <v>6349.0491804180219</v>
      </c>
      <c r="Q39" s="91">
        <f t="shared" si="6"/>
        <v>6208.429679425195</v>
      </c>
      <c r="R39" s="91">
        <f t="shared" si="6"/>
        <v>6108.4163321041633</v>
      </c>
      <c r="S39" s="91">
        <f t="shared" si="6"/>
        <v>6037.8363063487232</v>
      </c>
      <c r="T39" s="91">
        <f t="shared" si="6"/>
        <v>5988.3877728626194</v>
      </c>
      <c r="U39" s="91">
        <f t="shared" si="6"/>
        <v>5953.9687408917998</v>
      </c>
      <c r="V39" s="91">
        <f t="shared" si="6"/>
        <v>5930.1483266139085</v>
      </c>
    </row>
    <row r="40" spans="1:23" s="64" customFormat="1" x14ac:dyDescent="0.25">
      <c r="A40" s="86"/>
      <c r="B40" s="63" t="s">
        <v>301</v>
      </c>
      <c r="C40" s="90">
        <f>C33+C37</f>
        <v>0</v>
      </c>
      <c r="D40" s="91">
        <f t="shared" ref="D40:V40" si="7">D33+D37</f>
        <v>86.471844845038049</v>
      </c>
      <c r="E40" s="91">
        <f t="shared" si="7"/>
        <v>179.67046534553697</v>
      </c>
      <c r="F40" s="91">
        <f t="shared" si="7"/>
        <v>262.8510969786023</v>
      </c>
      <c r="G40" s="91">
        <f t="shared" si="7"/>
        <v>438.14823525908952</v>
      </c>
      <c r="H40" s="91">
        <f t="shared" si="7"/>
        <v>637.77775474799557</v>
      </c>
      <c r="I40" s="91">
        <f t="shared" si="7"/>
        <v>769.52098553766155</v>
      </c>
      <c r="J40" s="91">
        <f t="shared" si="7"/>
        <v>892.15740212783771</v>
      </c>
      <c r="K40" s="91">
        <f t="shared" si="7"/>
        <v>1010.623983469899</v>
      </c>
      <c r="L40" s="140">
        <f t="shared" si="7"/>
        <v>1062.3186024175598</v>
      </c>
      <c r="M40" s="91">
        <f t="shared" si="7"/>
        <v>1149.0844643056787</v>
      </c>
      <c r="N40" s="92">
        <f t="shared" si="7"/>
        <v>1235.1072546156065</v>
      </c>
      <c r="O40" s="91">
        <f t="shared" si="7"/>
        <v>1316.8586919919812</v>
      </c>
      <c r="P40" s="91">
        <f t="shared" si="7"/>
        <v>1393.7354255095838</v>
      </c>
      <c r="Q40" s="91">
        <f t="shared" si="7"/>
        <v>1466.1616842758031</v>
      </c>
      <c r="R40" s="91">
        <f t="shared" si="7"/>
        <v>1534.770970370716</v>
      </c>
      <c r="S40" s="91">
        <f t="shared" si="7"/>
        <v>1600.1598002584997</v>
      </c>
      <c r="T40" s="91">
        <f t="shared" si="7"/>
        <v>1662.8253455709969</v>
      </c>
      <c r="U40" s="91">
        <f t="shared" si="7"/>
        <v>1723.1633185706842</v>
      </c>
      <c r="V40" s="91">
        <f t="shared" si="7"/>
        <v>1781.4832054458034</v>
      </c>
    </row>
    <row r="41" spans="1:23" s="64" customFormat="1" x14ac:dyDescent="0.25">
      <c r="A41" s="86"/>
      <c r="B41" s="63" t="s">
        <v>87</v>
      </c>
      <c r="C41" s="90">
        <f>SUM(C39:C40)</f>
        <v>5494.3793523303457</v>
      </c>
      <c r="D41" s="91">
        <f t="shared" ref="D41:V41" si="8">SUM(D39:D40)</f>
        <v>8443.4463611270112</v>
      </c>
      <c r="E41" s="91">
        <f t="shared" si="8"/>
        <v>10046.030938676249</v>
      </c>
      <c r="F41" s="91">
        <f t="shared" si="8"/>
        <v>10510.298532640852</v>
      </c>
      <c r="G41" s="91">
        <f t="shared" si="8"/>
        <v>10914.895807395049</v>
      </c>
      <c r="H41" s="91">
        <f t="shared" si="8"/>
        <v>10729.844427805177</v>
      </c>
      <c r="I41" s="100">
        <f t="shared" si="8"/>
        <v>10346.770922881502</v>
      </c>
      <c r="J41" s="91">
        <f t="shared" si="8"/>
        <v>9918.3452105980487</v>
      </c>
      <c r="K41" s="91">
        <f t="shared" si="8"/>
        <v>9497.6754339943709</v>
      </c>
      <c r="L41" s="140">
        <f t="shared" si="8"/>
        <v>8784.8788147542764</v>
      </c>
      <c r="M41" s="91">
        <f t="shared" si="8"/>
        <v>8343.4574107695917</v>
      </c>
      <c r="N41" s="92">
        <f t="shared" si="8"/>
        <v>8052.4471489742482</v>
      </c>
      <c r="O41" s="91">
        <f t="shared" si="8"/>
        <v>7862.1032291180181</v>
      </c>
      <c r="P41" s="91">
        <f t="shared" si="8"/>
        <v>7742.7846059276053</v>
      </c>
      <c r="Q41" s="91">
        <f t="shared" si="8"/>
        <v>7674.591363700998</v>
      </c>
      <c r="R41" s="91">
        <f t="shared" si="8"/>
        <v>7643.1873024748793</v>
      </c>
      <c r="S41" s="91">
        <f t="shared" si="8"/>
        <v>7637.9961066072228</v>
      </c>
      <c r="T41" s="100">
        <f t="shared" si="8"/>
        <v>7651.2131184336158</v>
      </c>
      <c r="U41" s="100">
        <f t="shared" si="8"/>
        <v>7677.132059462484</v>
      </c>
      <c r="V41" s="100">
        <f t="shared" si="8"/>
        <v>7711.6315320597114</v>
      </c>
      <c r="W41" s="116"/>
    </row>
    <row r="42" spans="1:23" s="88" customFormat="1" x14ac:dyDescent="0.25">
      <c r="A42" s="150" t="s">
        <v>302</v>
      </c>
      <c r="C42" s="147"/>
      <c r="D42" s="103"/>
      <c r="E42" s="103"/>
      <c r="F42" s="103"/>
      <c r="G42" s="103"/>
      <c r="H42" s="103"/>
      <c r="I42" s="91"/>
      <c r="J42" s="103"/>
      <c r="K42" s="103"/>
      <c r="L42" s="148"/>
      <c r="M42" s="103"/>
      <c r="N42" s="149"/>
      <c r="O42" s="103"/>
      <c r="P42" s="103"/>
      <c r="Q42" s="103"/>
      <c r="R42" s="103"/>
      <c r="S42" s="103"/>
      <c r="T42" s="91"/>
      <c r="U42" s="91"/>
      <c r="V42" s="91"/>
      <c r="W42" s="64"/>
    </row>
    <row r="43" spans="1:23" x14ac:dyDescent="0.25">
      <c r="A43" s="86"/>
      <c r="B43" s="64" t="s">
        <v>313</v>
      </c>
      <c r="C43" s="90"/>
      <c r="D43" s="91"/>
      <c r="E43" s="91"/>
      <c r="F43" s="91"/>
      <c r="G43" s="91"/>
      <c r="H43" s="91"/>
      <c r="I43" s="91"/>
      <c r="J43" s="91"/>
      <c r="K43" s="91"/>
      <c r="L43" s="140"/>
      <c r="M43" s="91"/>
      <c r="N43" s="92"/>
      <c r="O43" s="91"/>
      <c r="P43" s="91"/>
      <c r="Q43" s="91"/>
      <c r="R43" s="91"/>
      <c r="S43" s="91"/>
      <c r="T43" s="91"/>
      <c r="U43" s="91"/>
      <c r="V43" s="91"/>
    </row>
    <row r="44" spans="1:23" x14ac:dyDescent="0.25">
      <c r="A44" s="86"/>
      <c r="B44" s="63" t="s">
        <v>128</v>
      </c>
      <c r="C44" s="90">
        <f>'Model (SC)'!C7</f>
        <v>0</v>
      </c>
      <c r="D44" s="91">
        <f>'Model (SC)'!D7</f>
        <v>678.82698251173133</v>
      </c>
      <c r="E44" s="91">
        <f>'Model (SC)'!E7</f>
        <v>653.65442125901336</v>
      </c>
      <c r="F44" s="91">
        <f>'Model (SC)'!F7</f>
        <v>620.64404076919516</v>
      </c>
      <c r="G44" s="91">
        <f>'Model (SC)'!G7</f>
        <v>578.57228289485897</v>
      </c>
      <c r="H44" s="91">
        <f>'Model (SC)'!H7</f>
        <v>534.344311318721</v>
      </c>
      <c r="I44" s="91">
        <f>'Model (SC)'!I7</f>
        <v>494.81998538709286</v>
      </c>
      <c r="J44" s="91">
        <f>'Model (SC)'!J7</f>
        <v>469.77104519511107</v>
      </c>
      <c r="K44" s="91">
        <f>'Model (SC)'!K7</f>
        <v>453.89602671087715</v>
      </c>
      <c r="L44" s="140">
        <f>'Model (SC)'!L7</f>
        <v>443.83507363488883</v>
      </c>
      <c r="M44" s="91">
        <f>'Model (SC)'!M7</f>
        <v>437.45884315063665</v>
      </c>
      <c r="N44" s="92">
        <f>'Model (SC)'!N7</f>
        <v>433.41784277212003</v>
      </c>
      <c r="O44" s="91">
        <f>'Model (SC)'!O7</f>
        <v>430.85681802568058</v>
      </c>
      <c r="P44" s="91">
        <f>'Model (SC)'!P7</f>
        <v>429.23374276274711</v>
      </c>
      <c r="Q44" s="91">
        <f>'Model (SC)'!Q7</f>
        <v>428.2051024449176</v>
      </c>
      <c r="R44" s="91">
        <f>'Model (SC)'!R7</f>
        <v>427.5531912688752</v>
      </c>
      <c r="S44" s="91">
        <f>'Model (SC)'!S7</f>
        <v>427.14003598603949</v>
      </c>
      <c r="T44" s="91">
        <f>'Model (SC)'!T7</f>
        <v>426.8781946585579</v>
      </c>
      <c r="U44" s="91">
        <f>'Model (SC)'!U7</f>
        <v>426.71225007639799</v>
      </c>
      <c r="V44" s="91">
        <f>'Model (SC)'!V7</f>
        <v>426.60708102377714</v>
      </c>
    </row>
    <row r="45" spans="1:23" x14ac:dyDescent="0.25">
      <c r="A45" s="86"/>
      <c r="B45" s="63" t="s">
        <v>129</v>
      </c>
      <c r="C45" s="90">
        <f>'Model (SC)'!C8</f>
        <v>0</v>
      </c>
      <c r="D45" s="91">
        <f>'Model (SC)'!D8</f>
        <v>147.17794815340628</v>
      </c>
      <c r="E45" s="91">
        <f>'Model (SC)'!E8</f>
        <v>100.35145759701956</v>
      </c>
      <c r="F45" s="91">
        <f>'Model (SC)'!F8</f>
        <v>78.504800130157122</v>
      </c>
      <c r="G45" s="91">
        <f>'Model (SC)'!G8</f>
        <v>77.506285834476714</v>
      </c>
      <c r="H45" s="91">
        <f>'Model (SC)'!H8</f>
        <v>74.146481941478953</v>
      </c>
      <c r="I45" s="91">
        <f>'Model (SC)'!I8</f>
        <v>69.60232777912708</v>
      </c>
      <c r="J45" s="91">
        <f>'Model (SC)'!J8</f>
        <v>64.865976717828303</v>
      </c>
      <c r="K45" s="91">
        <f>'Model (SC)'!K8</f>
        <v>61.050879567880294</v>
      </c>
      <c r="L45" s="140">
        <f>'Model (SC)'!L8</f>
        <v>58.276644633452051</v>
      </c>
      <c r="M45" s="91">
        <f>'Model (SC)'!M8</f>
        <v>56.362300956249484</v>
      </c>
      <c r="N45" s="92">
        <f>'Model (SC)'!N8</f>
        <v>55.080653026254375</v>
      </c>
      <c r="O45" s="91">
        <f>'Model (SC)'!O8</f>
        <v>54.238421003919747</v>
      </c>
      <c r="P45" s="91">
        <f>'Model (SC)'!P8</f>
        <v>53.691514793233061</v>
      </c>
      <c r="Q45" s="91">
        <f>'Model (SC)'!Q8</f>
        <v>53.339153277230871</v>
      </c>
      <c r="R45" s="91">
        <f>'Model (SC)'!R8</f>
        <v>53.113319463036341</v>
      </c>
      <c r="S45" s="91">
        <f>'Model (SC)'!S8</f>
        <v>52.969090385062159</v>
      </c>
      <c r="T45" s="91">
        <f>'Model (SC)'!T8</f>
        <v>52.877199772030494</v>
      </c>
      <c r="U45" s="91">
        <f>'Model (SC)'!U8</f>
        <v>52.818751117372265</v>
      </c>
      <c r="V45" s="91">
        <f>'Model (SC)'!V8</f>
        <v>52.781615784240635</v>
      </c>
    </row>
    <row r="46" spans="1:23" x14ac:dyDescent="0.25">
      <c r="A46" s="86"/>
      <c r="B46" s="63" t="s">
        <v>130</v>
      </c>
      <c r="C46" s="90">
        <f>'Model (SC)'!C9</f>
        <v>0</v>
      </c>
      <c r="D46" s="91">
        <f>'Model (SC)'!D9</f>
        <v>69.420310194926856</v>
      </c>
      <c r="E46" s="91">
        <f>'Model (SC)'!E9</f>
        <v>93.982580148708777</v>
      </c>
      <c r="F46" s="91">
        <f>'Model (SC)'!F9</f>
        <v>94.898017258099941</v>
      </c>
      <c r="G46" s="91">
        <f>'Model (SC)'!G9</f>
        <v>88.359609964590504</v>
      </c>
      <c r="H46" s="91">
        <f>'Model (SC)'!H9</f>
        <v>83.713758060145381</v>
      </c>
      <c r="I46" s="91">
        <f>'Model (SC)'!I9</f>
        <v>79.546090322119241</v>
      </c>
      <c r="J46" s="91">
        <f>'Model (SC)'!J9</f>
        <v>75.307073511532707</v>
      </c>
      <c r="K46" s="91">
        <f>'Model (SC)'!K9</f>
        <v>70.95808019349856</v>
      </c>
      <c r="L46" s="140">
        <f>'Model (SC)'!L9</f>
        <v>66.837655334200321</v>
      </c>
      <c r="M46" s="91">
        <f>'Model (SC)'!M9</f>
        <v>62.53349457515985</v>
      </c>
      <c r="N46" s="92">
        <f>'Model (SC)'!N9</f>
        <v>59.107644433078164</v>
      </c>
      <c r="O46" s="91">
        <f>'Model (SC)'!O9</f>
        <v>56.460019770386076</v>
      </c>
      <c r="P46" s="91">
        <f>'Model (SC)'!P9</f>
        <v>54.462317378252109</v>
      </c>
      <c r="Q46" s="91">
        <f>'Model (SC)'!Q9</f>
        <v>52.983961244426702</v>
      </c>
      <c r="R46" s="91">
        <f>'Model (SC)'!R9</f>
        <v>51.90705751597315</v>
      </c>
      <c r="S46" s="91">
        <f>'Model (SC)'!S9</f>
        <v>51.132675095641389</v>
      </c>
      <c r="T46" s="91">
        <f>'Model (SC)'!T9</f>
        <v>50.58176945115769</v>
      </c>
      <c r="U46" s="91">
        <f>'Model (SC)'!U9</f>
        <v>50.193351796807818</v>
      </c>
      <c r="V46" s="91">
        <f>'Model (SC)'!V9</f>
        <v>49.921569461674935</v>
      </c>
    </row>
    <row r="47" spans="1:23" x14ac:dyDescent="0.25">
      <c r="A47" s="86"/>
      <c r="B47" s="63" t="s">
        <v>131</v>
      </c>
      <c r="C47" s="90">
        <f>'Model (SC)'!C10</f>
        <v>0</v>
      </c>
      <c r="D47" s="91">
        <f>'Model (SC)'!D10</f>
        <v>895.42524086006449</v>
      </c>
      <c r="E47" s="91">
        <f>'Model (SC)'!E10</f>
        <v>847.98845900474169</v>
      </c>
      <c r="F47" s="91">
        <f>'Model (SC)'!F10</f>
        <v>794.04685815745222</v>
      </c>
      <c r="G47" s="91">
        <f>'Model (SC)'!G10</f>
        <v>744.43817869392615</v>
      </c>
      <c r="H47" s="91">
        <f>'Model (SC)'!H10</f>
        <v>692.20455132034544</v>
      </c>
      <c r="I47" s="91">
        <f>'Model (SC)'!I10</f>
        <v>643.96840348833916</v>
      </c>
      <c r="J47" s="91">
        <f>'Model (SC)'!J10</f>
        <v>609.94409542447215</v>
      </c>
      <c r="K47" s="91">
        <f>'Model (SC)'!K10</f>
        <v>585.90498647225593</v>
      </c>
      <c r="L47" s="140">
        <f>'Model (SC)'!L10</f>
        <v>568.94937360254119</v>
      </c>
      <c r="M47" s="91">
        <f>'Model (SC)'!M10</f>
        <v>556.35463868204602</v>
      </c>
      <c r="N47" s="92">
        <f>'Model (SC)'!N10</f>
        <v>547.60614023145251</v>
      </c>
      <c r="O47" s="91">
        <f>'Model (SC)'!O10</f>
        <v>541.5552587999864</v>
      </c>
      <c r="P47" s="91">
        <f>'Model (SC)'!P10</f>
        <v>537.38757493423225</v>
      </c>
      <c r="Q47" s="91">
        <f>'Model (SC)'!Q10</f>
        <v>534.5282169665752</v>
      </c>
      <c r="R47" s="91">
        <f>'Model (SC)'!R10</f>
        <v>532.57356824788474</v>
      </c>
      <c r="S47" s="91">
        <f>'Model (SC)'!S10</f>
        <v>531.24180146674303</v>
      </c>
      <c r="T47" s="91">
        <f>'Model (SC)'!T10</f>
        <v>530.33716388174605</v>
      </c>
      <c r="U47" s="91">
        <f>'Model (SC)'!U10</f>
        <v>529.72435299057804</v>
      </c>
      <c r="V47" s="91">
        <f>'Model (SC)'!V10</f>
        <v>529.31026626969265</v>
      </c>
    </row>
    <row r="48" spans="1:23" x14ac:dyDescent="0.25">
      <c r="A48" s="86"/>
      <c r="B48" s="63" t="s">
        <v>303</v>
      </c>
      <c r="C48" s="90">
        <f>SUM($C$47:C47)</f>
        <v>0</v>
      </c>
      <c r="D48" s="91">
        <f>SUM($C$47:D47)</f>
        <v>895.42524086006449</v>
      </c>
      <c r="E48" s="91">
        <f>SUM($C$47:E47)</f>
        <v>1743.4136998648062</v>
      </c>
      <c r="F48" s="91">
        <f>SUM($C$47:F47)</f>
        <v>2537.4605580222583</v>
      </c>
      <c r="G48" s="91">
        <f>SUM($C$47:G47)</f>
        <v>3281.8987367161844</v>
      </c>
      <c r="H48" s="91">
        <f>SUM($C$47:H47)</f>
        <v>3974.1032880365301</v>
      </c>
      <c r="I48" s="91">
        <f>SUM($C$47:I47)</f>
        <v>4618.0716915248695</v>
      </c>
      <c r="J48" s="91">
        <f>SUM($C$47:J47)</f>
        <v>5228.0157869493414</v>
      </c>
      <c r="K48" s="91">
        <f>SUM($C$47:K47)</f>
        <v>5813.920773421597</v>
      </c>
      <c r="L48" s="140">
        <f>SUM($C$47:L47)</f>
        <v>6382.8701470241385</v>
      </c>
      <c r="M48" s="91">
        <f>SUM($C$47:M47)</f>
        <v>6939.2247857061848</v>
      </c>
      <c r="N48" s="92">
        <f>SUM($C$47:N47)</f>
        <v>7486.8309259376374</v>
      </c>
      <c r="O48" s="91">
        <f>SUM($C$47:O47)</f>
        <v>8028.3861847376238</v>
      </c>
      <c r="P48" s="91">
        <f>SUM($C$47:P47)</f>
        <v>8565.7737596718562</v>
      </c>
      <c r="Q48" s="91">
        <f>SUM($C$47:Q47)</f>
        <v>9100.3019766384314</v>
      </c>
      <c r="R48" s="91">
        <f>SUM($C$47:R47)</f>
        <v>9632.8755448863158</v>
      </c>
      <c r="S48" s="91">
        <f>SUM($C$47:S47)</f>
        <v>10164.117346353059</v>
      </c>
      <c r="T48" s="91">
        <f>SUM($C$47:T47)</f>
        <v>10694.454510234806</v>
      </c>
      <c r="U48" s="91">
        <f>SUM($C$47:U47)</f>
        <v>11224.178863225383</v>
      </c>
      <c r="V48" s="91">
        <f>SUM($C$47:V47)</f>
        <v>11753.489129495076</v>
      </c>
    </row>
    <row r="49" spans="1:22" x14ac:dyDescent="0.25">
      <c r="A49" s="86"/>
      <c r="B49" s="63" t="s">
        <v>314</v>
      </c>
      <c r="C49" s="90"/>
      <c r="D49" s="91"/>
      <c r="E49" s="91"/>
      <c r="F49" s="91"/>
      <c r="G49" s="91"/>
      <c r="H49" s="91"/>
      <c r="I49" s="91"/>
      <c r="J49" s="91"/>
      <c r="K49" s="91"/>
      <c r="L49" s="140"/>
      <c r="M49" s="91"/>
      <c r="N49" s="92"/>
      <c r="O49" s="91"/>
      <c r="P49" s="91"/>
      <c r="Q49" s="91"/>
      <c r="R49" s="91"/>
      <c r="S49" s="91"/>
      <c r="T49" s="91"/>
      <c r="U49" s="91"/>
      <c r="V49" s="91"/>
    </row>
    <row r="50" spans="1:22" x14ac:dyDescent="0.25">
      <c r="A50" s="86"/>
      <c r="B50" s="63" t="s">
        <v>128</v>
      </c>
      <c r="C50" s="90">
        <f>'Model (SC)'!C25</f>
        <v>0</v>
      </c>
      <c r="D50" s="91">
        <f>'Model (SC)'!D25</f>
        <v>696.47284939598728</v>
      </c>
      <c r="E50" s="91">
        <f>'Model (SC)'!E25</f>
        <v>571.73374031171613</v>
      </c>
      <c r="F50" s="91">
        <f>'Model (SC)'!F25</f>
        <v>498.90519829245568</v>
      </c>
      <c r="G50" s="91">
        <f>'Model (SC)'!G25</f>
        <v>427.1963980276455</v>
      </c>
      <c r="H50" s="91">
        <f>'Model (SC)'!H25</f>
        <v>380.25164623917874</v>
      </c>
      <c r="I50" s="91">
        <f>'Model (SC)'!I25</f>
        <v>344.40115857025063</v>
      </c>
      <c r="J50" s="91">
        <f>'Model (SC)'!J25</f>
        <v>315.25987298583073</v>
      </c>
      <c r="K50" s="91">
        <f>'Model (SC)'!K25</f>
        <v>293.74336184387477</v>
      </c>
      <c r="L50" s="140">
        <f>'Model (SC)'!L25</f>
        <v>278.66018957063204</v>
      </c>
      <c r="M50" s="91">
        <f>'Model (SC)'!M25</f>
        <v>268.41424238169776</v>
      </c>
      <c r="N50" s="92">
        <f>'Model (SC)'!N25</f>
        <v>261.59472619782514</v>
      </c>
      <c r="O50" s="91">
        <f>'Model (SC)'!O25</f>
        <v>257.11801441716091</v>
      </c>
      <c r="P50" s="91">
        <f>'Model (SC)'!P25</f>
        <v>254.20738089426649</v>
      </c>
      <c r="Q50" s="91">
        <f>'Model (SC)'!Q25</f>
        <v>252.32785988633583</v>
      </c>
      <c r="R50" s="91">
        <f>'Model (SC)'!R25</f>
        <v>251.12013789413257</v>
      </c>
      <c r="S50" s="91">
        <f>'Model (SC)'!S25</f>
        <v>250.3468724018916</v>
      </c>
      <c r="T50" s="91">
        <f>'Model (SC)'!T25</f>
        <v>249.85307665403371</v>
      </c>
      <c r="U50" s="91">
        <f>'Model (SC)'!U25</f>
        <v>249.53835752125502</v>
      </c>
      <c r="V50" s="91">
        <f>'Model (SC)'!V25</f>
        <v>249.33806034800017</v>
      </c>
    </row>
    <row r="51" spans="1:22" x14ac:dyDescent="0.25">
      <c r="A51" s="86"/>
      <c r="B51" s="63" t="s">
        <v>151</v>
      </c>
      <c r="C51" s="90">
        <f>'Model (SC)'!C26</f>
        <v>0</v>
      </c>
      <c r="D51" s="91">
        <f>'Model (SC)'!D26</f>
        <v>167.40401679576206</v>
      </c>
      <c r="E51" s="91">
        <f>'Model (SC)'!E26</f>
        <v>195.06147087926169</v>
      </c>
      <c r="F51" s="91">
        <f>'Model (SC)'!F26</f>
        <v>177.44633220150482</v>
      </c>
      <c r="G51" s="91">
        <f>'Model (SC)'!G26</f>
        <v>184.99697952303472</v>
      </c>
      <c r="H51" s="91">
        <f>'Model (SC)'!H26</f>
        <v>175.63582887365556</v>
      </c>
      <c r="I51" s="91">
        <f>'Model (SC)'!I26</f>
        <v>162.98240926212614</v>
      </c>
      <c r="J51" s="91">
        <f>'Model (SC)'!J26</f>
        <v>150.59256851597934</v>
      </c>
      <c r="K51" s="91">
        <f>'Model (SC)'!K26</f>
        <v>140.37930590569408</v>
      </c>
      <c r="L51" s="140">
        <f>'Model (SC)'!L26</f>
        <v>132.72813335947262</v>
      </c>
      <c r="M51" s="91">
        <f>'Model (SC)'!M26</f>
        <v>127.31307284955355</v>
      </c>
      <c r="N51" s="92">
        <f>'Model (SC)'!N26</f>
        <v>123.61468997628187</v>
      </c>
      <c r="O51" s="91">
        <f>'Model (SC)'!O26</f>
        <v>121.14662431064191</v>
      </c>
      <c r="P51" s="91">
        <f>'Model (SC)'!P26</f>
        <v>119.5249247176708</v>
      </c>
      <c r="Q51" s="91">
        <f>'Model (SC)'!Q26</f>
        <v>118.47056494033988</v>
      </c>
      <c r="R51" s="91">
        <f>'Model (SC)'!R26</f>
        <v>117.79007588468561</v>
      </c>
      <c r="S51" s="91">
        <f>'Model (SC)'!S26</f>
        <v>117.35313974708392</v>
      </c>
      <c r="T51" s="91">
        <f>'Model (SC)'!T26</f>
        <v>117.07360763628164</v>
      </c>
      <c r="U51" s="91">
        <f>'Model (SC)'!U26</f>
        <v>116.89523994903952</v>
      </c>
      <c r="V51" s="91">
        <f>'Model (SC)'!V26</f>
        <v>116.78163678303069</v>
      </c>
    </row>
    <row r="52" spans="1:22" x14ac:dyDescent="0.25">
      <c r="A52" s="86"/>
      <c r="B52" s="63" t="s">
        <v>304</v>
      </c>
      <c r="C52" s="90">
        <f>'Model (SC)'!C27+'Model (SC)'!C28</f>
        <v>0</v>
      </c>
      <c r="D52" s="91">
        <f>'Model (SC)'!D27+'Model (SC)'!D28</f>
        <v>2.5239623826033184</v>
      </c>
      <c r="E52" s="91">
        <f>'Model (SC)'!E27+'Model (SC)'!E28</f>
        <v>12.743505062988435</v>
      </c>
      <c r="F52" s="91">
        <f>'Model (SC)'!F27+'Model (SC)'!F28</f>
        <v>25.435233268161394</v>
      </c>
      <c r="G52" s="91">
        <f>'Model (SC)'!G27+'Model (SC)'!G28</f>
        <v>38.695505913982046</v>
      </c>
      <c r="H52" s="91">
        <f>'Model (SC)'!H27+'Model (SC)'!H28</f>
        <v>52.184320541082009</v>
      </c>
      <c r="I52" s="91">
        <f>'Model (SC)'!I27+'Model (SC)'!I28</f>
        <v>65.244224058306074</v>
      </c>
      <c r="J52" s="91">
        <f>'Model (SC)'!J27+'Model (SC)'!J28</f>
        <v>77.543051137495169</v>
      </c>
      <c r="K52" s="91">
        <f>'Model (SC)'!K27+'Model (SC)'!K28</f>
        <v>88.954769868686157</v>
      </c>
      <c r="L52" s="140">
        <f>'Model (SC)'!L27+'Model (SC)'!L28</f>
        <v>99.493018551547081</v>
      </c>
      <c r="M52" s="91">
        <f>'Model (SC)'!M27+'Model (SC)'!M28</f>
        <v>110.19066317543373</v>
      </c>
      <c r="N52" s="92">
        <f>'Model (SC)'!N27+'Model (SC)'!N28</f>
        <v>119.88952346516588</v>
      </c>
      <c r="O52" s="91">
        <f>'Model (SC)'!O27+'Model (SC)'!O28</f>
        <v>128.88601497003771</v>
      </c>
      <c r="P52" s="91">
        <f>'Model (SC)'!P27+'Model (SC)'!P28</f>
        <v>137.36714080210106</v>
      </c>
      <c r="Q52" s="91">
        <f>'Model (SC)'!Q27+'Model (SC)'!Q28</f>
        <v>145.46011471285183</v>
      </c>
      <c r="R52" s="91">
        <f>'Model (SC)'!R27+'Model (SC)'!R28</f>
        <v>153.25478978078328</v>
      </c>
      <c r="S52" s="91">
        <f>'Model (SC)'!S27+'Model (SC)'!S28</f>
        <v>160.81551942577616</v>
      </c>
      <c r="T52" s="91">
        <f>'Model (SC)'!T27+'Model (SC)'!T28</f>
        <v>168.18849370547446</v>
      </c>
      <c r="U52" s="91">
        <f>'Model (SC)'!U27+'Model (SC)'!U28</f>
        <v>175.4067843623819</v>
      </c>
      <c r="V52" s="91">
        <f>'Model (SC)'!V27+'Model (SC)'!V28</f>
        <v>182.49399217250337</v>
      </c>
    </row>
    <row r="53" spans="1:22" x14ac:dyDescent="0.25">
      <c r="A53" s="86"/>
      <c r="B53" s="64" t="s">
        <v>130</v>
      </c>
      <c r="C53" s="90">
        <f>'Model (SC)'!C34</f>
        <v>0</v>
      </c>
      <c r="D53" s="91">
        <f>'Model (SC)'!D34</f>
        <v>39.827492363014017</v>
      </c>
      <c r="E53" s="91">
        <f>'Model (SC)'!E34</f>
        <v>71.529399871096047</v>
      </c>
      <c r="F53" s="91">
        <f>'Model (SC)'!F34</f>
        <v>99.164777116126615</v>
      </c>
      <c r="G53" s="91">
        <f>'Model (SC)'!G34</f>
        <v>109.15354827790387</v>
      </c>
      <c r="H53" s="91">
        <f>'Model (SC)'!H34</f>
        <v>114.0519609085169</v>
      </c>
      <c r="I53" s="91">
        <f>'Model (SC)'!I34</f>
        <v>114.02594070574465</v>
      </c>
      <c r="J53" s="91">
        <f>'Model (SC)'!J34</f>
        <v>111.31125348073731</v>
      </c>
      <c r="K53" s="91">
        <f>'Model (SC)'!K34</f>
        <v>107.3857062607571</v>
      </c>
      <c r="L53" s="140">
        <f>'Model (SC)'!L34</f>
        <v>103.24802466926727</v>
      </c>
      <c r="M53" s="91">
        <f>'Model (SC)'!M34</f>
        <v>95.345157925187493</v>
      </c>
      <c r="N53" s="92">
        <f>'Model (SC)'!N34</f>
        <v>90.671718449039233</v>
      </c>
      <c r="O53" s="91">
        <f>'Model (SC)'!O34</f>
        <v>87.80901919985466</v>
      </c>
      <c r="P53" s="91">
        <f>'Model (SC)'!P34</f>
        <v>86.090037457562445</v>
      </c>
      <c r="Q53" s="91">
        <f>'Model (SC)'!Q34</f>
        <v>85.149818105409338</v>
      </c>
      <c r="R53" s="91">
        <f>'Model (SC)'!R34</f>
        <v>84.758725380376418</v>
      </c>
      <c r="S53" s="91">
        <f>'Model (SC)'!S34</f>
        <v>84.758604994710041</v>
      </c>
      <c r="T53" s="91">
        <f>'Model (SC)'!T34</f>
        <v>85.035858821858071</v>
      </c>
      <c r="U53" s="91">
        <f>'Model (SC)'!U34</f>
        <v>85.507890464768792</v>
      </c>
      <c r="V53" s="91">
        <f>'Model (SC)'!V34</f>
        <v>86.11477004773468</v>
      </c>
    </row>
    <row r="54" spans="1:22" x14ac:dyDescent="0.25">
      <c r="A54" s="86"/>
      <c r="B54" s="98" t="s">
        <v>131</v>
      </c>
      <c r="C54" s="90">
        <f>'Model (SC)'!C35</f>
        <v>0</v>
      </c>
      <c r="D54" s="91">
        <f>'Model (SC)'!D35</f>
        <v>906.22832093736668</v>
      </c>
      <c r="E54" s="91">
        <f>'Model (SC)'!E35</f>
        <v>851.06811612506226</v>
      </c>
      <c r="F54" s="91">
        <f>'Model (SC)'!F35</f>
        <v>800.95154087824847</v>
      </c>
      <c r="G54" s="91">
        <f>'Model (SC)'!G35</f>
        <v>760.04243174256612</v>
      </c>
      <c r="H54" s="91">
        <f>'Model (SC)'!H35</f>
        <v>722.12375656243319</v>
      </c>
      <c r="I54" s="91">
        <f>'Model (SC)'!I35</f>
        <v>686.65373259642763</v>
      </c>
      <c r="J54" s="91">
        <f>'Model (SC)'!J35</f>
        <v>654.70674612004245</v>
      </c>
      <c r="K54" s="91">
        <f>'Model (SC)'!K35</f>
        <v>630.46314387901202</v>
      </c>
      <c r="L54" s="140">
        <f>'Model (SC)'!L35</f>
        <v>614.12936615091905</v>
      </c>
      <c r="M54" s="91">
        <f>'Model (SC)'!M35</f>
        <v>601.2631363318726</v>
      </c>
      <c r="N54" s="92">
        <f>'Model (SC)'!N35</f>
        <v>595.77065808831208</v>
      </c>
      <c r="O54" s="91">
        <f>'Model (SC)'!O35</f>
        <v>594.95967289769521</v>
      </c>
      <c r="P54" s="91">
        <f>'Model (SC)'!P35</f>
        <v>597.18948387160071</v>
      </c>
      <c r="Q54" s="91">
        <f>'Model (SC)'!Q35</f>
        <v>601.40835764493681</v>
      </c>
      <c r="R54" s="91">
        <f>'Model (SC)'!R35</f>
        <v>606.92372893997788</v>
      </c>
      <c r="S54" s="91">
        <f>'Model (SC)'!S35</f>
        <v>613.27413656946169</v>
      </c>
      <c r="T54" s="91">
        <f>'Model (SC)'!T35</f>
        <v>620.15103681764788</v>
      </c>
      <c r="U54" s="91">
        <f>'Model (SC)'!U35</f>
        <v>627.34827229744531</v>
      </c>
      <c r="V54" s="91">
        <f>'Model (SC)'!V35</f>
        <v>634.72845935126884</v>
      </c>
    </row>
    <row r="55" spans="1:22" x14ac:dyDescent="0.25">
      <c r="A55" s="86"/>
      <c r="B55" s="63" t="s">
        <v>303</v>
      </c>
      <c r="C55" s="90">
        <f>SUM($C$54:C54)</f>
        <v>0</v>
      </c>
      <c r="D55" s="91">
        <f>SUM($C$54:D54)</f>
        <v>906.22832093736668</v>
      </c>
      <c r="E55" s="91">
        <f>SUM($C$54:E54)</f>
        <v>1757.296437062429</v>
      </c>
      <c r="F55" s="91">
        <f>SUM($C$54:F54)</f>
        <v>2558.2479779406776</v>
      </c>
      <c r="G55" s="91">
        <f>SUM($C$54:G54)</f>
        <v>3318.2904096832435</v>
      </c>
      <c r="H55" s="91">
        <f>SUM($C$54:H54)</f>
        <v>4040.4141662456768</v>
      </c>
      <c r="I55" s="91">
        <f>SUM($C$54:I54)</f>
        <v>4727.0678988421041</v>
      </c>
      <c r="J55" s="91">
        <f>SUM($C$54:J54)</f>
        <v>5381.7746449621463</v>
      </c>
      <c r="K55" s="91">
        <f>SUM($C$54:K54)</f>
        <v>6012.2377888411584</v>
      </c>
      <c r="L55" s="140">
        <f>SUM($C$54:L54)</f>
        <v>6626.3671549920773</v>
      </c>
      <c r="M55" s="91">
        <f>SUM($C$54:M54)</f>
        <v>7227.6302913239497</v>
      </c>
      <c r="N55" s="92">
        <f>SUM($C$54:N54)</f>
        <v>7823.400949412262</v>
      </c>
      <c r="O55" s="91">
        <f>SUM($C$54:O54)</f>
        <v>8418.3606223099578</v>
      </c>
      <c r="P55" s="91">
        <f>SUM($C$54:P54)</f>
        <v>9015.5501061815594</v>
      </c>
      <c r="Q55" s="91">
        <f>SUM($C$54:Q54)</f>
        <v>9616.9584638264969</v>
      </c>
      <c r="R55" s="91">
        <f>SUM($C$54:R54)</f>
        <v>10223.882192766474</v>
      </c>
      <c r="S55" s="91">
        <f>SUM($C$54:S54)</f>
        <v>10837.156329335936</v>
      </c>
      <c r="T55" s="91">
        <f>SUM($C$54:T54)</f>
        <v>11457.307366153584</v>
      </c>
      <c r="U55" s="91">
        <f>SUM($C$54:U54)</f>
        <v>12084.65563845103</v>
      </c>
      <c r="V55" s="91">
        <f>SUM($C$54:V54)</f>
        <v>12719.384097802298</v>
      </c>
    </row>
    <row r="56" spans="1:22" x14ac:dyDescent="0.25">
      <c r="A56" s="86"/>
      <c r="B56" s="63" t="s">
        <v>315</v>
      </c>
      <c r="C56" s="90"/>
      <c r="D56" s="91"/>
      <c r="E56" s="91"/>
      <c r="F56" s="91"/>
      <c r="G56" s="91"/>
      <c r="H56" s="91"/>
      <c r="I56" s="91"/>
      <c r="J56" s="91"/>
      <c r="K56" s="91"/>
      <c r="L56" s="140"/>
      <c r="M56" s="91"/>
      <c r="N56" s="92"/>
      <c r="O56" s="91"/>
      <c r="P56" s="91"/>
      <c r="Q56" s="91"/>
      <c r="R56" s="91"/>
      <c r="S56" s="91"/>
      <c r="T56" s="91"/>
      <c r="U56" s="91"/>
      <c r="V56" s="91"/>
    </row>
    <row r="57" spans="1:22" x14ac:dyDescent="0.25">
      <c r="A57" s="86"/>
      <c r="B57" s="63" t="s">
        <v>128</v>
      </c>
      <c r="C57" s="90">
        <f>'Model (SC)'!C55</f>
        <v>0</v>
      </c>
      <c r="D57" s="91">
        <f>'Model (SC)'!D55</f>
        <v>8291.4514192246461</v>
      </c>
      <c r="E57" s="91">
        <f>'Model (SC)'!E55</f>
        <v>6757.3862396571903</v>
      </c>
      <c r="F57" s="91">
        <f>'Model (SC)'!F55</f>
        <v>5525.3470112934256</v>
      </c>
      <c r="G57" s="91">
        <f>'Model (SC)'!G55</f>
        <v>2584.707597679499</v>
      </c>
      <c r="H57" s="91">
        <f>'Model (SC)'!H55</f>
        <v>2064.9718723029114</v>
      </c>
      <c r="I57" s="91">
        <f>'Model (SC)'!I55</f>
        <v>1821.7744953449489</v>
      </c>
      <c r="J57" s="91">
        <f>'Model (SC)'!J55</f>
        <v>1646.6658904714491</v>
      </c>
      <c r="K57" s="91">
        <f>'Model (SC)'!K55</f>
        <v>1505.8868342298567</v>
      </c>
      <c r="L57" s="140">
        <f>'Model (SC)'!L55</f>
        <v>1401.1491224901522</v>
      </c>
      <c r="M57" s="91">
        <f>'Model (SC)'!M55</f>
        <v>1327.3096461539494</v>
      </c>
      <c r="N57" s="92">
        <f>'Model (SC)'!N55</f>
        <v>1276.9648743820155</v>
      </c>
      <c r="O57" s="91">
        <f>'Model (SC)'!O55</f>
        <v>1243.3735400811897</v>
      </c>
      <c r="P57" s="91">
        <f>'Model (SC)'!P55</f>
        <v>1221.2848660578768</v>
      </c>
      <c r="Q57" s="91">
        <f>'Model (SC)'!Q55</f>
        <v>1206.9062620556529</v>
      </c>
      <c r="R57" s="91">
        <f>'Model (SC)'!R55</f>
        <v>1197.6134386918723</v>
      </c>
      <c r="S57" s="91">
        <f>'Model (SC)'!S55</f>
        <v>1191.6384582476933</v>
      </c>
      <c r="T57" s="91">
        <f>'Model (SC)'!T55</f>
        <v>1187.8111384127565</v>
      </c>
      <c r="U57" s="91">
        <f>'Model (SC)'!U55</f>
        <v>1185.3662553835575</v>
      </c>
      <c r="V57" s="91">
        <f>'Model (SC)'!V55</f>
        <v>1183.8076335644967</v>
      </c>
    </row>
    <row r="58" spans="1:22" x14ac:dyDescent="0.25">
      <c r="A58" s="86"/>
      <c r="B58" s="63" t="s">
        <v>151</v>
      </c>
      <c r="C58" s="90">
        <f>'Model (SC)'!C56</f>
        <v>0</v>
      </c>
      <c r="D58" s="91">
        <f>'Model (SC)'!D56</f>
        <v>1534.1272679265815</v>
      </c>
      <c r="E58" s="91">
        <f>'Model (SC)'!E56</f>
        <v>2492.4986453174411</v>
      </c>
      <c r="F58" s="91">
        <f>'Model (SC)'!F56</f>
        <v>3110.1003015807946</v>
      </c>
      <c r="G58" s="91">
        <f>'Model (SC)'!G56</f>
        <v>4430.0252643143394</v>
      </c>
      <c r="H58" s="91">
        <f>'Model (SC)'!H56</f>
        <v>3136.8392336298898</v>
      </c>
      <c r="I58" s="91">
        <f>'Model (SC)'!I56</f>
        <v>2588.5365337229086</v>
      </c>
      <c r="J58" s="91">
        <f>'Model (SC)'!J56</f>
        <v>2309.3040382403397</v>
      </c>
      <c r="K58" s="91">
        <f>'Model (SC)'!K56</f>
        <v>2103.4576612612941</v>
      </c>
      <c r="L58" s="140">
        <f>'Model (SC)'!L56</f>
        <v>1941.7533823079325</v>
      </c>
      <c r="M58" s="91">
        <f>'Model (SC)'!M56</f>
        <v>1821.4224745470196</v>
      </c>
      <c r="N58" s="92">
        <f>'Model (SC)'!N56</f>
        <v>1736.246161476425</v>
      </c>
      <c r="O58" s="91">
        <f>'Model (SC)'!O56</f>
        <v>1677.9849172568872</v>
      </c>
      <c r="P58" s="91">
        <f>'Model (SC)'!P56</f>
        <v>1639.0338678314224</v>
      </c>
      <c r="Q58" s="91">
        <f>'Model (SC)'!Q56</f>
        <v>1613.392571940042</v>
      </c>
      <c r="R58" s="91">
        <f>'Model (SC)'!R56</f>
        <v>1596.6924966707679</v>
      </c>
      <c r="S58" s="91">
        <f>'Model (SC)'!S56</f>
        <v>1585.8972252451131</v>
      </c>
      <c r="T58" s="91">
        <f>'Model (SC)'!T56</f>
        <v>1578.9561969379472</v>
      </c>
      <c r="U58" s="91">
        <f>'Model (SC)'!U56</f>
        <v>1574.5104911646447</v>
      </c>
      <c r="V58" s="91">
        <f>'Model (SC)'!V56</f>
        <v>1571.6709785691778</v>
      </c>
    </row>
    <row r="59" spans="1:22" x14ac:dyDescent="0.25">
      <c r="A59" s="86"/>
      <c r="B59" s="63" t="s">
        <v>152</v>
      </c>
      <c r="C59" s="90">
        <f>'Model (SC)'!C57</f>
        <v>0</v>
      </c>
      <c r="D59" s="91">
        <f>'Model (SC)'!D57</f>
        <v>369.6473769348425</v>
      </c>
      <c r="E59" s="91">
        <f>'Model (SC)'!E57</f>
        <v>456.70525035766406</v>
      </c>
      <c r="F59" s="91">
        <f>'Model (SC)'!F57</f>
        <v>367.39591182522855</v>
      </c>
      <c r="G59" s="91">
        <f>'Model (SC)'!G57</f>
        <v>684.02441874525596</v>
      </c>
      <c r="H59" s="91">
        <f>'Model (SC)'!H57</f>
        <v>902.43448620715913</v>
      </c>
      <c r="I59" s="91">
        <f>'Model (SC)'!I57</f>
        <v>707.4302616512739</v>
      </c>
      <c r="J59" s="91">
        <f>'Model (SC)'!J57</f>
        <v>606.68129856185863</v>
      </c>
      <c r="K59" s="91">
        <f>'Model (SC)'!K57</f>
        <v>549.40131663720319</v>
      </c>
      <c r="L59" s="140">
        <f>'Model (SC)'!L57</f>
        <v>506.15426910182197</v>
      </c>
      <c r="M59" s="91">
        <f>'Model (SC)'!M57</f>
        <v>481.76718099433953</v>
      </c>
      <c r="N59" s="92">
        <f>'Model (SC)'!N57</f>
        <v>451.64247592660502</v>
      </c>
      <c r="O59" s="91">
        <f>'Model (SC)'!O57</f>
        <v>432.02001009814546</v>
      </c>
      <c r="P59" s="91">
        <f>'Model (SC)'!P57</f>
        <v>419.1364873472217</v>
      </c>
      <c r="Q59" s="91">
        <f>'Model (SC)'!Q57</f>
        <v>410.84958767519959</v>
      </c>
      <c r="R59" s="91">
        <f>'Model (SC)'!R57</f>
        <v>405.65794896259655</v>
      </c>
      <c r="S59" s="91">
        <f>'Model (SC)'!S57</f>
        <v>402.52740845878793</v>
      </c>
      <c r="T59" s="91">
        <f>'Model (SC)'!T57</f>
        <v>400.75411820332806</v>
      </c>
      <c r="U59" s="91">
        <f>'Model (SC)'!U57</f>
        <v>399.86480512491784</v>
      </c>
      <c r="V59" s="91">
        <f>'Model (SC)'!V57</f>
        <v>399.54456010639473</v>
      </c>
    </row>
    <row r="60" spans="1:22" x14ac:dyDescent="0.25">
      <c r="A60" s="86"/>
      <c r="B60" s="63" t="s">
        <v>153</v>
      </c>
      <c r="C60" s="90">
        <f>'Model (SC)'!C58</f>
        <v>0</v>
      </c>
      <c r="D60" s="91">
        <f>'Model (SC)'!D58</f>
        <v>0</v>
      </c>
      <c r="E60" s="91">
        <f>'Model (SC)'!E58</f>
        <v>52.849003591907035</v>
      </c>
      <c r="F60" s="91">
        <f>'Model (SC)'!F58</f>
        <v>114.59615335907783</v>
      </c>
      <c r="G60" s="91">
        <f>'Model (SC)'!G58</f>
        <v>159.42850001010981</v>
      </c>
      <c r="H60" s="91">
        <f>'Model (SC)'!H58</f>
        <v>246.51932072063346</v>
      </c>
      <c r="I60" s="91">
        <f>'Model (SC)'!I58</f>
        <v>358.98866739840963</v>
      </c>
      <c r="J60" s="91">
        <f>'Model (SC)'!J58</f>
        <v>436.02603315182898</v>
      </c>
      <c r="K60" s="91">
        <f>'Model (SC)'!K58</f>
        <v>493.48636798043316</v>
      </c>
      <c r="L60" s="140">
        <f>'Model (SC)'!L58</f>
        <v>538.89902748731254</v>
      </c>
      <c r="M60" s="91">
        <f>'Model (SC)'!M58</f>
        <v>575.07928248300527</v>
      </c>
      <c r="N60" s="92">
        <f>'Model (SC)'!N58</f>
        <v>605.34349396542382</v>
      </c>
      <c r="O60" s="91">
        <f>'Model (SC)'!O58</f>
        <v>629.26859002252786</v>
      </c>
      <c r="P60" s="91">
        <f>'Model (SC)'!P58</f>
        <v>648.78174165886367</v>
      </c>
      <c r="Q60" s="91">
        <f>'Model (SC)'!Q58</f>
        <v>665.14267283929257</v>
      </c>
      <c r="R60" s="91">
        <f>'Model (SC)'!R58</f>
        <v>679.22023063746019</v>
      </c>
      <c r="S60" s="91">
        <f>'Model (SC)'!S58</f>
        <v>691.61027000378942</v>
      </c>
      <c r="T60" s="91">
        <f>'Model (SC)'!T58</f>
        <v>702.72078045403305</v>
      </c>
      <c r="U60" s="91">
        <f>'Model (SC)'!U58</f>
        <v>712.83172619537595</v>
      </c>
      <c r="V60" s="91">
        <f>'Model (SC)'!V58</f>
        <v>722.13660822776455</v>
      </c>
    </row>
    <row r="61" spans="1:22" x14ac:dyDescent="0.25">
      <c r="A61" s="82"/>
      <c r="B61" s="153" t="s">
        <v>142</v>
      </c>
      <c r="C61" s="90">
        <f>'Model (SC)'!C59</f>
        <v>0</v>
      </c>
      <c r="D61" s="91">
        <f>'Model (SC)'!D59</f>
        <v>0</v>
      </c>
      <c r="E61" s="91">
        <f>'Model (SC)'!E59</f>
        <v>4.49893532054059</v>
      </c>
      <c r="F61" s="91">
        <f>'Model (SC)'!F59</f>
        <v>22.711227840025519</v>
      </c>
      <c r="G61" s="91">
        <f>'Model (SC)'!G59</f>
        <v>55.766425580678877</v>
      </c>
      <c r="H61" s="91">
        <f>'Model (SC)'!H59</f>
        <v>98.236082085331361</v>
      </c>
      <c r="I61" s="91">
        <f>'Model (SC)'!I59</f>
        <v>154.04366825719998</v>
      </c>
      <c r="J61" s="91">
        <f>'Model (SC)'!J59</f>
        <v>216.46319497823205</v>
      </c>
      <c r="K61" s="91">
        <f>'Model (SC)'!K59</f>
        <v>278.95880657602726</v>
      </c>
      <c r="L61" s="140">
        <f>'Model (SC)'!L59</f>
        <v>339.40470309927343</v>
      </c>
      <c r="M61" s="91">
        <f>'Model (SC)'!M59</f>
        <v>404.82189781595969</v>
      </c>
      <c r="N61" s="92">
        <f>'Model (SC)'!N59</f>
        <v>462.11142839659368</v>
      </c>
      <c r="O61" s="91">
        <f>'Model (SC)'!O59</f>
        <v>513.94786994806452</v>
      </c>
      <c r="P61" s="91">
        <f>'Model (SC)'!P59</f>
        <v>561.21947209595851</v>
      </c>
      <c r="Q61" s="91">
        <f>'Model (SC)'!Q59</f>
        <v>604.51126263682659</v>
      </c>
      <c r="R61" s="91">
        <f>'Model (SC)'!R59</f>
        <v>644.27291025857426</v>
      </c>
      <c r="S61" s="91">
        <f>'Model (SC)'!S59</f>
        <v>680.88318311424337</v>
      </c>
      <c r="T61" s="91">
        <f>'Model (SC)'!T59</f>
        <v>714.67087152102215</v>
      </c>
      <c r="U61" s="91">
        <f>'Model (SC)'!U59</f>
        <v>745.92323202441901</v>
      </c>
      <c r="V61" s="91">
        <f>'Model (SC)'!V59</f>
        <v>774.89131338248615</v>
      </c>
    </row>
    <row r="62" spans="1:22" x14ac:dyDescent="0.25">
      <c r="A62" s="82"/>
      <c r="B62" s="64" t="s">
        <v>130</v>
      </c>
      <c r="C62" s="90">
        <f>'Model (SC)'!C69</f>
        <v>0</v>
      </c>
      <c r="D62" s="91">
        <f>'Model (SC)'!D69</f>
        <v>102.15423321098493</v>
      </c>
      <c r="E62" s="91">
        <f>'Model (SC)'!E69</f>
        <v>291.66660488127735</v>
      </c>
      <c r="F62" s="91">
        <f>'Model (SC)'!F69</f>
        <v>522.09757433553011</v>
      </c>
      <c r="G62" s="91">
        <f>'Model (SC)'!G69</f>
        <v>713.25317596611478</v>
      </c>
      <c r="H62" s="91">
        <f>'Model (SC)'!H69</f>
        <v>912.11936005160317</v>
      </c>
      <c r="I62" s="91">
        <f>'Model (SC)'!I69</f>
        <v>930.61825703619684</v>
      </c>
      <c r="J62" s="91">
        <f>'Model (SC)'!J69</f>
        <v>909.01355046501874</v>
      </c>
      <c r="K62" s="91">
        <f>'Model (SC)'!K69</f>
        <v>889.09739994698998</v>
      </c>
      <c r="L62" s="140">
        <f>'Model (SC)'!L69</f>
        <v>870.32798472149614</v>
      </c>
      <c r="M62" s="91">
        <f>'Model (SC)'!M69</f>
        <v>791.206819007587</v>
      </c>
      <c r="N62" s="92">
        <f>'Model (SC)'!N69</f>
        <v>756.12528241998473</v>
      </c>
      <c r="O62" s="91">
        <f>'Model (SC)'!O69</f>
        <v>738.56803529558863</v>
      </c>
      <c r="P62" s="91">
        <f>'Model (SC)'!P69</f>
        <v>730.82892579511986</v>
      </c>
      <c r="Q62" s="91">
        <f>'Model (SC)'!Q69</f>
        <v>729.05961071267461</v>
      </c>
      <c r="R62" s="91">
        <f>'Model (SC)'!R69</f>
        <v>731.13245426849858</v>
      </c>
      <c r="S62" s="91">
        <f>'Model (SC)'!S69</f>
        <v>735.72354126277685</v>
      </c>
      <c r="T62" s="91">
        <f>'Model (SC)'!T69</f>
        <v>741.94765958862547</v>
      </c>
      <c r="U62" s="91">
        <f>'Model (SC)'!U69</f>
        <v>749.19346723865613</v>
      </c>
      <c r="V62" s="91">
        <f>'Model (SC)'!V69</f>
        <v>757.03570300005879</v>
      </c>
    </row>
    <row r="63" spans="1:22" x14ac:dyDescent="0.25">
      <c r="A63" s="82"/>
      <c r="B63" s="153" t="s">
        <v>131</v>
      </c>
      <c r="C63" s="90">
        <f>'Model (SC)'!C70</f>
        <v>0</v>
      </c>
      <c r="D63" s="91">
        <f>'Model (SC)'!D70</f>
        <v>10297.380297297057</v>
      </c>
      <c r="E63" s="91">
        <f>'Model (SC)'!E70</f>
        <v>10055.60467912602</v>
      </c>
      <c r="F63" s="91">
        <f>'Model (SC)'!F70</f>
        <v>9662.2481802340826</v>
      </c>
      <c r="G63" s="91">
        <f>'Model (SC)'!G70</f>
        <v>8627.205382295997</v>
      </c>
      <c r="H63" s="91">
        <f>'Model (SC)'!H70</f>
        <v>7361.120354997528</v>
      </c>
      <c r="I63" s="91">
        <f>'Model (SC)'!I70</f>
        <v>6561.3918834109381</v>
      </c>
      <c r="J63" s="91">
        <f>'Model (SC)'!J70</f>
        <v>6124.1540058687278</v>
      </c>
      <c r="K63" s="91">
        <f>'Model (SC)'!K70</f>
        <v>5820.2883866318043</v>
      </c>
      <c r="L63" s="140">
        <f>'Model (SC)'!L70</f>
        <v>5597.6884892079888</v>
      </c>
      <c r="M63" s="91">
        <f>'Model (SC)'!M70</f>
        <v>5401.6073010018599</v>
      </c>
      <c r="N63" s="92">
        <f>'Model (SC)'!N70</f>
        <v>5288.4337165670477</v>
      </c>
      <c r="O63" s="91">
        <f>'Model (SC)'!O70</f>
        <v>5235.1629627024031</v>
      </c>
      <c r="P63" s="91">
        <f>'Model (SC)'!P70</f>
        <v>5220.2853607864636</v>
      </c>
      <c r="Q63" s="91">
        <f>'Model (SC)'!Q70</f>
        <v>5229.8619678596879</v>
      </c>
      <c r="R63" s="91">
        <f>'Model (SC)'!R70</f>
        <v>5254.5894794897704</v>
      </c>
      <c r="S63" s="91">
        <f>'Model (SC)'!S70</f>
        <v>5288.2800863324037</v>
      </c>
      <c r="T63" s="91">
        <f>'Model (SC)'!T70</f>
        <v>5326.8607651177126</v>
      </c>
      <c r="U63" s="91">
        <f>'Model (SC)'!U70</f>
        <v>5367.6899771315711</v>
      </c>
      <c r="V63" s="91">
        <f>'Model (SC)'!V70</f>
        <v>5409.086796850379</v>
      </c>
    </row>
    <row r="64" spans="1:22" x14ac:dyDescent="0.25">
      <c r="A64" s="82"/>
      <c r="B64" s="153" t="s">
        <v>303</v>
      </c>
      <c r="C64" s="90">
        <f>SUM($C$63:C63)</f>
        <v>0</v>
      </c>
      <c r="D64" s="91">
        <f>SUM($C$63:D63)</f>
        <v>10297.380297297057</v>
      </c>
      <c r="E64" s="91">
        <f>SUM($C$63:E63)</f>
        <v>20352.984976423075</v>
      </c>
      <c r="F64" s="91">
        <f>SUM($C$63:F63)</f>
        <v>30015.233156657159</v>
      </c>
      <c r="G64" s="91">
        <f>SUM($C$63:G63)</f>
        <v>38642.438538953153</v>
      </c>
      <c r="H64" s="91">
        <f>SUM($C$63:H63)</f>
        <v>46003.558893950678</v>
      </c>
      <c r="I64" s="91">
        <f>SUM($C$63:I63)</f>
        <v>52564.950777361613</v>
      </c>
      <c r="J64" s="91">
        <f>SUM($C$63:J63)</f>
        <v>58689.104783230345</v>
      </c>
      <c r="K64" s="91">
        <f>SUM($C$63:K63)</f>
        <v>64509.393169862145</v>
      </c>
      <c r="L64" s="140">
        <f>SUM($C$63:L63)</f>
        <v>70107.081659070129</v>
      </c>
      <c r="M64" s="91">
        <f>SUM($C$63:M63)</f>
        <v>75508.688960071988</v>
      </c>
      <c r="N64" s="92">
        <f>SUM($C$63:N63)</f>
        <v>80797.122676639032</v>
      </c>
      <c r="O64" s="91">
        <f>SUM($C$63:O63)</f>
        <v>86032.28563934144</v>
      </c>
      <c r="P64" s="91">
        <f>SUM($C$63:P63)</f>
        <v>91252.571000127908</v>
      </c>
      <c r="Q64" s="91">
        <f>SUM($C$63:Q63)</f>
        <v>96482.432967987595</v>
      </c>
      <c r="R64" s="91">
        <f>SUM($C$63:R63)</f>
        <v>101737.02244747737</v>
      </c>
      <c r="S64" s="91">
        <f>SUM($C$63:S63)</f>
        <v>107025.30253380978</v>
      </c>
      <c r="T64" s="91">
        <f>SUM($C$63:T63)</f>
        <v>112352.16329892749</v>
      </c>
      <c r="U64" s="91">
        <f>SUM($C$63:U63)</f>
        <v>117719.85327605906</v>
      </c>
      <c r="V64" s="91">
        <f>SUM($C$63:V63)</f>
        <v>123128.94007290943</v>
      </c>
    </row>
    <row r="65" spans="1:23" s="64" customFormat="1" x14ac:dyDescent="0.25">
      <c r="A65" s="82"/>
      <c r="B65" s="153" t="s">
        <v>305</v>
      </c>
      <c r="C65" s="90">
        <f t="shared" ref="C65:V65" si="9">C47+C54+C63</f>
        <v>0</v>
      </c>
      <c r="D65" s="91">
        <f t="shared" si="9"/>
        <v>12099.033859094488</v>
      </c>
      <c r="E65" s="91">
        <f t="shared" si="9"/>
        <v>11754.661254255823</v>
      </c>
      <c r="F65" s="91">
        <f t="shared" si="9"/>
        <v>11257.246579269784</v>
      </c>
      <c r="G65" s="91">
        <f t="shared" si="9"/>
        <v>10131.685992732489</v>
      </c>
      <c r="H65" s="91">
        <f t="shared" si="9"/>
        <v>8775.4486628803061</v>
      </c>
      <c r="I65" s="91">
        <f t="shared" si="9"/>
        <v>7892.0140194957048</v>
      </c>
      <c r="J65" s="91">
        <f t="shared" si="9"/>
        <v>7388.8048474132429</v>
      </c>
      <c r="K65" s="91">
        <f t="shared" si="9"/>
        <v>7036.6565169830719</v>
      </c>
      <c r="L65" s="140">
        <f t="shared" si="9"/>
        <v>6780.7672289614493</v>
      </c>
      <c r="M65" s="91">
        <f t="shared" si="9"/>
        <v>6559.2250760157785</v>
      </c>
      <c r="N65" s="92">
        <f t="shared" si="9"/>
        <v>6431.8105148868126</v>
      </c>
      <c r="O65" s="91">
        <f t="shared" si="9"/>
        <v>6371.6778944000853</v>
      </c>
      <c r="P65" s="91">
        <f t="shared" si="9"/>
        <v>6354.8624195922966</v>
      </c>
      <c r="Q65" s="91">
        <f t="shared" si="9"/>
        <v>6365.7985424711997</v>
      </c>
      <c r="R65" s="91">
        <f t="shared" si="9"/>
        <v>6394.0867766776328</v>
      </c>
      <c r="S65" s="91">
        <f t="shared" si="9"/>
        <v>6432.7960243686084</v>
      </c>
      <c r="T65" s="91">
        <f t="shared" si="9"/>
        <v>6477.3489658171065</v>
      </c>
      <c r="U65" s="91">
        <f t="shared" si="9"/>
        <v>6524.7626024195943</v>
      </c>
      <c r="V65" s="91">
        <f t="shared" si="9"/>
        <v>6573.1255224713404</v>
      </c>
    </row>
    <row r="66" spans="1:23" x14ac:dyDescent="0.25">
      <c r="A66" s="82"/>
      <c r="B66" s="153" t="s">
        <v>306</v>
      </c>
      <c r="C66" s="90">
        <f>SUM($C$65:C65)</f>
        <v>0</v>
      </c>
      <c r="D66" s="91">
        <f>SUM($C$65:D65)</f>
        <v>12099.033859094488</v>
      </c>
      <c r="E66" s="91">
        <f>SUM($C$65:E65)</f>
        <v>23853.69511335031</v>
      </c>
      <c r="F66" s="91">
        <f>SUM($C$65:F65)</f>
        <v>35110.941692620094</v>
      </c>
      <c r="G66" s="91">
        <f>SUM($C$65:G65)</f>
        <v>45242.627685352585</v>
      </c>
      <c r="H66" s="91">
        <f>SUM($C$65:H65)</f>
        <v>54018.076348232891</v>
      </c>
      <c r="I66" s="91">
        <f>SUM($C$65:I65)</f>
        <v>61910.090367728597</v>
      </c>
      <c r="J66" s="91">
        <f>SUM($C$65:J65)</f>
        <v>69298.895215141834</v>
      </c>
      <c r="K66" s="91">
        <f>SUM($C$65:K65)</f>
        <v>76335.551732124906</v>
      </c>
      <c r="L66" s="140">
        <f>SUM($C$65:L65)</f>
        <v>83116.318961086363</v>
      </c>
      <c r="M66" s="91">
        <f>SUM($C$65:M65)</f>
        <v>89675.54403710214</v>
      </c>
      <c r="N66" s="92">
        <f>SUM($C$65:N65)</f>
        <v>96107.354551988945</v>
      </c>
      <c r="O66" s="91">
        <f>SUM($C$65:O65)</f>
        <v>102479.03244638903</v>
      </c>
      <c r="P66" s="91">
        <f>SUM($C$65:P65)</f>
        <v>108833.89486598133</v>
      </c>
      <c r="Q66" s="91">
        <f>SUM($C$65:Q65)</f>
        <v>115199.69340845253</v>
      </c>
      <c r="R66" s="91">
        <f>SUM($C$65:R65)</f>
        <v>121593.78018513016</v>
      </c>
      <c r="S66" s="91">
        <f>SUM($C$65:S65)</f>
        <v>128026.57620949877</v>
      </c>
      <c r="T66" s="91">
        <f>SUM($C$65:T65)</f>
        <v>134503.92517531588</v>
      </c>
      <c r="U66" s="91">
        <f>SUM($C$65:U65)</f>
        <v>141028.68777773547</v>
      </c>
      <c r="V66" s="91">
        <f>SUM($C$65:V65)</f>
        <v>147601.81330020682</v>
      </c>
    </row>
    <row r="67" spans="1:23" x14ac:dyDescent="0.25">
      <c r="A67" s="112"/>
      <c r="B67" s="154" t="s">
        <v>307</v>
      </c>
      <c r="C67" s="155"/>
      <c r="D67" s="156"/>
      <c r="E67" s="156"/>
      <c r="F67" s="156"/>
      <c r="G67" s="156"/>
      <c r="H67" s="156"/>
      <c r="I67" s="100">
        <f>SUM($I$65:I65)</f>
        <v>7892.0140194957048</v>
      </c>
      <c r="J67" s="100">
        <f>SUM($I$65:J65)</f>
        <v>15280.818866908947</v>
      </c>
      <c r="K67" s="100">
        <f>SUM($I$65:K65)</f>
        <v>22317.475383892019</v>
      </c>
      <c r="L67" s="142">
        <f>SUM($I$65:L65)</f>
        <v>29098.242612853468</v>
      </c>
      <c r="M67" s="100">
        <f>SUM($I$65:M65)</f>
        <v>35657.467688869248</v>
      </c>
      <c r="N67" s="101">
        <f>SUM($I$65:N65)</f>
        <v>42089.278203756061</v>
      </c>
      <c r="O67" s="100">
        <f>SUM($I$65:O65)</f>
        <v>48460.956098156144</v>
      </c>
      <c r="P67" s="100">
        <f>SUM($I$65:P65)</f>
        <v>54815.818517748441</v>
      </c>
      <c r="Q67" s="100">
        <f>SUM($I$65:Q65)</f>
        <v>61181.617060219643</v>
      </c>
      <c r="R67" s="100">
        <f>SUM($I$65:R65)</f>
        <v>67575.703836897272</v>
      </c>
      <c r="S67" s="100">
        <f>SUM($I$65:S65)</f>
        <v>74008.499861265882</v>
      </c>
      <c r="T67" s="100">
        <f>SUM($I$65:T65)</f>
        <v>80485.848827082984</v>
      </c>
      <c r="U67" s="100">
        <f>SUM($I$65:U65)</f>
        <v>87010.611429502576</v>
      </c>
      <c r="V67" s="100">
        <f>SUM($I$65:V65)</f>
        <v>93583.736951973915</v>
      </c>
      <c r="W67" s="116"/>
    </row>
    <row r="68" spans="1:23" s="88" customFormat="1" x14ac:dyDescent="0.25">
      <c r="C68" s="157"/>
      <c r="D68" s="157"/>
      <c r="E68" s="157"/>
      <c r="F68" s="157"/>
      <c r="G68" s="157"/>
      <c r="H68" s="157"/>
      <c r="I68" s="176"/>
      <c r="L68" s="139"/>
      <c r="T68" s="64"/>
      <c r="U68" s="64"/>
      <c r="V68" s="64"/>
      <c r="W68" s="64"/>
    </row>
    <row r="69" spans="1:23" x14ac:dyDescent="0.25">
      <c r="C69" s="158"/>
      <c r="D69" s="158"/>
      <c r="E69" s="158"/>
      <c r="F69" s="158"/>
      <c r="G69" s="158"/>
      <c r="H69" s="210"/>
    </row>
    <row r="70" spans="1:23" x14ac:dyDescent="0.25">
      <c r="C70" s="159"/>
      <c r="D70" s="160"/>
      <c r="E70" s="305"/>
      <c r="F70" s="305"/>
      <c r="G70" s="305"/>
      <c r="H70" s="176"/>
    </row>
    <row r="71" spans="1:23" x14ac:dyDescent="0.25">
      <c r="C71" s="159"/>
      <c r="D71" s="160"/>
      <c r="E71" s="305"/>
      <c r="F71" s="305"/>
      <c r="G71" s="305"/>
      <c r="H71" s="176"/>
    </row>
    <row r="72" spans="1:23" x14ac:dyDescent="0.25">
      <c r="A72" s="13"/>
      <c r="B72" s="13"/>
      <c r="C72" s="28"/>
      <c r="D72" s="28"/>
      <c r="E72" s="28"/>
      <c r="F72" s="28"/>
      <c r="G72" s="28"/>
      <c r="H72" s="211"/>
    </row>
    <row r="73" spans="1:23" x14ac:dyDescent="0.25">
      <c r="A73" s="13"/>
      <c r="B73" s="13"/>
      <c r="C73" s="27"/>
      <c r="D73" s="27"/>
      <c r="E73" s="27"/>
      <c r="F73" s="27"/>
      <c r="G73" s="27"/>
      <c r="H73" s="202"/>
    </row>
    <row r="74" spans="1:23" x14ac:dyDescent="0.25">
      <c r="A74" s="13"/>
      <c r="B74" s="13"/>
      <c r="C74" s="24"/>
      <c r="D74" s="24"/>
      <c r="E74" s="24"/>
      <c r="F74" s="24"/>
      <c r="G74" s="24"/>
      <c r="H74" s="306"/>
    </row>
    <row r="75" spans="1:23" x14ac:dyDescent="0.25">
      <c r="A75" s="13"/>
      <c r="B75" s="13"/>
      <c r="C75" s="24"/>
      <c r="D75" s="24"/>
      <c r="E75" s="24"/>
      <c r="F75" s="24"/>
      <c r="G75" s="24"/>
      <c r="H75" s="306"/>
    </row>
    <row r="76" spans="1:23" x14ac:dyDescent="0.25">
      <c r="A76" s="161"/>
      <c r="B76" s="161"/>
      <c r="C76" s="162"/>
      <c r="D76" s="24"/>
      <c r="E76" s="24"/>
      <c r="F76" s="24"/>
      <c r="G76" s="24"/>
      <c r="H76" s="306"/>
    </row>
    <row r="77" spans="1:23" x14ac:dyDescent="0.25">
      <c r="A77" s="13"/>
      <c r="B77" s="13"/>
      <c r="C77" s="24"/>
      <c r="D77" s="24"/>
      <c r="E77" s="24"/>
      <c r="F77" s="24"/>
      <c r="G77" s="24"/>
      <c r="H77" s="306"/>
    </row>
    <row r="78" spans="1:23" x14ac:dyDescent="0.25">
      <c r="A78" s="13"/>
      <c r="B78" s="13"/>
      <c r="C78" s="24"/>
      <c r="D78" s="13"/>
      <c r="E78" s="13"/>
      <c r="F78" s="13"/>
      <c r="G78" s="13"/>
      <c r="H78" s="63"/>
    </row>
    <row r="79" spans="1:23" x14ac:dyDescent="0.25">
      <c r="A79" s="13"/>
      <c r="B79" s="13"/>
      <c r="C79" s="24"/>
      <c r="D79" s="13"/>
      <c r="E79" s="13"/>
      <c r="F79" s="13"/>
      <c r="G79" s="13"/>
      <c r="H79" s="63"/>
    </row>
  </sheetData>
  <mergeCells count="2">
    <mergeCell ref="C3:H3"/>
    <mergeCell ref="M3:V3"/>
  </mergeCells>
  <printOptions horizontalCentered="1"/>
  <pageMargins left="0.5" right="0.5" top="0.75" bottom="0.75" header="0.3" footer="0.3"/>
  <pageSetup scale="8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X79"/>
  <sheetViews>
    <sheetView zoomScaleNormal="100" workbookViewId="0">
      <pane xSplit="2" ySplit="5" topLeftCell="C7" activePane="bottomRight" state="frozen"/>
      <selection activeCell="E71" sqref="E71"/>
      <selection pane="topRight" activeCell="E71" sqref="E71"/>
      <selection pane="bottomLeft" activeCell="E71" sqref="E71"/>
      <selection pane="bottomRight" activeCell="E71" sqref="E71"/>
    </sheetView>
  </sheetViews>
  <sheetFormatPr defaultColWidth="9.140625" defaultRowHeight="15" x14ac:dyDescent="0.25"/>
  <cols>
    <col min="1" max="1" width="2.85546875" style="127" customWidth="1"/>
    <col min="2" max="2" width="23.42578125" style="127" customWidth="1"/>
    <col min="3" max="3" width="9.140625" style="305" customWidth="1"/>
    <col min="4" max="5" width="9.140625" style="127" customWidth="1"/>
    <col min="6" max="7" width="9.140625" style="127"/>
    <col min="8" max="8" width="9.140625" style="64"/>
    <col min="9" max="9" width="12.28515625" style="176" customWidth="1"/>
    <col min="10" max="11" width="9.140625" style="127"/>
    <col min="12" max="12" width="12.85546875" style="191" customWidth="1"/>
    <col min="13" max="14" width="9.140625" style="64"/>
    <col min="15" max="17" width="9.140625" style="127"/>
    <col min="18" max="19" width="9.140625" style="64"/>
    <col min="20" max="16384" width="9.140625" style="127"/>
  </cols>
  <sheetData>
    <row r="1" spans="1:24" s="5" customFormat="1" x14ac:dyDescent="0.25">
      <c r="A1" s="74" t="s">
        <v>288</v>
      </c>
      <c r="B1" s="143"/>
      <c r="C1" s="76"/>
      <c r="D1" s="75"/>
      <c r="E1" s="75"/>
      <c r="F1" s="75"/>
      <c r="G1" s="75"/>
      <c r="H1" s="75"/>
      <c r="I1" s="144"/>
      <c r="J1" s="75"/>
      <c r="K1" s="75"/>
      <c r="L1" s="206"/>
      <c r="M1" s="75"/>
      <c r="N1" s="75"/>
      <c r="O1" s="75"/>
      <c r="P1" s="75"/>
      <c r="Q1" s="75"/>
      <c r="R1" s="77"/>
      <c r="S1" s="77"/>
    </row>
    <row r="2" spans="1:24" s="5" customFormat="1" x14ac:dyDescent="0.25">
      <c r="A2" s="145"/>
      <c r="B2" s="146"/>
      <c r="C2" s="144"/>
      <c r="D2" s="77"/>
      <c r="E2" s="77"/>
      <c r="F2" s="77"/>
      <c r="G2" s="77"/>
      <c r="H2" s="77"/>
      <c r="I2" s="144"/>
      <c r="J2" s="77"/>
      <c r="K2" s="77"/>
      <c r="L2" s="207"/>
      <c r="M2" s="77"/>
      <c r="N2" s="77"/>
      <c r="O2" s="77"/>
      <c r="P2" s="77"/>
      <c r="Q2" s="77"/>
      <c r="R2" s="77"/>
      <c r="S2" s="77"/>
    </row>
    <row r="3" spans="1:24" s="13" customFormat="1" x14ac:dyDescent="0.25">
      <c r="A3" s="78"/>
      <c r="B3" s="123"/>
      <c r="C3" s="352" t="s">
        <v>105</v>
      </c>
      <c r="D3" s="354"/>
      <c r="E3" s="354"/>
      <c r="F3" s="354"/>
      <c r="G3" s="354"/>
      <c r="H3" s="354"/>
      <c r="I3" s="306"/>
      <c r="J3" s="306"/>
      <c r="K3" s="306"/>
      <c r="L3" s="133" t="s">
        <v>21</v>
      </c>
      <c r="M3" s="352" t="s">
        <v>106</v>
      </c>
      <c r="N3" s="355"/>
      <c r="O3" s="355"/>
      <c r="P3" s="355"/>
      <c r="Q3" s="355"/>
      <c r="R3" s="355"/>
      <c r="S3" s="355"/>
      <c r="T3" s="355"/>
      <c r="U3" s="355"/>
      <c r="V3" s="355"/>
    </row>
    <row r="4" spans="1:24" s="13" customFormat="1" x14ac:dyDescent="0.25">
      <c r="A4" s="78"/>
      <c r="B4" s="123"/>
      <c r="C4" s="79">
        <v>2004</v>
      </c>
      <c r="D4" s="80">
        <v>2005</v>
      </c>
      <c r="E4" s="80">
        <v>2006</v>
      </c>
      <c r="F4" s="80">
        <v>2007</v>
      </c>
      <c r="G4" s="80">
        <v>2008</v>
      </c>
      <c r="H4" s="80">
        <v>2009</v>
      </c>
      <c r="I4" s="80">
        <v>2010</v>
      </c>
      <c r="J4" s="80">
        <v>2011</v>
      </c>
      <c r="K4" s="80">
        <v>2012</v>
      </c>
      <c r="L4" s="136">
        <v>2013</v>
      </c>
      <c r="M4" s="80">
        <v>2014</v>
      </c>
      <c r="N4" s="81">
        <v>2015</v>
      </c>
      <c r="O4" s="80">
        <v>2016</v>
      </c>
      <c r="P4" s="80">
        <v>2017</v>
      </c>
      <c r="Q4" s="80">
        <v>2018</v>
      </c>
      <c r="R4" s="80">
        <v>2019</v>
      </c>
      <c r="S4" s="80">
        <v>2020</v>
      </c>
      <c r="T4" s="80">
        <v>2021</v>
      </c>
      <c r="U4" s="80">
        <v>2022</v>
      </c>
      <c r="V4" s="80">
        <v>2023</v>
      </c>
    </row>
    <row r="5" spans="1:24" x14ac:dyDescent="0.25">
      <c r="A5" s="82"/>
      <c r="B5" s="64"/>
      <c r="C5" s="83" t="s">
        <v>107</v>
      </c>
      <c r="D5" s="84" t="s">
        <v>108</v>
      </c>
      <c r="E5" s="84" t="s">
        <v>109</v>
      </c>
      <c r="F5" s="84" t="s">
        <v>110</v>
      </c>
      <c r="G5" s="84" t="s">
        <v>111</v>
      </c>
      <c r="H5" s="84" t="s">
        <v>112</v>
      </c>
      <c r="I5" s="84" t="s">
        <v>113</v>
      </c>
      <c r="J5" s="84" t="s">
        <v>114</v>
      </c>
      <c r="K5" s="84" t="s">
        <v>115</v>
      </c>
      <c r="L5" s="138" t="s">
        <v>116</v>
      </c>
      <c r="M5" s="84" t="s">
        <v>117</v>
      </c>
      <c r="N5" s="85" t="s">
        <v>118</v>
      </c>
      <c r="O5" s="84" t="s">
        <v>119</v>
      </c>
      <c r="P5" s="84" t="s">
        <v>120</v>
      </c>
      <c r="Q5" s="84" t="s">
        <v>121</v>
      </c>
      <c r="R5" s="84" t="s">
        <v>122</v>
      </c>
      <c r="S5" s="84" t="s">
        <v>123</v>
      </c>
      <c r="T5" s="84" t="s">
        <v>450</v>
      </c>
      <c r="U5" s="84" t="s">
        <v>451</v>
      </c>
      <c r="V5" s="84" t="s">
        <v>452</v>
      </c>
    </row>
    <row r="6" spans="1:24" x14ac:dyDescent="0.25">
      <c r="A6" s="86" t="s">
        <v>289</v>
      </c>
      <c r="B6" s="64"/>
      <c r="C6" s="212">
        <f>'SCF (name) Summary Measures'!C6-'SCF (cell) Summary Measures'!C6</f>
        <v>0</v>
      </c>
      <c r="D6" s="212">
        <f>'SCF (name) Summary Measures'!D6-'SCF (cell) Summary Measures'!D6</f>
        <v>0</v>
      </c>
      <c r="E6" s="212">
        <f>'SCF (name) Summary Measures'!E6-'SCF (cell) Summary Measures'!E6</f>
        <v>0</v>
      </c>
      <c r="F6" s="212">
        <f>'SCF (name) Summary Measures'!F6-'SCF (cell) Summary Measures'!F6</f>
        <v>0</v>
      </c>
      <c r="G6" s="212">
        <f>'SCF (name) Summary Measures'!G6-'SCF (cell) Summary Measures'!G6</f>
        <v>0</v>
      </c>
      <c r="H6" s="212">
        <f>'SCF (name) Summary Measures'!H6-'SCF (cell) Summary Measures'!H6</f>
        <v>0</v>
      </c>
      <c r="I6" s="212">
        <f>'SCF (name) Summary Measures'!I6-'SCF (cell) Summary Measures'!I6</f>
        <v>0</v>
      </c>
      <c r="J6" s="212">
        <f>'SCF (name) Summary Measures'!J6-'SCF (cell) Summary Measures'!J6</f>
        <v>0</v>
      </c>
      <c r="K6" s="212">
        <f>'SCF (name) Summary Measures'!K6-'SCF (cell) Summary Measures'!K6</f>
        <v>0</v>
      </c>
      <c r="L6" s="307">
        <f>'SCF (name) Summary Measures'!L6-'SCF (cell) Summary Measures'!L6</f>
        <v>-64.238711735626566</v>
      </c>
      <c r="M6" s="212">
        <f>'SCF (name) Summary Measures'!M6-'SCF (cell) Summary Measures'!M6</f>
        <v>-113.1427108936914</v>
      </c>
      <c r="N6" s="212">
        <f>'SCF (name) Summary Measures'!N6-'SCF (cell) Summary Measures'!N6</f>
        <v>-158.06522272159054</v>
      </c>
      <c r="O6" s="212">
        <f>'SCF (name) Summary Measures'!O6-'SCF (cell) Summary Measures'!O6</f>
        <v>-200.38089779084839</v>
      </c>
      <c r="P6" s="212">
        <f>'SCF (name) Summary Measures'!P6-'SCF (cell) Summary Measures'!P6</f>
        <v>-240.71508333171369</v>
      </c>
      <c r="Q6" s="212">
        <f>'SCF (name) Summary Measures'!Q6-'SCF (cell) Summary Measures'!Q6</f>
        <v>-279.40983731967572</v>
      </c>
      <c r="R6" s="212">
        <f>'SCF (name) Summary Measures'!R6-'SCF (cell) Summary Measures'!R6</f>
        <v>-316.68494867546542</v>
      </c>
      <c r="S6" s="212">
        <f>'SCF (name) Summary Measures'!S6-'SCF (cell) Summary Measures'!S6</f>
        <v>-352.68919664323039</v>
      </c>
      <c r="T6" s="212">
        <f>'SCF (name) Summary Measures'!T6-'SCF (cell) Summary Measures'!T6</f>
        <v>-387.52512652140285</v>
      </c>
      <c r="U6" s="212">
        <f>'SCF (name) Summary Measures'!U6-'SCF (cell) Summary Measures'!U6</f>
        <v>-421.2642255192186</v>
      </c>
      <c r="V6" s="212">
        <f>'SCF (name) Summary Measures'!V6-'SCF (cell) Summary Measures'!V6</f>
        <v>-453.95723142320639</v>
      </c>
      <c r="W6" s="116"/>
    </row>
    <row r="7" spans="1:24" s="88" customFormat="1" x14ac:dyDescent="0.25">
      <c r="A7" s="150" t="s">
        <v>290</v>
      </c>
      <c r="C7" s="90"/>
      <c r="D7" s="91"/>
      <c r="E7" s="91"/>
      <c r="F7" s="91"/>
      <c r="G7" s="91"/>
      <c r="H7" s="91"/>
      <c r="I7" s="91"/>
      <c r="J7" s="91"/>
      <c r="K7" s="91"/>
      <c r="L7" s="140"/>
      <c r="M7" s="91"/>
      <c r="N7" s="92"/>
      <c r="O7" s="91"/>
      <c r="P7" s="91"/>
      <c r="Q7" s="91"/>
      <c r="R7" s="91"/>
      <c r="S7" s="91"/>
      <c r="T7" s="91"/>
      <c r="U7" s="91"/>
      <c r="V7" s="91"/>
      <c r="W7" s="64"/>
    </row>
    <row r="8" spans="1:24" s="64" customFormat="1" x14ac:dyDescent="0.25">
      <c r="A8" s="86"/>
      <c r="B8" s="64" t="s">
        <v>313</v>
      </c>
      <c r="C8" s="91">
        <f>'SCF (name) Summary Measures'!C8-'SCF (cell) Summary Measures'!C8</f>
        <v>0</v>
      </c>
      <c r="D8" s="91">
        <f>'SCF (name) Summary Measures'!D8-'SCF (cell) Summary Measures'!D8</f>
        <v>0</v>
      </c>
      <c r="E8" s="91">
        <f>'SCF (name) Summary Measures'!E8-'SCF (cell) Summary Measures'!E8</f>
        <v>0</v>
      </c>
      <c r="F8" s="91">
        <f>'SCF (name) Summary Measures'!F8-'SCF (cell) Summary Measures'!F8</f>
        <v>0</v>
      </c>
      <c r="G8" s="91">
        <f>'SCF (name) Summary Measures'!G8-'SCF (cell) Summary Measures'!G8</f>
        <v>0</v>
      </c>
      <c r="H8" s="91">
        <f>'SCF (name) Summary Measures'!H8-'SCF (cell) Summary Measures'!H8</f>
        <v>0</v>
      </c>
      <c r="I8" s="91">
        <f>'SCF (name) Summary Measures'!I8-'SCF (cell) Summary Measures'!I8</f>
        <v>0</v>
      </c>
      <c r="J8" s="91">
        <f>'SCF (name) Summary Measures'!J8-'SCF (cell) Summary Measures'!J8</f>
        <v>0</v>
      </c>
      <c r="K8" s="91">
        <f>'SCF (name) Summary Measures'!K8-'SCF (cell) Summary Measures'!K8</f>
        <v>0</v>
      </c>
      <c r="L8" s="140">
        <f>'SCF (name) Summary Measures'!L8-'SCF (cell) Summary Measures'!L8</f>
        <v>0</v>
      </c>
      <c r="M8" s="91">
        <f>'SCF (name) Summary Measures'!M8-'SCF (cell) Summary Measures'!M8</f>
        <v>0</v>
      </c>
      <c r="N8" s="91">
        <f>'SCF (name) Summary Measures'!N8-'SCF (cell) Summary Measures'!N8</f>
        <v>0</v>
      </c>
      <c r="O8" s="91">
        <f>'SCF (name) Summary Measures'!O8-'SCF (cell) Summary Measures'!O8</f>
        <v>0</v>
      </c>
      <c r="P8" s="91">
        <f>'SCF (name) Summary Measures'!P8-'SCF (cell) Summary Measures'!P8</f>
        <v>0</v>
      </c>
      <c r="Q8" s="91">
        <f>'SCF (name) Summary Measures'!Q8-'SCF (cell) Summary Measures'!Q8</f>
        <v>0</v>
      </c>
      <c r="R8" s="91">
        <f>'SCF (name) Summary Measures'!R8-'SCF (cell) Summary Measures'!R8</f>
        <v>0</v>
      </c>
      <c r="S8" s="91">
        <f>'SCF (name) Summary Measures'!S8-'SCF (cell) Summary Measures'!S8</f>
        <v>0</v>
      </c>
      <c r="T8" s="91">
        <f>'SCF (name) Summary Measures'!T8-'SCF (cell) Summary Measures'!T8</f>
        <v>0</v>
      </c>
      <c r="U8" s="91">
        <f>'SCF (name) Summary Measures'!U8-'SCF (cell) Summary Measures'!U8</f>
        <v>0</v>
      </c>
      <c r="V8" s="91">
        <f>'SCF (name) Summary Measures'!V8-'SCF (cell) Summary Measures'!V8</f>
        <v>0</v>
      </c>
    </row>
    <row r="9" spans="1:24" s="64" customFormat="1" x14ac:dyDescent="0.25">
      <c r="A9" s="86"/>
      <c r="B9" s="64" t="s">
        <v>314</v>
      </c>
      <c r="C9" s="91">
        <f>'SCF (name) Summary Measures'!C9-'SCF (cell) Summary Measures'!C9</f>
        <v>0</v>
      </c>
      <c r="D9" s="91">
        <f>'SCF (name) Summary Measures'!D9-'SCF (cell) Summary Measures'!D9</f>
        <v>0</v>
      </c>
      <c r="E9" s="91">
        <f>'SCF (name) Summary Measures'!E9-'SCF (cell) Summary Measures'!E9</f>
        <v>0</v>
      </c>
      <c r="F9" s="91">
        <f>'SCF (name) Summary Measures'!F9-'SCF (cell) Summary Measures'!F9</f>
        <v>0</v>
      </c>
      <c r="G9" s="91">
        <f>'SCF (name) Summary Measures'!G9-'SCF (cell) Summary Measures'!G9</f>
        <v>0</v>
      </c>
      <c r="H9" s="91">
        <f>'SCF (name) Summary Measures'!H9-'SCF (cell) Summary Measures'!H9</f>
        <v>0</v>
      </c>
      <c r="I9" s="91">
        <f>'SCF (name) Summary Measures'!I9-'SCF (cell) Summary Measures'!I9</f>
        <v>0</v>
      </c>
      <c r="J9" s="91">
        <f>'SCF (name) Summary Measures'!J9-'SCF (cell) Summary Measures'!J9</f>
        <v>0</v>
      </c>
      <c r="K9" s="91">
        <f>'SCF (name) Summary Measures'!K9-'SCF (cell) Summary Measures'!K9</f>
        <v>0</v>
      </c>
      <c r="L9" s="140">
        <f>'SCF (name) Summary Measures'!L9-'SCF (cell) Summary Measures'!L9</f>
        <v>0</v>
      </c>
      <c r="M9" s="91">
        <f>'SCF (name) Summary Measures'!M9-'SCF (cell) Summary Measures'!M9</f>
        <v>0</v>
      </c>
      <c r="N9" s="91">
        <f>'SCF (name) Summary Measures'!N9-'SCF (cell) Summary Measures'!N9</f>
        <v>0</v>
      </c>
      <c r="O9" s="91">
        <f>'SCF (name) Summary Measures'!O9-'SCF (cell) Summary Measures'!O9</f>
        <v>0</v>
      </c>
      <c r="P9" s="91">
        <f>'SCF (name) Summary Measures'!P9-'SCF (cell) Summary Measures'!P9</f>
        <v>0</v>
      </c>
      <c r="Q9" s="91">
        <f>'SCF (name) Summary Measures'!Q9-'SCF (cell) Summary Measures'!Q9</f>
        <v>0</v>
      </c>
      <c r="R9" s="91">
        <f>'SCF (name) Summary Measures'!R9-'SCF (cell) Summary Measures'!R9</f>
        <v>0</v>
      </c>
      <c r="S9" s="91">
        <f>'SCF (name) Summary Measures'!S9-'SCF (cell) Summary Measures'!S9</f>
        <v>0</v>
      </c>
      <c r="T9" s="91">
        <f>'SCF (name) Summary Measures'!T9-'SCF (cell) Summary Measures'!T9</f>
        <v>0</v>
      </c>
      <c r="U9" s="91">
        <f>'SCF (name) Summary Measures'!U9-'SCF (cell) Summary Measures'!U9</f>
        <v>0</v>
      </c>
      <c r="V9" s="91">
        <f>'SCF (name) Summary Measures'!V9-'SCF (cell) Summary Measures'!V9</f>
        <v>0</v>
      </c>
    </row>
    <row r="10" spans="1:24" s="64" customFormat="1" x14ac:dyDescent="0.25">
      <c r="A10" s="86"/>
      <c r="B10" s="64" t="s">
        <v>315</v>
      </c>
      <c r="C10" s="91">
        <f>'SCF (name) Summary Measures'!C10-'SCF (cell) Summary Measures'!C10</f>
        <v>0</v>
      </c>
      <c r="D10" s="91">
        <f>'SCF (name) Summary Measures'!D10-'SCF (cell) Summary Measures'!D10</f>
        <v>0</v>
      </c>
      <c r="E10" s="91">
        <f>'SCF (name) Summary Measures'!E10-'SCF (cell) Summary Measures'!E10</f>
        <v>0</v>
      </c>
      <c r="F10" s="91">
        <f>'SCF (name) Summary Measures'!F10-'SCF (cell) Summary Measures'!F10</f>
        <v>0</v>
      </c>
      <c r="G10" s="91">
        <f>'SCF (name) Summary Measures'!G10-'SCF (cell) Summary Measures'!G10</f>
        <v>0</v>
      </c>
      <c r="H10" s="91">
        <f>'SCF (name) Summary Measures'!H10-'SCF (cell) Summary Measures'!H10</f>
        <v>0</v>
      </c>
      <c r="I10" s="91">
        <f>'SCF (name) Summary Measures'!I10-'SCF (cell) Summary Measures'!I10</f>
        <v>0</v>
      </c>
      <c r="J10" s="91">
        <f>'SCF (name) Summary Measures'!J10-'SCF (cell) Summary Measures'!J10</f>
        <v>0</v>
      </c>
      <c r="K10" s="91">
        <f>'SCF (name) Summary Measures'!K10-'SCF (cell) Summary Measures'!K10</f>
        <v>0</v>
      </c>
      <c r="L10" s="140">
        <f>'SCF (name) Summary Measures'!L10-'SCF (cell) Summary Measures'!L10</f>
        <v>0</v>
      </c>
      <c r="M10" s="91">
        <f>'SCF (name) Summary Measures'!M10-'SCF (cell) Summary Measures'!M10</f>
        <v>0</v>
      </c>
      <c r="N10" s="91">
        <f>'SCF (name) Summary Measures'!N10-'SCF (cell) Summary Measures'!N10</f>
        <v>0</v>
      </c>
      <c r="O10" s="91">
        <f>'SCF (name) Summary Measures'!O10-'SCF (cell) Summary Measures'!O10</f>
        <v>0</v>
      </c>
      <c r="P10" s="91">
        <f>'SCF (name) Summary Measures'!P10-'SCF (cell) Summary Measures'!P10</f>
        <v>0</v>
      </c>
      <c r="Q10" s="91">
        <f>'SCF (name) Summary Measures'!Q10-'SCF (cell) Summary Measures'!Q10</f>
        <v>0</v>
      </c>
      <c r="R10" s="91">
        <f>'SCF (name) Summary Measures'!R10-'SCF (cell) Summary Measures'!R10</f>
        <v>0</v>
      </c>
      <c r="S10" s="91">
        <f>'SCF (name) Summary Measures'!S10-'SCF (cell) Summary Measures'!S10</f>
        <v>0</v>
      </c>
      <c r="T10" s="91">
        <f>'SCF (name) Summary Measures'!T10-'SCF (cell) Summary Measures'!T10</f>
        <v>0</v>
      </c>
      <c r="U10" s="91">
        <f>'SCF (name) Summary Measures'!U10-'SCF (cell) Summary Measures'!U10</f>
        <v>0</v>
      </c>
      <c r="V10" s="91">
        <f>'SCF (name) Summary Measures'!V10-'SCF (cell) Summary Measures'!V10</f>
        <v>0</v>
      </c>
    </row>
    <row r="11" spans="1:24" s="116" customFormat="1" x14ac:dyDescent="0.25">
      <c r="A11" s="151"/>
      <c r="B11" s="152" t="s">
        <v>22</v>
      </c>
      <c r="C11" s="100">
        <f>'SCF (name) Summary Measures'!C11-'SCF (cell) Summary Measures'!C11</f>
        <v>0</v>
      </c>
      <c r="D11" s="100">
        <f>'SCF (name) Summary Measures'!D11-'SCF (cell) Summary Measures'!D11</f>
        <v>0</v>
      </c>
      <c r="E11" s="100">
        <f>'SCF (name) Summary Measures'!E11-'SCF (cell) Summary Measures'!E11</f>
        <v>0</v>
      </c>
      <c r="F11" s="100">
        <f>'SCF (name) Summary Measures'!F11-'SCF (cell) Summary Measures'!F11</f>
        <v>0</v>
      </c>
      <c r="G11" s="100">
        <f>'SCF (name) Summary Measures'!G11-'SCF (cell) Summary Measures'!G11</f>
        <v>0</v>
      </c>
      <c r="H11" s="100">
        <f>'SCF (name) Summary Measures'!H11-'SCF (cell) Summary Measures'!H11</f>
        <v>0</v>
      </c>
      <c r="I11" s="100">
        <f>'SCF (name) Summary Measures'!I11-'SCF (cell) Summary Measures'!I11</f>
        <v>0</v>
      </c>
      <c r="J11" s="100">
        <f>'SCF (name) Summary Measures'!J11-'SCF (cell) Summary Measures'!J11</f>
        <v>0</v>
      </c>
      <c r="K11" s="100">
        <f>'SCF (name) Summary Measures'!K11-'SCF (cell) Summary Measures'!K11</f>
        <v>0</v>
      </c>
      <c r="L11" s="142">
        <f>'SCF (name) Summary Measures'!L11-'SCF (cell) Summary Measures'!L11</f>
        <v>0</v>
      </c>
      <c r="M11" s="100">
        <f>'SCF (name) Summary Measures'!M11-'SCF (cell) Summary Measures'!M11</f>
        <v>0</v>
      </c>
      <c r="N11" s="100">
        <f>'SCF (name) Summary Measures'!N11-'SCF (cell) Summary Measures'!N11</f>
        <v>0</v>
      </c>
      <c r="O11" s="100">
        <f>'SCF (name) Summary Measures'!O11-'SCF (cell) Summary Measures'!O11</f>
        <v>0</v>
      </c>
      <c r="P11" s="100">
        <f>'SCF (name) Summary Measures'!P11-'SCF (cell) Summary Measures'!P11</f>
        <v>0</v>
      </c>
      <c r="Q11" s="100">
        <f>'SCF (name) Summary Measures'!Q11-'SCF (cell) Summary Measures'!Q11</f>
        <v>0</v>
      </c>
      <c r="R11" s="100">
        <f>'SCF (name) Summary Measures'!R11-'SCF (cell) Summary Measures'!R11</f>
        <v>0</v>
      </c>
      <c r="S11" s="100">
        <f>'SCF (name) Summary Measures'!S11-'SCF (cell) Summary Measures'!S11</f>
        <v>0</v>
      </c>
      <c r="T11" s="100">
        <f>'SCF (name) Summary Measures'!T11-'SCF (cell) Summary Measures'!T11</f>
        <v>0</v>
      </c>
      <c r="U11" s="100">
        <f>'SCF (name) Summary Measures'!U11-'SCF (cell) Summary Measures'!U11</f>
        <v>0</v>
      </c>
      <c r="V11" s="100">
        <f>'SCF (name) Summary Measures'!V11-'SCF (cell) Summary Measures'!V11</f>
        <v>0</v>
      </c>
    </row>
    <row r="12" spans="1:24" s="88" customFormat="1" x14ac:dyDescent="0.25">
      <c r="A12" s="150" t="s">
        <v>291</v>
      </c>
      <c r="C12" s="90"/>
      <c r="D12" s="91"/>
      <c r="E12" s="91"/>
      <c r="F12" s="91"/>
      <c r="G12" s="91"/>
      <c r="H12" s="91"/>
      <c r="I12" s="91"/>
      <c r="J12" s="91"/>
      <c r="K12" s="91"/>
      <c r="L12" s="140"/>
      <c r="M12" s="91"/>
      <c r="N12" s="92"/>
      <c r="O12" s="91"/>
      <c r="P12" s="91"/>
      <c r="Q12" s="91"/>
      <c r="R12" s="91"/>
      <c r="S12" s="91"/>
      <c r="T12" s="91"/>
      <c r="U12" s="91"/>
      <c r="V12" s="91"/>
      <c r="W12" s="64"/>
      <c r="X12" s="64"/>
    </row>
    <row r="13" spans="1:24" s="64" customFormat="1" x14ac:dyDescent="0.25">
      <c r="A13" s="86"/>
      <c r="B13" s="64" t="s">
        <v>313</v>
      </c>
      <c r="C13" s="91">
        <f>'SCF (name) Summary Measures'!C13-'SCF (cell) Summary Measures'!C13</f>
        <v>0</v>
      </c>
      <c r="D13" s="91">
        <f>'SCF (name) Summary Measures'!D13-'SCF (cell) Summary Measures'!D13</f>
        <v>0</v>
      </c>
      <c r="E13" s="91">
        <f>'SCF (name) Summary Measures'!E13-'SCF (cell) Summary Measures'!E13</f>
        <v>0</v>
      </c>
      <c r="F13" s="91">
        <f>'SCF (name) Summary Measures'!F13-'SCF (cell) Summary Measures'!F13</f>
        <v>0</v>
      </c>
      <c r="G13" s="91">
        <f>'SCF (name) Summary Measures'!G13-'SCF (cell) Summary Measures'!G13</f>
        <v>0</v>
      </c>
      <c r="H13" s="91">
        <f>'SCF (name) Summary Measures'!H13-'SCF (cell) Summary Measures'!H13</f>
        <v>0</v>
      </c>
      <c r="I13" s="91">
        <f>'SCF (name) Summary Measures'!I13-'SCF (cell) Summary Measures'!I13</f>
        <v>0</v>
      </c>
      <c r="J13" s="91">
        <f>'SCF (name) Summary Measures'!J13-'SCF (cell) Summary Measures'!J13</f>
        <v>0</v>
      </c>
      <c r="K13" s="91">
        <f>'SCF (name) Summary Measures'!K13-'SCF (cell) Summary Measures'!K13</f>
        <v>0</v>
      </c>
      <c r="L13" s="140">
        <f>'SCF (name) Summary Measures'!L13-'SCF (cell) Summary Measures'!L13</f>
        <v>0</v>
      </c>
      <c r="M13" s="91">
        <f>'SCF (name) Summary Measures'!M13-'SCF (cell) Summary Measures'!M13</f>
        <v>0</v>
      </c>
      <c r="N13" s="91">
        <f>'SCF (name) Summary Measures'!N13-'SCF (cell) Summary Measures'!N13</f>
        <v>0</v>
      </c>
      <c r="O13" s="91">
        <f>'SCF (name) Summary Measures'!O13-'SCF (cell) Summary Measures'!O13</f>
        <v>0</v>
      </c>
      <c r="P13" s="91">
        <f>'SCF (name) Summary Measures'!P13-'SCF (cell) Summary Measures'!P13</f>
        <v>0</v>
      </c>
      <c r="Q13" s="91">
        <f>'SCF (name) Summary Measures'!Q13-'SCF (cell) Summary Measures'!Q13</f>
        <v>0</v>
      </c>
      <c r="R13" s="91">
        <f>'SCF (name) Summary Measures'!R13-'SCF (cell) Summary Measures'!R13</f>
        <v>0</v>
      </c>
      <c r="S13" s="91">
        <f>'SCF (name) Summary Measures'!S13-'SCF (cell) Summary Measures'!S13</f>
        <v>0</v>
      </c>
      <c r="T13" s="91">
        <f>'SCF (name) Summary Measures'!T13-'SCF (cell) Summary Measures'!T13</f>
        <v>0</v>
      </c>
      <c r="U13" s="91">
        <f>'SCF (name) Summary Measures'!U13-'SCF (cell) Summary Measures'!U13</f>
        <v>0</v>
      </c>
      <c r="V13" s="91">
        <f>'SCF (name) Summary Measures'!V13-'SCF (cell) Summary Measures'!V13</f>
        <v>0</v>
      </c>
    </row>
    <row r="14" spans="1:24" s="64" customFormat="1" x14ac:dyDescent="0.25">
      <c r="A14" s="86"/>
      <c r="B14" s="64" t="s">
        <v>314</v>
      </c>
      <c r="C14" s="91">
        <f>'SCF (name) Summary Measures'!C14-'SCF (cell) Summary Measures'!C14</f>
        <v>0</v>
      </c>
      <c r="D14" s="91">
        <f>'SCF (name) Summary Measures'!D14-'SCF (cell) Summary Measures'!D14</f>
        <v>0</v>
      </c>
      <c r="E14" s="91">
        <f>'SCF (name) Summary Measures'!E14-'SCF (cell) Summary Measures'!E14</f>
        <v>0</v>
      </c>
      <c r="F14" s="91">
        <f>'SCF (name) Summary Measures'!F14-'SCF (cell) Summary Measures'!F14</f>
        <v>0</v>
      </c>
      <c r="G14" s="91">
        <f>'SCF (name) Summary Measures'!G14-'SCF (cell) Summary Measures'!G14</f>
        <v>0</v>
      </c>
      <c r="H14" s="91">
        <f>'SCF (name) Summary Measures'!H14-'SCF (cell) Summary Measures'!H14</f>
        <v>0</v>
      </c>
      <c r="I14" s="91">
        <f>'SCF (name) Summary Measures'!I14-'SCF (cell) Summary Measures'!I14</f>
        <v>0</v>
      </c>
      <c r="J14" s="91">
        <f>'SCF (name) Summary Measures'!J14-'SCF (cell) Summary Measures'!J14</f>
        <v>0</v>
      </c>
      <c r="K14" s="91">
        <f>'SCF (name) Summary Measures'!K14-'SCF (cell) Summary Measures'!K14</f>
        <v>0</v>
      </c>
      <c r="L14" s="140">
        <f>'SCF (name) Summary Measures'!L14-'SCF (cell) Summary Measures'!L14</f>
        <v>0</v>
      </c>
      <c r="M14" s="91">
        <f>'SCF (name) Summary Measures'!M14-'SCF (cell) Summary Measures'!M14</f>
        <v>0</v>
      </c>
      <c r="N14" s="91">
        <f>'SCF (name) Summary Measures'!N14-'SCF (cell) Summary Measures'!N14</f>
        <v>0</v>
      </c>
      <c r="O14" s="91">
        <f>'SCF (name) Summary Measures'!O14-'SCF (cell) Summary Measures'!O14</f>
        <v>0</v>
      </c>
      <c r="P14" s="91">
        <f>'SCF (name) Summary Measures'!P14-'SCF (cell) Summary Measures'!P14</f>
        <v>0</v>
      </c>
      <c r="Q14" s="91">
        <f>'SCF (name) Summary Measures'!Q14-'SCF (cell) Summary Measures'!Q14</f>
        <v>0</v>
      </c>
      <c r="R14" s="91">
        <f>'SCF (name) Summary Measures'!R14-'SCF (cell) Summary Measures'!R14</f>
        <v>0</v>
      </c>
      <c r="S14" s="91">
        <f>'SCF (name) Summary Measures'!S14-'SCF (cell) Summary Measures'!S14</f>
        <v>0</v>
      </c>
      <c r="T14" s="91">
        <f>'SCF (name) Summary Measures'!T14-'SCF (cell) Summary Measures'!T14</f>
        <v>0</v>
      </c>
      <c r="U14" s="91">
        <f>'SCF (name) Summary Measures'!U14-'SCF (cell) Summary Measures'!U14</f>
        <v>0</v>
      </c>
      <c r="V14" s="91">
        <f>'SCF (name) Summary Measures'!V14-'SCF (cell) Summary Measures'!V14</f>
        <v>0</v>
      </c>
    </row>
    <row r="15" spans="1:24" s="64" customFormat="1" x14ac:dyDescent="0.25">
      <c r="A15" s="86"/>
      <c r="B15" s="64" t="s">
        <v>315</v>
      </c>
      <c r="C15" s="91">
        <f>'SCF (name) Summary Measures'!C15-'SCF (cell) Summary Measures'!C15</f>
        <v>0</v>
      </c>
      <c r="D15" s="91">
        <f>'SCF (name) Summary Measures'!D15-'SCF (cell) Summary Measures'!D15</f>
        <v>0</v>
      </c>
      <c r="E15" s="91">
        <f>'SCF (name) Summary Measures'!E15-'SCF (cell) Summary Measures'!E15</f>
        <v>0</v>
      </c>
      <c r="F15" s="91">
        <f>'SCF (name) Summary Measures'!F15-'SCF (cell) Summary Measures'!F15</f>
        <v>0</v>
      </c>
      <c r="G15" s="91">
        <f>'SCF (name) Summary Measures'!G15-'SCF (cell) Summary Measures'!G15</f>
        <v>0</v>
      </c>
      <c r="H15" s="91">
        <f>'SCF (name) Summary Measures'!H15-'SCF (cell) Summary Measures'!H15</f>
        <v>0</v>
      </c>
      <c r="I15" s="91">
        <f>'SCF (name) Summary Measures'!I15-'SCF (cell) Summary Measures'!I15</f>
        <v>0</v>
      </c>
      <c r="J15" s="91">
        <f>'SCF (name) Summary Measures'!J15-'SCF (cell) Summary Measures'!J15</f>
        <v>0</v>
      </c>
      <c r="K15" s="91">
        <f>'SCF (name) Summary Measures'!K15-'SCF (cell) Summary Measures'!K15</f>
        <v>0</v>
      </c>
      <c r="L15" s="140">
        <f>'SCF (name) Summary Measures'!L15-'SCF (cell) Summary Measures'!L15</f>
        <v>0</v>
      </c>
      <c r="M15" s="91">
        <f>'SCF (name) Summary Measures'!M15-'SCF (cell) Summary Measures'!M15</f>
        <v>0</v>
      </c>
      <c r="N15" s="91">
        <f>'SCF (name) Summary Measures'!N15-'SCF (cell) Summary Measures'!N15</f>
        <v>0</v>
      </c>
      <c r="O15" s="91">
        <f>'SCF (name) Summary Measures'!O15-'SCF (cell) Summary Measures'!O15</f>
        <v>0</v>
      </c>
      <c r="P15" s="91">
        <f>'SCF (name) Summary Measures'!P15-'SCF (cell) Summary Measures'!P15</f>
        <v>0</v>
      </c>
      <c r="Q15" s="91">
        <f>'SCF (name) Summary Measures'!Q15-'SCF (cell) Summary Measures'!Q15</f>
        <v>0</v>
      </c>
      <c r="R15" s="91">
        <f>'SCF (name) Summary Measures'!R15-'SCF (cell) Summary Measures'!R15</f>
        <v>0</v>
      </c>
      <c r="S15" s="91">
        <f>'SCF (name) Summary Measures'!S15-'SCF (cell) Summary Measures'!S15</f>
        <v>0</v>
      </c>
      <c r="T15" s="91">
        <f>'SCF (name) Summary Measures'!T15-'SCF (cell) Summary Measures'!T15</f>
        <v>0</v>
      </c>
      <c r="U15" s="91">
        <f>'SCF (name) Summary Measures'!U15-'SCF (cell) Summary Measures'!U15</f>
        <v>0</v>
      </c>
      <c r="V15" s="91">
        <f>'SCF (name) Summary Measures'!V15-'SCF (cell) Summary Measures'!V15</f>
        <v>0</v>
      </c>
    </row>
    <row r="16" spans="1:24" s="116" customFormat="1" x14ac:dyDescent="0.25">
      <c r="A16" s="151"/>
      <c r="B16" s="152" t="s">
        <v>22</v>
      </c>
      <c r="C16" s="100">
        <f>'SCF (name) Summary Measures'!C16-'SCF (cell) Summary Measures'!C16</f>
        <v>0</v>
      </c>
      <c r="D16" s="100">
        <f>'SCF (name) Summary Measures'!D16-'SCF (cell) Summary Measures'!D16</f>
        <v>0</v>
      </c>
      <c r="E16" s="100">
        <f>'SCF (name) Summary Measures'!E16-'SCF (cell) Summary Measures'!E16</f>
        <v>0</v>
      </c>
      <c r="F16" s="100">
        <f>'SCF (name) Summary Measures'!F16-'SCF (cell) Summary Measures'!F16</f>
        <v>0</v>
      </c>
      <c r="G16" s="100">
        <f>'SCF (name) Summary Measures'!G16-'SCF (cell) Summary Measures'!G16</f>
        <v>0</v>
      </c>
      <c r="H16" s="100">
        <f>'SCF (name) Summary Measures'!H16-'SCF (cell) Summary Measures'!H16</f>
        <v>0</v>
      </c>
      <c r="I16" s="100">
        <f>'SCF (name) Summary Measures'!I16-'SCF (cell) Summary Measures'!I16</f>
        <v>0</v>
      </c>
      <c r="J16" s="100">
        <f>'SCF (name) Summary Measures'!J16-'SCF (cell) Summary Measures'!J16</f>
        <v>0</v>
      </c>
      <c r="K16" s="100">
        <f>'SCF (name) Summary Measures'!K16-'SCF (cell) Summary Measures'!K16</f>
        <v>0</v>
      </c>
      <c r="L16" s="142">
        <f>'SCF (name) Summary Measures'!L16-'SCF (cell) Summary Measures'!L16</f>
        <v>0</v>
      </c>
      <c r="M16" s="100">
        <f>'SCF (name) Summary Measures'!M16-'SCF (cell) Summary Measures'!M16</f>
        <v>0</v>
      </c>
      <c r="N16" s="100">
        <f>'SCF (name) Summary Measures'!N16-'SCF (cell) Summary Measures'!N16</f>
        <v>0</v>
      </c>
      <c r="O16" s="100">
        <f>'SCF (name) Summary Measures'!O16-'SCF (cell) Summary Measures'!O16</f>
        <v>0</v>
      </c>
      <c r="P16" s="100">
        <f>'SCF (name) Summary Measures'!P16-'SCF (cell) Summary Measures'!P16</f>
        <v>0</v>
      </c>
      <c r="Q16" s="100">
        <f>'SCF (name) Summary Measures'!Q16-'SCF (cell) Summary Measures'!Q16</f>
        <v>0</v>
      </c>
      <c r="R16" s="100">
        <f>'SCF (name) Summary Measures'!R16-'SCF (cell) Summary Measures'!R16</f>
        <v>0</v>
      </c>
      <c r="S16" s="100">
        <f>'SCF (name) Summary Measures'!S16-'SCF (cell) Summary Measures'!S16</f>
        <v>0</v>
      </c>
      <c r="T16" s="100">
        <f>'SCF (name) Summary Measures'!T16-'SCF (cell) Summary Measures'!T16</f>
        <v>0</v>
      </c>
      <c r="U16" s="100">
        <f>'SCF (name) Summary Measures'!U16-'SCF (cell) Summary Measures'!U16</f>
        <v>0</v>
      </c>
      <c r="V16" s="100">
        <f>'SCF (name) Summary Measures'!V16-'SCF (cell) Summary Measures'!V16</f>
        <v>0</v>
      </c>
    </row>
    <row r="17" spans="1:24" s="88" customFormat="1" x14ac:dyDescent="0.25">
      <c r="A17" s="150" t="s">
        <v>25</v>
      </c>
      <c r="C17" s="90"/>
      <c r="D17" s="91"/>
      <c r="E17" s="91"/>
      <c r="F17" s="91"/>
      <c r="G17" s="91"/>
      <c r="H17" s="91"/>
      <c r="I17" s="124"/>
      <c r="J17" s="124"/>
      <c r="K17" s="124"/>
      <c r="L17" s="208"/>
      <c r="M17" s="124"/>
      <c r="N17" s="124"/>
      <c r="O17" s="124"/>
      <c r="P17" s="124"/>
      <c r="Q17" s="124"/>
      <c r="R17" s="124"/>
      <c r="S17" s="124"/>
      <c r="T17" s="124"/>
      <c r="U17" s="124"/>
      <c r="V17" s="124"/>
      <c r="W17" s="64"/>
      <c r="X17" s="64"/>
    </row>
    <row r="18" spans="1:24" s="64" customFormat="1" x14ac:dyDescent="0.25">
      <c r="A18" s="86"/>
      <c r="B18" s="64" t="s">
        <v>292</v>
      </c>
      <c r="C18" s="90"/>
      <c r="D18" s="91"/>
      <c r="E18" s="91"/>
      <c r="F18" s="91"/>
      <c r="G18" s="91"/>
      <c r="H18" s="91"/>
      <c r="I18" s="91"/>
      <c r="J18" s="91"/>
      <c r="K18" s="91"/>
      <c r="L18" s="140"/>
      <c r="M18" s="91"/>
      <c r="N18" s="91"/>
      <c r="O18" s="91"/>
      <c r="P18" s="91"/>
      <c r="Q18" s="91"/>
      <c r="R18" s="91"/>
      <c r="S18" s="91"/>
      <c r="T18" s="91"/>
      <c r="U18" s="91"/>
      <c r="V18" s="91"/>
    </row>
    <row r="19" spans="1:24" s="64" customFormat="1" x14ac:dyDescent="0.25">
      <c r="A19" s="86"/>
      <c r="B19" s="64" t="s">
        <v>141</v>
      </c>
      <c r="C19" s="91">
        <f>'SCF (name) Summary Measures'!C19-'SCF (cell) Summary Measures'!C19</f>
        <v>0</v>
      </c>
      <c r="D19" s="91">
        <f>'SCF (name) Summary Measures'!D19-'SCF (cell) Summary Measures'!D19</f>
        <v>0</v>
      </c>
      <c r="E19" s="91">
        <f>'SCF (name) Summary Measures'!E19-'SCF (cell) Summary Measures'!E19</f>
        <v>0</v>
      </c>
      <c r="F19" s="91">
        <f>'SCF (name) Summary Measures'!F19-'SCF (cell) Summary Measures'!F19</f>
        <v>0</v>
      </c>
      <c r="G19" s="91">
        <f>'SCF (name) Summary Measures'!G19-'SCF (cell) Summary Measures'!G19</f>
        <v>0</v>
      </c>
      <c r="H19" s="91">
        <f>'SCF (name) Summary Measures'!H19-'SCF (cell) Summary Measures'!H19</f>
        <v>0</v>
      </c>
      <c r="I19" s="91">
        <f>'SCF (name) Summary Measures'!I19-'SCF (cell) Summary Measures'!I19</f>
        <v>0</v>
      </c>
      <c r="J19" s="91">
        <f>'SCF (name) Summary Measures'!J19-'SCF (cell) Summary Measures'!J19</f>
        <v>0</v>
      </c>
      <c r="K19" s="91">
        <f>'SCF (name) Summary Measures'!K19-'SCF (cell) Summary Measures'!K19</f>
        <v>0</v>
      </c>
      <c r="L19" s="140">
        <f>'SCF (name) Summary Measures'!L19-'SCF (cell) Summary Measures'!L19</f>
        <v>0</v>
      </c>
      <c r="M19" s="91">
        <f>'SCF (name) Summary Measures'!M19-'SCF (cell) Summary Measures'!M19</f>
        <v>0</v>
      </c>
      <c r="N19" s="91">
        <f>'SCF (name) Summary Measures'!N19-'SCF (cell) Summary Measures'!N19</f>
        <v>0</v>
      </c>
      <c r="O19" s="91">
        <f>'SCF (name) Summary Measures'!O19-'SCF (cell) Summary Measures'!O19</f>
        <v>0</v>
      </c>
      <c r="P19" s="91">
        <f>'SCF (name) Summary Measures'!P19-'SCF (cell) Summary Measures'!P19</f>
        <v>0</v>
      </c>
      <c r="Q19" s="91">
        <f>'SCF (name) Summary Measures'!Q19-'SCF (cell) Summary Measures'!Q19</f>
        <v>0</v>
      </c>
      <c r="R19" s="91">
        <f>'SCF (name) Summary Measures'!R19-'SCF (cell) Summary Measures'!R19</f>
        <v>0</v>
      </c>
      <c r="S19" s="91">
        <f>'SCF (name) Summary Measures'!S19-'SCF (cell) Summary Measures'!S19</f>
        <v>0</v>
      </c>
      <c r="T19" s="91">
        <f>'SCF (name) Summary Measures'!T19-'SCF (cell) Summary Measures'!T19</f>
        <v>0</v>
      </c>
      <c r="U19" s="91">
        <f>'SCF (name) Summary Measures'!U19-'SCF (cell) Summary Measures'!U19</f>
        <v>0</v>
      </c>
      <c r="V19" s="91">
        <f>'SCF (name) Summary Measures'!V19-'SCF (cell) Summary Measures'!V19</f>
        <v>0</v>
      </c>
    </row>
    <row r="20" spans="1:24" s="64" customFormat="1" x14ac:dyDescent="0.25">
      <c r="A20" s="86"/>
      <c r="B20" s="64" t="s">
        <v>142</v>
      </c>
      <c r="C20" s="91">
        <f>'SCF (name) Summary Measures'!C20-'SCF (cell) Summary Measures'!C20</f>
        <v>0</v>
      </c>
      <c r="D20" s="91">
        <f>'SCF (name) Summary Measures'!D20-'SCF (cell) Summary Measures'!D20</f>
        <v>0</v>
      </c>
      <c r="E20" s="91">
        <f>'SCF (name) Summary Measures'!E20-'SCF (cell) Summary Measures'!E20</f>
        <v>0</v>
      </c>
      <c r="F20" s="91">
        <f>'SCF (name) Summary Measures'!F20-'SCF (cell) Summary Measures'!F20</f>
        <v>0</v>
      </c>
      <c r="G20" s="91">
        <f>'SCF (name) Summary Measures'!G20-'SCF (cell) Summary Measures'!G20</f>
        <v>0</v>
      </c>
      <c r="H20" s="91">
        <f>'SCF (name) Summary Measures'!H20-'SCF (cell) Summary Measures'!H20</f>
        <v>0</v>
      </c>
      <c r="I20" s="91">
        <f>'SCF (name) Summary Measures'!I20-'SCF (cell) Summary Measures'!I20</f>
        <v>0</v>
      </c>
      <c r="J20" s="91">
        <f>'SCF (name) Summary Measures'!J20-'SCF (cell) Summary Measures'!J20</f>
        <v>0</v>
      </c>
      <c r="K20" s="91">
        <f>'SCF (name) Summary Measures'!K20-'SCF (cell) Summary Measures'!K20</f>
        <v>0</v>
      </c>
      <c r="L20" s="140">
        <f>'SCF (name) Summary Measures'!L20-'SCF (cell) Summary Measures'!L20</f>
        <v>0</v>
      </c>
      <c r="M20" s="91">
        <f>'SCF (name) Summary Measures'!M20-'SCF (cell) Summary Measures'!M20</f>
        <v>0</v>
      </c>
      <c r="N20" s="91">
        <f>'SCF (name) Summary Measures'!N20-'SCF (cell) Summary Measures'!N20</f>
        <v>0</v>
      </c>
      <c r="O20" s="91">
        <f>'SCF (name) Summary Measures'!O20-'SCF (cell) Summary Measures'!O20</f>
        <v>0</v>
      </c>
      <c r="P20" s="91">
        <f>'SCF (name) Summary Measures'!P20-'SCF (cell) Summary Measures'!P20</f>
        <v>0</v>
      </c>
      <c r="Q20" s="91">
        <f>'SCF (name) Summary Measures'!Q20-'SCF (cell) Summary Measures'!Q20</f>
        <v>0</v>
      </c>
      <c r="R20" s="91">
        <f>'SCF (name) Summary Measures'!R20-'SCF (cell) Summary Measures'!R20</f>
        <v>0</v>
      </c>
      <c r="S20" s="91">
        <f>'SCF (name) Summary Measures'!S20-'SCF (cell) Summary Measures'!S20</f>
        <v>0</v>
      </c>
      <c r="T20" s="91">
        <f>'SCF (name) Summary Measures'!T20-'SCF (cell) Summary Measures'!T20</f>
        <v>0</v>
      </c>
      <c r="U20" s="91">
        <f>'SCF (name) Summary Measures'!U20-'SCF (cell) Summary Measures'!U20</f>
        <v>0</v>
      </c>
      <c r="V20" s="91">
        <f>'SCF (name) Summary Measures'!V20-'SCF (cell) Summary Measures'!V20</f>
        <v>0</v>
      </c>
    </row>
    <row r="21" spans="1:24" s="64" customFormat="1" x14ac:dyDescent="0.25">
      <c r="A21" s="86"/>
      <c r="B21" s="63" t="s">
        <v>293</v>
      </c>
      <c r="C21" s="91">
        <f>'SCF (name) Summary Measures'!C21-'SCF (cell) Summary Measures'!C21</f>
        <v>0</v>
      </c>
      <c r="D21" s="91">
        <f>'SCF (name) Summary Measures'!D21-'SCF (cell) Summary Measures'!D21</f>
        <v>0</v>
      </c>
      <c r="E21" s="91">
        <f>'SCF (name) Summary Measures'!E21-'SCF (cell) Summary Measures'!E21</f>
        <v>0</v>
      </c>
      <c r="F21" s="91">
        <f>'SCF (name) Summary Measures'!F21-'SCF (cell) Summary Measures'!F21</f>
        <v>0</v>
      </c>
      <c r="G21" s="91">
        <f>'SCF (name) Summary Measures'!G21-'SCF (cell) Summary Measures'!G21</f>
        <v>0</v>
      </c>
      <c r="H21" s="91">
        <f>'SCF (name) Summary Measures'!H21-'SCF (cell) Summary Measures'!H21</f>
        <v>0</v>
      </c>
      <c r="I21" s="91">
        <f>'SCF (name) Summary Measures'!I21-'SCF (cell) Summary Measures'!I21</f>
        <v>0</v>
      </c>
      <c r="J21" s="91">
        <f>'SCF (name) Summary Measures'!J21-'SCF (cell) Summary Measures'!J21</f>
        <v>0</v>
      </c>
      <c r="K21" s="91">
        <f>'SCF (name) Summary Measures'!K21-'SCF (cell) Summary Measures'!K21</f>
        <v>0</v>
      </c>
      <c r="L21" s="140">
        <f>'SCF (name) Summary Measures'!L21-'SCF (cell) Summary Measures'!L21</f>
        <v>0</v>
      </c>
      <c r="M21" s="91">
        <f>'SCF (name) Summary Measures'!M21-'SCF (cell) Summary Measures'!M21</f>
        <v>0</v>
      </c>
      <c r="N21" s="91">
        <f>'SCF (name) Summary Measures'!N21-'SCF (cell) Summary Measures'!N21</f>
        <v>0</v>
      </c>
      <c r="O21" s="91">
        <f>'SCF (name) Summary Measures'!O21-'SCF (cell) Summary Measures'!O21</f>
        <v>0</v>
      </c>
      <c r="P21" s="91">
        <f>'SCF (name) Summary Measures'!P21-'SCF (cell) Summary Measures'!P21</f>
        <v>0</v>
      </c>
      <c r="Q21" s="91">
        <f>'SCF (name) Summary Measures'!Q21-'SCF (cell) Summary Measures'!Q21</f>
        <v>0</v>
      </c>
      <c r="R21" s="91">
        <f>'SCF (name) Summary Measures'!R21-'SCF (cell) Summary Measures'!R21</f>
        <v>0</v>
      </c>
      <c r="S21" s="91">
        <f>'SCF (name) Summary Measures'!S21-'SCF (cell) Summary Measures'!S21</f>
        <v>0</v>
      </c>
      <c r="T21" s="91">
        <f>'SCF (name) Summary Measures'!T21-'SCF (cell) Summary Measures'!T21</f>
        <v>0</v>
      </c>
      <c r="U21" s="91">
        <f>'SCF (name) Summary Measures'!U21-'SCF (cell) Summary Measures'!U21</f>
        <v>0</v>
      </c>
      <c r="V21" s="91">
        <f>'SCF (name) Summary Measures'!V21-'SCF (cell) Summary Measures'!V21</f>
        <v>0</v>
      </c>
    </row>
    <row r="22" spans="1:24" s="64" customFormat="1" x14ac:dyDescent="0.25">
      <c r="A22" s="86"/>
      <c r="B22" s="64" t="s">
        <v>294</v>
      </c>
      <c r="C22" s="91"/>
      <c r="D22" s="91"/>
      <c r="E22" s="91"/>
      <c r="F22" s="91"/>
      <c r="G22" s="91"/>
      <c r="H22" s="91"/>
      <c r="I22" s="91"/>
      <c r="J22" s="91"/>
      <c r="K22" s="91"/>
      <c r="L22" s="140"/>
      <c r="M22" s="91"/>
      <c r="N22" s="91"/>
      <c r="O22" s="91"/>
      <c r="P22" s="91"/>
      <c r="Q22" s="91"/>
      <c r="R22" s="91"/>
      <c r="S22" s="91"/>
      <c r="T22" s="91"/>
      <c r="U22" s="91"/>
      <c r="V22" s="91"/>
    </row>
    <row r="23" spans="1:24" s="64" customFormat="1" x14ac:dyDescent="0.25">
      <c r="A23" s="86"/>
      <c r="B23" s="64" t="s">
        <v>141</v>
      </c>
      <c r="C23" s="91">
        <f>'SCF (name) Summary Measures'!C23-'SCF (cell) Summary Measures'!C23</f>
        <v>0</v>
      </c>
      <c r="D23" s="91">
        <f>'SCF (name) Summary Measures'!D23-'SCF (cell) Summary Measures'!D23</f>
        <v>0</v>
      </c>
      <c r="E23" s="91">
        <f>'SCF (name) Summary Measures'!E23-'SCF (cell) Summary Measures'!E23</f>
        <v>0</v>
      </c>
      <c r="F23" s="91">
        <f>'SCF (name) Summary Measures'!F23-'SCF (cell) Summary Measures'!F23</f>
        <v>0</v>
      </c>
      <c r="G23" s="91">
        <f>'SCF (name) Summary Measures'!G23-'SCF (cell) Summary Measures'!G23</f>
        <v>0</v>
      </c>
      <c r="H23" s="91">
        <f>'SCF (name) Summary Measures'!H23-'SCF (cell) Summary Measures'!H23</f>
        <v>0</v>
      </c>
      <c r="I23" s="91">
        <f>'SCF (name) Summary Measures'!I23-'SCF (cell) Summary Measures'!I23</f>
        <v>0</v>
      </c>
      <c r="J23" s="91">
        <f>'SCF (name) Summary Measures'!J23-'SCF (cell) Summary Measures'!J23</f>
        <v>0</v>
      </c>
      <c r="K23" s="91">
        <f>'SCF (name) Summary Measures'!K23-'SCF (cell) Summary Measures'!K23</f>
        <v>0</v>
      </c>
      <c r="L23" s="140">
        <f>'SCF (name) Summary Measures'!L23-'SCF (cell) Summary Measures'!L23</f>
        <v>-64.238711735622928</v>
      </c>
      <c r="M23" s="91">
        <f>'SCF (name) Summary Measures'!M23-'SCF (cell) Summary Measures'!M23</f>
        <v>-111.10600321430684</v>
      </c>
      <c r="N23" s="91">
        <f>'SCF (name) Summary Measures'!N23-'SCF (cell) Summary Measures'!N23</f>
        <v>-153.26341350602888</v>
      </c>
      <c r="O23" s="91">
        <f>'SCF (name) Summary Measures'!O23-'SCF (cell) Summary Measures'!O23</f>
        <v>-191.66706233283548</v>
      </c>
      <c r="P23" s="91">
        <f>'SCF (name) Summary Measures'!P23-'SCF (cell) Summary Measures'!P23</f>
        <v>-227.15518905398858</v>
      </c>
      <c r="Q23" s="91">
        <f>'SCF (name) Summary Measures'!Q23-'SCF (cell) Summary Measures'!Q23</f>
        <v>-260.28498638220481</v>
      </c>
      <c r="R23" s="91">
        <f>'SCF (name) Summary Measures'!R23-'SCF (cell) Summary Measures'!R23</f>
        <v>-291.45049859975916</v>
      </c>
      <c r="S23" s="91">
        <f>'SCF (name) Summary Measures'!S23-'SCF (cell) Summary Measures'!S23</f>
        <v>-320.93826751747474</v>
      </c>
      <c r="T23" s="91">
        <f>'SCF (name) Summary Measures'!T23-'SCF (cell) Summary Measures'!T23</f>
        <v>-348.96054675915366</v>
      </c>
      <c r="U23" s="91">
        <f>'SCF (name) Summary Measures'!U23-'SCF (cell) Summary Measures'!U23</f>
        <v>-375.67705291665334</v>
      </c>
      <c r="V23" s="91">
        <f>'SCF (name) Summary Measures'!V23-'SCF (cell) Summary Measures'!V23</f>
        <v>-401.21007469587494</v>
      </c>
    </row>
    <row r="24" spans="1:24" s="64" customFormat="1" x14ac:dyDescent="0.25">
      <c r="A24" s="86"/>
      <c r="B24" s="64" t="s">
        <v>142</v>
      </c>
      <c r="C24" s="91">
        <f>'SCF (name) Summary Measures'!C24-'SCF (cell) Summary Measures'!C24</f>
        <v>0</v>
      </c>
      <c r="D24" s="91">
        <f>'SCF (name) Summary Measures'!D24-'SCF (cell) Summary Measures'!D24</f>
        <v>0</v>
      </c>
      <c r="E24" s="91">
        <f>'SCF (name) Summary Measures'!E24-'SCF (cell) Summary Measures'!E24</f>
        <v>0</v>
      </c>
      <c r="F24" s="91">
        <f>'SCF (name) Summary Measures'!F24-'SCF (cell) Summary Measures'!F24</f>
        <v>0</v>
      </c>
      <c r="G24" s="91">
        <f>'SCF (name) Summary Measures'!G24-'SCF (cell) Summary Measures'!G24</f>
        <v>0</v>
      </c>
      <c r="H24" s="91">
        <f>'SCF (name) Summary Measures'!H24-'SCF (cell) Summary Measures'!H24</f>
        <v>0</v>
      </c>
      <c r="I24" s="91">
        <f>'SCF (name) Summary Measures'!I24-'SCF (cell) Summary Measures'!I24</f>
        <v>0</v>
      </c>
      <c r="J24" s="91">
        <f>'SCF (name) Summary Measures'!J24-'SCF (cell) Summary Measures'!J24</f>
        <v>0</v>
      </c>
      <c r="K24" s="91">
        <f>'SCF (name) Summary Measures'!K24-'SCF (cell) Summary Measures'!K24</f>
        <v>0</v>
      </c>
      <c r="L24" s="140">
        <f>'SCF (name) Summary Measures'!L24-'SCF (cell) Summary Measures'!L24</f>
        <v>0</v>
      </c>
      <c r="M24" s="91">
        <f>'SCF (name) Summary Measures'!M24-'SCF (cell) Summary Measures'!M24</f>
        <v>0</v>
      </c>
      <c r="N24" s="91">
        <f>'SCF (name) Summary Measures'!N24-'SCF (cell) Summary Measures'!N24</f>
        <v>-2.0856473466774332</v>
      </c>
      <c r="O24" s="91">
        <f>'SCF (name) Summary Measures'!O24-'SCF (cell) Summary Measures'!O24</f>
        <v>-5.4330467210420466</v>
      </c>
      <c r="P24" s="91">
        <f>'SCF (name) Summary Measures'!P24-'SCF (cell) Summary Measures'!P24</f>
        <v>-9.7151557586830677</v>
      </c>
      <c r="Q24" s="91">
        <f>'SCF (name) Summary Measures'!Q24-'SCF (cell) Summary Measures'!Q24</f>
        <v>-14.707372786026099</v>
      </c>
      <c r="R24" s="91">
        <f>'SCF (name) Summary Measures'!R24-'SCF (cell) Summary Measures'!R24</f>
        <v>-20.239721820804334</v>
      </c>
      <c r="S24" s="91">
        <f>'SCF (name) Summary Measures'!S24-'SCF (cell) Summary Measures'!S24</f>
        <v>-26.178718949448921</v>
      </c>
      <c r="T24" s="91">
        <f>'SCF (name) Summary Measures'!T24-'SCF (cell) Summary Measures'!T24</f>
        <v>-32.41790556234082</v>
      </c>
      <c r="U24" s="91">
        <f>'SCF (name) Summary Measures'!U24-'SCF (cell) Summary Measures'!U24</f>
        <v>-38.871536104335974</v>
      </c>
      <c r="V24" s="91">
        <f>'SCF (name) Summary Measures'!V24-'SCF (cell) Summary Measures'!V24</f>
        <v>-45.470004605007489</v>
      </c>
    </row>
    <row r="25" spans="1:24" s="64" customFormat="1" x14ac:dyDescent="0.25">
      <c r="A25" s="86"/>
      <c r="B25" s="64" t="s">
        <v>293</v>
      </c>
      <c r="C25" s="91">
        <f>'SCF (name) Summary Measures'!C25-'SCF (cell) Summary Measures'!C25</f>
        <v>0</v>
      </c>
      <c r="D25" s="91">
        <f>'SCF (name) Summary Measures'!D25-'SCF (cell) Summary Measures'!D25</f>
        <v>0</v>
      </c>
      <c r="E25" s="91">
        <f>'SCF (name) Summary Measures'!E25-'SCF (cell) Summary Measures'!E25</f>
        <v>0</v>
      </c>
      <c r="F25" s="91">
        <f>'SCF (name) Summary Measures'!F25-'SCF (cell) Summary Measures'!F25</f>
        <v>0</v>
      </c>
      <c r="G25" s="91">
        <f>'SCF (name) Summary Measures'!G25-'SCF (cell) Summary Measures'!G25</f>
        <v>0</v>
      </c>
      <c r="H25" s="91">
        <f>'SCF (name) Summary Measures'!H25-'SCF (cell) Summary Measures'!H25</f>
        <v>0</v>
      </c>
      <c r="I25" s="91">
        <f>'SCF (name) Summary Measures'!I25-'SCF (cell) Summary Measures'!I25</f>
        <v>0</v>
      </c>
      <c r="J25" s="91">
        <f>'SCF (name) Summary Measures'!J25-'SCF (cell) Summary Measures'!J25</f>
        <v>0</v>
      </c>
      <c r="K25" s="91">
        <f>'SCF (name) Summary Measures'!K25-'SCF (cell) Summary Measures'!K25</f>
        <v>0</v>
      </c>
      <c r="L25" s="140">
        <f>'SCF (name) Summary Measures'!L25-'SCF (cell) Summary Measures'!L25</f>
        <v>-64.238711735622928</v>
      </c>
      <c r="M25" s="91">
        <f>'SCF (name) Summary Measures'!M25-'SCF (cell) Summary Measures'!M25</f>
        <v>-111.10600321430684</v>
      </c>
      <c r="N25" s="91">
        <f>'SCF (name) Summary Measures'!N25-'SCF (cell) Summary Measures'!N25</f>
        <v>-155.34906085270268</v>
      </c>
      <c r="O25" s="91">
        <f>'SCF (name) Summary Measures'!O25-'SCF (cell) Summary Measures'!O25</f>
        <v>-197.10010905387753</v>
      </c>
      <c r="P25" s="91">
        <f>'SCF (name) Summary Measures'!P25-'SCF (cell) Summary Measures'!P25</f>
        <v>-236.87034481266892</v>
      </c>
      <c r="Q25" s="91">
        <f>'SCF (name) Summary Measures'!Q25-'SCF (cell) Summary Measures'!Q25</f>
        <v>-274.99235916823091</v>
      </c>
      <c r="R25" s="91">
        <f>'SCF (name) Summary Measures'!R25-'SCF (cell) Summary Measures'!R25</f>
        <v>-311.69022042056895</v>
      </c>
      <c r="S25" s="91">
        <f>'SCF (name) Summary Measures'!S25-'SCF (cell) Summary Measures'!S25</f>
        <v>-347.11698646692093</v>
      </c>
      <c r="T25" s="91">
        <f>'SCF (name) Summary Measures'!T25-'SCF (cell) Summary Measures'!T25</f>
        <v>-381.37845232149994</v>
      </c>
      <c r="U25" s="91">
        <f>'SCF (name) Summary Measures'!U25-'SCF (cell) Summary Measures'!U25</f>
        <v>-414.54858902098931</v>
      </c>
      <c r="V25" s="91">
        <f>'SCF (name) Summary Measures'!V25-'SCF (cell) Summary Measures'!V25</f>
        <v>-446.68007930088061</v>
      </c>
    </row>
    <row r="26" spans="1:24" s="64" customFormat="1" x14ac:dyDescent="0.25">
      <c r="A26" s="86"/>
      <c r="B26" s="63" t="s">
        <v>295</v>
      </c>
      <c r="C26" s="91">
        <f>'SCF (name) Summary Measures'!C26-'SCF (cell) Summary Measures'!C26</f>
        <v>0</v>
      </c>
      <c r="D26" s="91">
        <f>'SCF (name) Summary Measures'!D26-'SCF (cell) Summary Measures'!D26</f>
        <v>0</v>
      </c>
      <c r="E26" s="91">
        <f>'SCF (name) Summary Measures'!E26-'SCF (cell) Summary Measures'!E26</f>
        <v>0</v>
      </c>
      <c r="F26" s="91">
        <f>'SCF (name) Summary Measures'!F26-'SCF (cell) Summary Measures'!F26</f>
        <v>0</v>
      </c>
      <c r="G26" s="91">
        <f>'SCF (name) Summary Measures'!G26-'SCF (cell) Summary Measures'!G26</f>
        <v>0</v>
      </c>
      <c r="H26" s="91">
        <f>'SCF (name) Summary Measures'!H26-'SCF (cell) Summary Measures'!H26</f>
        <v>0</v>
      </c>
      <c r="I26" s="91">
        <f>'SCF (name) Summary Measures'!I26-'SCF (cell) Summary Measures'!I26</f>
        <v>0</v>
      </c>
      <c r="J26" s="91">
        <f>'SCF (name) Summary Measures'!J26-'SCF (cell) Summary Measures'!J26</f>
        <v>0</v>
      </c>
      <c r="K26" s="91">
        <f>'SCF (name) Summary Measures'!K26-'SCF (cell) Summary Measures'!K26</f>
        <v>0</v>
      </c>
      <c r="L26" s="140">
        <f>'SCF (name) Summary Measures'!L26-'SCF (cell) Summary Measures'!L26</f>
        <v>-64.238711735626566</v>
      </c>
      <c r="M26" s="91">
        <f>'SCF (name) Summary Measures'!M26-'SCF (cell) Summary Measures'!M26</f>
        <v>-111.10600321430684</v>
      </c>
      <c r="N26" s="91">
        <f>'SCF (name) Summary Measures'!N26-'SCF (cell) Summary Measures'!N26</f>
        <v>-153.26341350602888</v>
      </c>
      <c r="O26" s="91">
        <f>'SCF (name) Summary Measures'!O26-'SCF (cell) Summary Measures'!O26</f>
        <v>-191.66706233283912</v>
      </c>
      <c r="P26" s="91">
        <f>'SCF (name) Summary Measures'!P26-'SCF (cell) Summary Measures'!P26</f>
        <v>-227.15518905399222</v>
      </c>
      <c r="Q26" s="91">
        <f>'SCF (name) Summary Measures'!Q26-'SCF (cell) Summary Measures'!Q26</f>
        <v>-260.28498638220481</v>
      </c>
      <c r="R26" s="91">
        <f>'SCF (name) Summary Measures'!R26-'SCF (cell) Summary Measures'!R26</f>
        <v>-291.4504985997628</v>
      </c>
      <c r="S26" s="91">
        <f>'SCF (name) Summary Measures'!S26-'SCF (cell) Summary Measures'!S26</f>
        <v>-320.93826751747838</v>
      </c>
      <c r="T26" s="91">
        <f>'SCF (name) Summary Measures'!T26-'SCF (cell) Summary Measures'!T26</f>
        <v>-348.96054675916093</v>
      </c>
      <c r="U26" s="91">
        <f>'SCF (name) Summary Measures'!U26-'SCF (cell) Summary Measures'!U26</f>
        <v>-375.67705291665334</v>
      </c>
      <c r="V26" s="91">
        <f>'SCF (name) Summary Measures'!V26-'SCF (cell) Summary Measures'!V26</f>
        <v>-401.21007469587494</v>
      </c>
    </row>
    <row r="27" spans="1:24" s="64" customFormat="1" x14ac:dyDescent="0.25">
      <c r="A27" s="86"/>
      <c r="B27" s="63" t="s">
        <v>296</v>
      </c>
      <c r="C27" s="91">
        <f>'SCF (name) Summary Measures'!C27-'SCF (cell) Summary Measures'!C27</f>
        <v>0</v>
      </c>
      <c r="D27" s="91">
        <f>'SCF (name) Summary Measures'!D27-'SCF (cell) Summary Measures'!D27</f>
        <v>0</v>
      </c>
      <c r="E27" s="91">
        <f>'SCF (name) Summary Measures'!E27-'SCF (cell) Summary Measures'!E27</f>
        <v>0</v>
      </c>
      <c r="F27" s="91">
        <f>'SCF (name) Summary Measures'!F27-'SCF (cell) Summary Measures'!F27</f>
        <v>0</v>
      </c>
      <c r="G27" s="91">
        <f>'SCF (name) Summary Measures'!G27-'SCF (cell) Summary Measures'!G27</f>
        <v>0</v>
      </c>
      <c r="H27" s="91">
        <f>'SCF (name) Summary Measures'!H27-'SCF (cell) Summary Measures'!H27</f>
        <v>0</v>
      </c>
      <c r="I27" s="91">
        <f>'SCF (name) Summary Measures'!I27-'SCF (cell) Summary Measures'!I27</f>
        <v>0</v>
      </c>
      <c r="J27" s="91">
        <f>'SCF (name) Summary Measures'!J27-'SCF (cell) Summary Measures'!J27</f>
        <v>0</v>
      </c>
      <c r="K27" s="91">
        <f>'SCF (name) Summary Measures'!K27-'SCF (cell) Summary Measures'!K27</f>
        <v>0</v>
      </c>
      <c r="L27" s="140">
        <f>'SCF (name) Summary Measures'!L27-'SCF (cell) Summary Measures'!L27</f>
        <v>0</v>
      </c>
      <c r="M27" s="91">
        <f>'SCF (name) Summary Measures'!M27-'SCF (cell) Summary Measures'!M27</f>
        <v>0</v>
      </c>
      <c r="N27" s="91">
        <f>'SCF (name) Summary Measures'!N27-'SCF (cell) Summary Measures'!N27</f>
        <v>-2.0856473466774332</v>
      </c>
      <c r="O27" s="91">
        <f>'SCF (name) Summary Measures'!O27-'SCF (cell) Summary Measures'!O27</f>
        <v>-5.4330467210420466</v>
      </c>
      <c r="P27" s="91">
        <f>'SCF (name) Summary Measures'!P27-'SCF (cell) Summary Measures'!P27</f>
        <v>-9.7151557586821582</v>
      </c>
      <c r="Q27" s="91">
        <f>'SCF (name) Summary Measures'!Q27-'SCF (cell) Summary Measures'!Q27</f>
        <v>-14.707372786026099</v>
      </c>
      <c r="R27" s="91">
        <f>'SCF (name) Summary Measures'!R27-'SCF (cell) Summary Measures'!R27</f>
        <v>-20.239721820804334</v>
      </c>
      <c r="S27" s="91">
        <f>'SCF (name) Summary Measures'!S27-'SCF (cell) Summary Measures'!S27</f>
        <v>-26.178718949449831</v>
      </c>
      <c r="T27" s="91">
        <f>'SCF (name) Summary Measures'!T27-'SCF (cell) Summary Measures'!T27</f>
        <v>-32.417905562339001</v>
      </c>
      <c r="U27" s="91">
        <f>'SCF (name) Summary Measures'!U27-'SCF (cell) Summary Measures'!U27</f>
        <v>-38.871536104335974</v>
      </c>
      <c r="V27" s="91">
        <f>'SCF (name) Summary Measures'!V27-'SCF (cell) Summary Measures'!V27</f>
        <v>-45.47000460500567</v>
      </c>
    </row>
    <row r="28" spans="1:24" s="116" customFormat="1" x14ac:dyDescent="0.25">
      <c r="A28" s="151"/>
      <c r="B28" s="116" t="s">
        <v>87</v>
      </c>
      <c r="C28" s="100">
        <f>'SCF (name) Summary Measures'!C28-'SCF (cell) Summary Measures'!C28</f>
        <v>0</v>
      </c>
      <c r="D28" s="100">
        <f>'SCF (name) Summary Measures'!D28-'SCF (cell) Summary Measures'!D28</f>
        <v>0</v>
      </c>
      <c r="E28" s="100">
        <f>'SCF (name) Summary Measures'!E28-'SCF (cell) Summary Measures'!E28</f>
        <v>0</v>
      </c>
      <c r="F28" s="100">
        <f>'SCF (name) Summary Measures'!F28-'SCF (cell) Summary Measures'!F28</f>
        <v>0</v>
      </c>
      <c r="G28" s="100">
        <f>'SCF (name) Summary Measures'!G28-'SCF (cell) Summary Measures'!G28</f>
        <v>0</v>
      </c>
      <c r="H28" s="100">
        <f>'SCF (name) Summary Measures'!H28-'SCF (cell) Summary Measures'!H28</f>
        <v>0</v>
      </c>
      <c r="I28" s="100">
        <f>'SCF (name) Summary Measures'!I28-'SCF (cell) Summary Measures'!I28</f>
        <v>0</v>
      </c>
      <c r="J28" s="100">
        <f>'SCF (name) Summary Measures'!J28-'SCF (cell) Summary Measures'!J28</f>
        <v>0</v>
      </c>
      <c r="K28" s="100">
        <f>'SCF (name) Summary Measures'!K28-'SCF (cell) Summary Measures'!K28</f>
        <v>0</v>
      </c>
      <c r="L28" s="142">
        <f>'SCF (name) Summary Measures'!L28-'SCF (cell) Summary Measures'!L28</f>
        <v>-64.238711735626566</v>
      </c>
      <c r="M28" s="100">
        <f>'SCF (name) Summary Measures'!M28-'SCF (cell) Summary Measures'!M28</f>
        <v>-111.10600321430684</v>
      </c>
      <c r="N28" s="100">
        <f>'SCF (name) Summary Measures'!N28-'SCF (cell) Summary Measures'!N28</f>
        <v>-155.34906085270632</v>
      </c>
      <c r="O28" s="100">
        <f>'SCF (name) Summary Measures'!O28-'SCF (cell) Summary Measures'!O28</f>
        <v>-197.10010905387753</v>
      </c>
      <c r="P28" s="100">
        <f>'SCF (name) Summary Measures'!P28-'SCF (cell) Summary Measures'!P28</f>
        <v>-236.87034481266892</v>
      </c>
      <c r="Q28" s="100">
        <f>'SCF (name) Summary Measures'!Q28-'SCF (cell) Summary Measures'!Q28</f>
        <v>-274.99235916823091</v>
      </c>
      <c r="R28" s="100">
        <f>'SCF (name) Summary Measures'!R28-'SCF (cell) Summary Measures'!R28</f>
        <v>-311.69022042056895</v>
      </c>
      <c r="S28" s="100">
        <f>'SCF (name) Summary Measures'!S28-'SCF (cell) Summary Measures'!S28</f>
        <v>-347.11698646693549</v>
      </c>
      <c r="T28" s="100">
        <f>'SCF (name) Summary Measures'!T28-'SCF (cell) Summary Measures'!T28</f>
        <v>-381.37845232149994</v>
      </c>
      <c r="U28" s="100">
        <f>'SCF (name) Summary Measures'!U28-'SCF (cell) Summary Measures'!U28</f>
        <v>-414.54858902098204</v>
      </c>
      <c r="V28" s="100">
        <f>'SCF (name) Summary Measures'!V28-'SCF (cell) Summary Measures'!V28</f>
        <v>-446.68007930088788</v>
      </c>
    </row>
    <row r="29" spans="1:24" s="64" customFormat="1" x14ac:dyDescent="0.25">
      <c r="A29" s="86" t="s">
        <v>297</v>
      </c>
      <c r="C29" s="90"/>
      <c r="D29" s="91"/>
      <c r="E29" s="91"/>
      <c r="F29" s="91"/>
      <c r="G29" s="91"/>
      <c r="H29" s="91"/>
      <c r="I29" s="91"/>
      <c r="J29" s="91"/>
      <c r="K29" s="91"/>
      <c r="L29" s="140"/>
      <c r="M29" s="91"/>
      <c r="N29" s="92"/>
      <c r="O29" s="91"/>
      <c r="P29" s="91"/>
      <c r="Q29" s="91"/>
      <c r="R29" s="91"/>
      <c r="S29" s="91"/>
      <c r="T29" s="91"/>
      <c r="U29" s="91"/>
      <c r="V29" s="91"/>
    </row>
    <row r="30" spans="1:24" s="64" customFormat="1" x14ac:dyDescent="0.25">
      <c r="A30" s="86"/>
      <c r="B30" s="63" t="s">
        <v>313</v>
      </c>
      <c r="C30" s="91">
        <f>'SCF (name) Summary Measures'!C30-'SCF (cell) Summary Measures'!C30</f>
        <v>0</v>
      </c>
      <c r="D30" s="91">
        <f>'SCF (name) Summary Measures'!D30-'SCF (cell) Summary Measures'!D30</f>
        <v>0</v>
      </c>
      <c r="E30" s="91">
        <f>'SCF (name) Summary Measures'!E30-'SCF (cell) Summary Measures'!E30</f>
        <v>0</v>
      </c>
      <c r="F30" s="91">
        <f>'SCF (name) Summary Measures'!F30-'SCF (cell) Summary Measures'!F30</f>
        <v>0</v>
      </c>
      <c r="G30" s="91">
        <f>'SCF (name) Summary Measures'!G30-'SCF (cell) Summary Measures'!G30</f>
        <v>0</v>
      </c>
      <c r="H30" s="91">
        <f>'SCF (name) Summary Measures'!H30-'SCF (cell) Summary Measures'!H30</f>
        <v>0</v>
      </c>
      <c r="I30" s="91">
        <f>'SCF (name) Summary Measures'!I30-'SCF (cell) Summary Measures'!I30</f>
        <v>0</v>
      </c>
      <c r="J30" s="91">
        <f>'SCF (name) Summary Measures'!J30-'SCF (cell) Summary Measures'!J30</f>
        <v>0</v>
      </c>
      <c r="K30" s="91">
        <f>'SCF (name) Summary Measures'!K30-'SCF (cell) Summary Measures'!K30</f>
        <v>0</v>
      </c>
      <c r="L30" s="140">
        <f>'SCF (name) Summary Measures'!L30-'SCF (cell) Summary Measures'!L30</f>
        <v>0</v>
      </c>
      <c r="M30" s="91">
        <f>'SCF (name) Summary Measures'!M30-'SCF (cell) Summary Measures'!M30</f>
        <v>0</v>
      </c>
      <c r="N30" s="91">
        <f>'SCF (name) Summary Measures'!N30-'SCF (cell) Summary Measures'!N30</f>
        <v>0</v>
      </c>
      <c r="O30" s="91">
        <f>'SCF (name) Summary Measures'!O30-'SCF (cell) Summary Measures'!O30</f>
        <v>0</v>
      </c>
      <c r="P30" s="91">
        <f>'SCF (name) Summary Measures'!P30-'SCF (cell) Summary Measures'!P30</f>
        <v>0</v>
      </c>
      <c r="Q30" s="91">
        <f>'SCF (name) Summary Measures'!Q30-'SCF (cell) Summary Measures'!Q30</f>
        <v>0</v>
      </c>
      <c r="R30" s="91">
        <f>'SCF (name) Summary Measures'!R30-'SCF (cell) Summary Measures'!R30</f>
        <v>0</v>
      </c>
      <c r="S30" s="91">
        <f>'SCF (name) Summary Measures'!S30-'SCF (cell) Summary Measures'!S30</f>
        <v>0</v>
      </c>
      <c r="T30" s="91">
        <f>'SCF (name) Summary Measures'!T30-'SCF (cell) Summary Measures'!T30</f>
        <v>0</v>
      </c>
      <c r="U30" s="91">
        <f>'SCF (name) Summary Measures'!U30-'SCF (cell) Summary Measures'!U30</f>
        <v>0</v>
      </c>
      <c r="V30" s="91">
        <f>'SCF (name) Summary Measures'!V30-'SCF (cell) Summary Measures'!V30</f>
        <v>0</v>
      </c>
    </row>
    <row r="31" spans="1:24" s="64" customFormat="1" x14ac:dyDescent="0.25">
      <c r="A31" s="86"/>
      <c r="B31" s="63" t="s">
        <v>314</v>
      </c>
      <c r="C31" s="91"/>
      <c r="D31" s="91"/>
      <c r="E31" s="91"/>
      <c r="F31" s="91"/>
      <c r="G31" s="91"/>
      <c r="H31" s="91"/>
      <c r="I31" s="91"/>
      <c r="J31" s="91"/>
      <c r="K31" s="91"/>
      <c r="L31" s="140"/>
      <c r="M31" s="91"/>
      <c r="N31" s="91"/>
      <c r="O31" s="91"/>
      <c r="P31" s="91"/>
      <c r="Q31" s="91"/>
      <c r="R31" s="91"/>
      <c r="S31" s="91"/>
      <c r="T31" s="91"/>
      <c r="U31" s="91"/>
      <c r="V31" s="91"/>
    </row>
    <row r="32" spans="1:24" s="64" customFormat="1" x14ac:dyDescent="0.25">
      <c r="A32" s="86"/>
      <c r="B32" s="63" t="s">
        <v>298</v>
      </c>
      <c r="C32" s="91">
        <f>'SCF (name) Summary Measures'!C32-'SCF (cell) Summary Measures'!C32</f>
        <v>0</v>
      </c>
      <c r="D32" s="91">
        <f>'SCF (name) Summary Measures'!D32-'SCF (cell) Summary Measures'!D32</f>
        <v>0</v>
      </c>
      <c r="E32" s="91">
        <f>'SCF (name) Summary Measures'!E32-'SCF (cell) Summary Measures'!E32</f>
        <v>0</v>
      </c>
      <c r="F32" s="91">
        <f>'SCF (name) Summary Measures'!F32-'SCF (cell) Summary Measures'!F32</f>
        <v>0</v>
      </c>
      <c r="G32" s="91">
        <f>'SCF (name) Summary Measures'!G32-'SCF (cell) Summary Measures'!G32</f>
        <v>0</v>
      </c>
      <c r="H32" s="91">
        <f>'SCF (name) Summary Measures'!H32-'SCF (cell) Summary Measures'!H32</f>
        <v>0</v>
      </c>
      <c r="I32" s="91">
        <f>'SCF (name) Summary Measures'!I32-'SCF (cell) Summary Measures'!I32</f>
        <v>0</v>
      </c>
      <c r="J32" s="91">
        <f>'SCF (name) Summary Measures'!J32-'SCF (cell) Summary Measures'!J32</f>
        <v>0</v>
      </c>
      <c r="K32" s="91">
        <f>'SCF (name) Summary Measures'!K32-'SCF (cell) Summary Measures'!K32</f>
        <v>0</v>
      </c>
      <c r="L32" s="140">
        <f>'SCF (name) Summary Measures'!L32-'SCF (cell) Summary Measures'!L32</f>
        <v>0</v>
      </c>
      <c r="M32" s="91">
        <f>'SCF (name) Summary Measures'!M32-'SCF (cell) Summary Measures'!M32</f>
        <v>0</v>
      </c>
      <c r="N32" s="91">
        <f>'SCF (name) Summary Measures'!N32-'SCF (cell) Summary Measures'!N32</f>
        <v>0</v>
      </c>
      <c r="O32" s="91">
        <f>'SCF (name) Summary Measures'!O32-'SCF (cell) Summary Measures'!O32</f>
        <v>0</v>
      </c>
      <c r="P32" s="91">
        <f>'SCF (name) Summary Measures'!P32-'SCF (cell) Summary Measures'!P32</f>
        <v>0</v>
      </c>
      <c r="Q32" s="91">
        <f>'SCF (name) Summary Measures'!Q32-'SCF (cell) Summary Measures'!Q32</f>
        <v>0</v>
      </c>
      <c r="R32" s="91">
        <f>'SCF (name) Summary Measures'!R32-'SCF (cell) Summary Measures'!R32</f>
        <v>0</v>
      </c>
      <c r="S32" s="91">
        <f>'SCF (name) Summary Measures'!S32-'SCF (cell) Summary Measures'!S32</f>
        <v>0</v>
      </c>
      <c r="T32" s="91">
        <f>'SCF (name) Summary Measures'!T32-'SCF (cell) Summary Measures'!T32</f>
        <v>0</v>
      </c>
      <c r="U32" s="91">
        <f>'SCF (name) Summary Measures'!U32-'SCF (cell) Summary Measures'!U32</f>
        <v>0</v>
      </c>
      <c r="V32" s="91">
        <f>'SCF (name) Summary Measures'!V32-'SCF (cell) Summary Measures'!V32</f>
        <v>0</v>
      </c>
    </row>
    <row r="33" spans="1:23" s="64" customFormat="1" x14ac:dyDescent="0.25">
      <c r="A33" s="86"/>
      <c r="B33" s="63" t="s">
        <v>299</v>
      </c>
      <c r="C33" s="91">
        <f>'SCF (name) Summary Measures'!C33-'SCF (cell) Summary Measures'!C33</f>
        <v>0</v>
      </c>
      <c r="D33" s="91">
        <f>'SCF (name) Summary Measures'!D33-'SCF (cell) Summary Measures'!D33</f>
        <v>0</v>
      </c>
      <c r="E33" s="91">
        <f>'SCF (name) Summary Measures'!E33-'SCF (cell) Summary Measures'!E33</f>
        <v>0</v>
      </c>
      <c r="F33" s="91">
        <f>'SCF (name) Summary Measures'!F33-'SCF (cell) Summary Measures'!F33</f>
        <v>0</v>
      </c>
      <c r="G33" s="91">
        <f>'SCF (name) Summary Measures'!G33-'SCF (cell) Summary Measures'!G33</f>
        <v>0</v>
      </c>
      <c r="H33" s="91">
        <f>'SCF (name) Summary Measures'!H33-'SCF (cell) Summary Measures'!H33</f>
        <v>0</v>
      </c>
      <c r="I33" s="91">
        <f>'SCF (name) Summary Measures'!I33-'SCF (cell) Summary Measures'!I33</f>
        <v>0</v>
      </c>
      <c r="J33" s="91">
        <f>'SCF (name) Summary Measures'!J33-'SCF (cell) Summary Measures'!J33</f>
        <v>0</v>
      </c>
      <c r="K33" s="91">
        <f>'SCF (name) Summary Measures'!K33-'SCF (cell) Summary Measures'!K33</f>
        <v>0</v>
      </c>
      <c r="L33" s="140">
        <f>'SCF (name) Summary Measures'!L33-'SCF (cell) Summary Measures'!L33</f>
        <v>0</v>
      </c>
      <c r="M33" s="91">
        <f>'SCF (name) Summary Measures'!M33-'SCF (cell) Summary Measures'!M33</f>
        <v>0</v>
      </c>
      <c r="N33" s="91">
        <f>'SCF (name) Summary Measures'!N33-'SCF (cell) Summary Measures'!N33</f>
        <v>0</v>
      </c>
      <c r="O33" s="91">
        <f>'SCF (name) Summary Measures'!O33-'SCF (cell) Summary Measures'!O33</f>
        <v>0</v>
      </c>
      <c r="P33" s="91">
        <f>'SCF (name) Summary Measures'!P33-'SCF (cell) Summary Measures'!P33</f>
        <v>0</v>
      </c>
      <c r="Q33" s="91">
        <f>'SCF (name) Summary Measures'!Q33-'SCF (cell) Summary Measures'!Q33</f>
        <v>0</v>
      </c>
      <c r="R33" s="91">
        <f>'SCF (name) Summary Measures'!R33-'SCF (cell) Summary Measures'!R33</f>
        <v>0</v>
      </c>
      <c r="S33" s="91">
        <f>'SCF (name) Summary Measures'!S33-'SCF (cell) Summary Measures'!S33</f>
        <v>0</v>
      </c>
      <c r="T33" s="91">
        <f>'SCF (name) Summary Measures'!T33-'SCF (cell) Summary Measures'!T33</f>
        <v>0</v>
      </c>
      <c r="U33" s="91">
        <f>'SCF (name) Summary Measures'!U33-'SCF (cell) Summary Measures'!U33</f>
        <v>0</v>
      </c>
      <c r="V33" s="91">
        <f>'SCF (name) Summary Measures'!V33-'SCF (cell) Summary Measures'!V33</f>
        <v>0</v>
      </c>
    </row>
    <row r="34" spans="1:23" s="64" customFormat="1" x14ac:dyDescent="0.25">
      <c r="A34" s="86"/>
      <c r="B34" s="63" t="s">
        <v>293</v>
      </c>
      <c r="C34" s="91">
        <f>'SCF (name) Summary Measures'!C34-'SCF (cell) Summary Measures'!C34</f>
        <v>0</v>
      </c>
      <c r="D34" s="91">
        <f>'SCF (name) Summary Measures'!D34-'SCF (cell) Summary Measures'!D34</f>
        <v>0</v>
      </c>
      <c r="E34" s="91">
        <f>'SCF (name) Summary Measures'!E34-'SCF (cell) Summary Measures'!E34</f>
        <v>0</v>
      </c>
      <c r="F34" s="91">
        <f>'SCF (name) Summary Measures'!F34-'SCF (cell) Summary Measures'!F34</f>
        <v>0</v>
      </c>
      <c r="G34" s="91">
        <f>'SCF (name) Summary Measures'!G34-'SCF (cell) Summary Measures'!G34</f>
        <v>0</v>
      </c>
      <c r="H34" s="91">
        <f>'SCF (name) Summary Measures'!H34-'SCF (cell) Summary Measures'!H34</f>
        <v>0</v>
      </c>
      <c r="I34" s="91">
        <f>'SCF (name) Summary Measures'!I34-'SCF (cell) Summary Measures'!I34</f>
        <v>0</v>
      </c>
      <c r="J34" s="91">
        <f>'SCF (name) Summary Measures'!J34-'SCF (cell) Summary Measures'!J34</f>
        <v>0</v>
      </c>
      <c r="K34" s="91">
        <f>'SCF (name) Summary Measures'!K34-'SCF (cell) Summary Measures'!K34</f>
        <v>0</v>
      </c>
      <c r="L34" s="140">
        <f>'SCF (name) Summary Measures'!L34-'SCF (cell) Summary Measures'!L34</f>
        <v>0</v>
      </c>
      <c r="M34" s="91">
        <f>'SCF (name) Summary Measures'!M34-'SCF (cell) Summary Measures'!M34</f>
        <v>0</v>
      </c>
      <c r="N34" s="91">
        <f>'SCF (name) Summary Measures'!N34-'SCF (cell) Summary Measures'!N34</f>
        <v>0</v>
      </c>
      <c r="O34" s="91">
        <f>'SCF (name) Summary Measures'!O34-'SCF (cell) Summary Measures'!O34</f>
        <v>0</v>
      </c>
      <c r="P34" s="91">
        <f>'SCF (name) Summary Measures'!P34-'SCF (cell) Summary Measures'!P34</f>
        <v>0</v>
      </c>
      <c r="Q34" s="91">
        <f>'SCF (name) Summary Measures'!Q34-'SCF (cell) Summary Measures'!Q34</f>
        <v>0</v>
      </c>
      <c r="R34" s="91">
        <f>'SCF (name) Summary Measures'!R34-'SCF (cell) Summary Measures'!R34</f>
        <v>0</v>
      </c>
      <c r="S34" s="91">
        <f>'SCF (name) Summary Measures'!S34-'SCF (cell) Summary Measures'!S34</f>
        <v>0</v>
      </c>
      <c r="T34" s="91">
        <f>'SCF (name) Summary Measures'!T34-'SCF (cell) Summary Measures'!T34</f>
        <v>0</v>
      </c>
      <c r="U34" s="91">
        <f>'SCF (name) Summary Measures'!U34-'SCF (cell) Summary Measures'!U34</f>
        <v>0</v>
      </c>
      <c r="V34" s="91">
        <f>'SCF (name) Summary Measures'!V34-'SCF (cell) Summary Measures'!V34</f>
        <v>0</v>
      </c>
    </row>
    <row r="35" spans="1:23" s="64" customFormat="1" x14ac:dyDescent="0.25">
      <c r="A35" s="86"/>
      <c r="B35" s="63" t="s">
        <v>315</v>
      </c>
      <c r="C35" s="91"/>
      <c r="D35" s="91"/>
      <c r="E35" s="91"/>
      <c r="F35" s="91"/>
      <c r="G35" s="91"/>
      <c r="H35" s="91"/>
      <c r="I35" s="91"/>
      <c r="J35" s="91"/>
      <c r="K35" s="91"/>
      <c r="L35" s="140"/>
      <c r="M35" s="91"/>
      <c r="N35" s="91"/>
      <c r="O35" s="91"/>
      <c r="P35" s="91"/>
      <c r="Q35" s="91"/>
      <c r="R35" s="91"/>
      <c r="S35" s="91"/>
      <c r="T35" s="91"/>
      <c r="U35" s="91"/>
      <c r="V35" s="91"/>
    </row>
    <row r="36" spans="1:23" s="64" customFormat="1" x14ac:dyDescent="0.25">
      <c r="A36" s="86"/>
      <c r="B36" s="63" t="s">
        <v>298</v>
      </c>
      <c r="C36" s="91">
        <f>'SCF (name) Summary Measures'!C36-'SCF (cell) Summary Measures'!C36</f>
        <v>0</v>
      </c>
      <c r="D36" s="91">
        <f>'SCF (name) Summary Measures'!D36-'SCF (cell) Summary Measures'!D36</f>
        <v>0</v>
      </c>
      <c r="E36" s="91">
        <f>'SCF (name) Summary Measures'!E36-'SCF (cell) Summary Measures'!E36</f>
        <v>0</v>
      </c>
      <c r="F36" s="91">
        <f>'SCF (name) Summary Measures'!F36-'SCF (cell) Summary Measures'!F36</f>
        <v>0</v>
      </c>
      <c r="G36" s="91">
        <f>'SCF (name) Summary Measures'!G36-'SCF (cell) Summary Measures'!G36</f>
        <v>0</v>
      </c>
      <c r="H36" s="91">
        <f>'SCF (name) Summary Measures'!H36-'SCF (cell) Summary Measures'!H36</f>
        <v>0</v>
      </c>
      <c r="I36" s="91">
        <f>'SCF (name) Summary Measures'!I36-'SCF (cell) Summary Measures'!I36</f>
        <v>0</v>
      </c>
      <c r="J36" s="91">
        <f>'SCF (name) Summary Measures'!J36-'SCF (cell) Summary Measures'!J36</f>
        <v>0</v>
      </c>
      <c r="K36" s="91">
        <f>'SCF (name) Summary Measures'!K36-'SCF (cell) Summary Measures'!K36</f>
        <v>0</v>
      </c>
      <c r="L36" s="140">
        <f>'SCF (name) Summary Measures'!L36-'SCF (cell) Summary Measures'!L36</f>
        <v>0</v>
      </c>
      <c r="M36" s="91">
        <f>'SCF (name) Summary Measures'!M36-'SCF (cell) Summary Measures'!M36</f>
        <v>0</v>
      </c>
      <c r="N36" s="91">
        <f>'SCF (name) Summary Measures'!N36-'SCF (cell) Summary Measures'!N36</f>
        <v>0</v>
      </c>
      <c r="O36" s="91">
        <f>'SCF (name) Summary Measures'!O36-'SCF (cell) Summary Measures'!O36</f>
        <v>0</v>
      </c>
      <c r="P36" s="91">
        <f>'SCF (name) Summary Measures'!P36-'SCF (cell) Summary Measures'!P36</f>
        <v>0</v>
      </c>
      <c r="Q36" s="91">
        <f>'SCF (name) Summary Measures'!Q36-'SCF (cell) Summary Measures'!Q36</f>
        <v>0</v>
      </c>
      <c r="R36" s="91">
        <f>'SCF (name) Summary Measures'!R36-'SCF (cell) Summary Measures'!R36</f>
        <v>0</v>
      </c>
      <c r="S36" s="91">
        <f>'SCF (name) Summary Measures'!S36-'SCF (cell) Summary Measures'!S36</f>
        <v>0</v>
      </c>
      <c r="T36" s="91">
        <f>'SCF (name) Summary Measures'!T36-'SCF (cell) Summary Measures'!T36</f>
        <v>0</v>
      </c>
      <c r="U36" s="91">
        <f>'SCF (name) Summary Measures'!U36-'SCF (cell) Summary Measures'!U36</f>
        <v>0</v>
      </c>
      <c r="V36" s="91">
        <f>'SCF (name) Summary Measures'!V36-'SCF (cell) Summary Measures'!V36</f>
        <v>0</v>
      </c>
    </row>
    <row r="37" spans="1:23" s="64" customFormat="1" x14ac:dyDescent="0.25">
      <c r="A37" s="86"/>
      <c r="B37" s="63" t="s">
        <v>299</v>
      </c>
      <c r="C37" s="91">
        <f>'SCF (name) Summary Measures'!C37-'SCF (cell) Summary Measures'!C37</f>
        <v>0</v>
      </c>
      <c r="D37" s="91">
        <f>'SCF (name) Summary Measures'!D37-'SCF (cell) Summary Measures'!D37</f>
        <v>0</v>
      </c>
      <c r="E37" s="91">
        <f>'SCF (name) Summary Measures'!E37-'SCF (cell) Summary Measures'!E37</f>
        <v>0</v>
      </c>
      <c r="F37" s="91">
        <f>'SCF (name) Summary Measures'!F37-'SCF (cell) Summary Measures'!F37</f>
        <v>0</v>
      </c>
      <c r="G37" s="91">
        <f>'SCF (name) Summary Measures'!G37-'SCF (cell) Summary Measures'!G37</f>
        <v>0</v>
      </c>
      <c r="H37" s="91">
        <f>'SCF (name) Summary Measures'!H37-'SCF (cell) Summary Measures'!H37</f>
        <v>0</v>
      </c>
      <c r="I37" s="91">
        <f>'SCF (name) Summary Measures'!I37-'SCF (cell) Summary Measures'!I37</f>
        <v>0</v>
      </c>
      <c r="J37" s="91">
        <f>'SCF (name) Summary Measures'!J37-'SCF (cell) Summary Measures'!J37</f>
        <v>0</v>
      </c>
      <c r="K37" s="91">
        <f>'SCF (name) Summary Measures'!K37-'SCF (cell) Summary Measures'!K37</f>
        <v>0</v>
      </c>
      <c r="L37" s="140">
        <f>'SCF (name) Summary Measures'!L37-'SCF (cell) Summary Measures'!L37</f>
        <v>0</v>
      </c>
      <c r="M37" s="91">
        <f>'SCF (name) Summary Measures'!M37-'SCF (cell) Summary Measures'!M37</f>
        <v>-2.0367076793796741</v>
      </c>
      <c r="N37" s="91">
        <f>'SCF (name) Summary Measures'!N37-'SCF (cell) Summary Measures'!N37</f>
        <v>-2.7161618688783165</v>
      </c>
      <c r="O37" s="91">
        <f>'SCF (name) Summary Measures'!O37-'SCF (cell) Summary Measures'!O37</f>
        <v>-3.2807887369702939</v>
      </c>
      <c r="P37" s="91">
        <f>'SCF (name) Summary Measures'!P37-'SCF (cell) Summary Measures'!P37</f>
        <v>-3.844738519024304</v>
      </c>
      <c r="Q37" s="91">
        <f>'SCF (name) Summary Measures'!Q37-'SCF (cell) Summary Measures'!Q37</f>
        <v>-4.4174781514440156</v>
      </c>
      <c r="R37" s="91">
        <f>'SCF (name) Summary Measures'!R37-'SCF (cell) Summary Measures'!R37</f>
        <v>-4.9947282548913563</v>
      </c>
      <c r="S37" s="91">
        <f>'SCF (name) Summary Measures'!S37-'SCF (cell) Summary Measures'!S37</f>
        <v>-5.5722101763016099</v>
      </c>
      <c r="T37" s="91">
        <f>'SCF (name) Summary Measures'!T37-'SCF (cell) Summary Measures'!T37</f>
        <v>-6.1466741999182659</v>
      </c>
      <c r="U37" s="91">
        <f>'SCF (name) Summary Measures'!U37-'SCF (cell) Summary Measures'!U37</f>
        <v>-6.715636498236222</v>
      </c>
      <c r="V37" s="91">
        <f>'SCF (name) Summary Measures'!V37-'SCF (cell) Summary Measures'!V37</f>
        <v>-7.2771521223075979</v>
      </c>
    </row>
    <row r="38" spans="1:23" s="64" customFormat="1" x14ac:dyDescent="0.25">
      <c r="A38" s="86"/>
      <c r="B38" s="63" t="s">
        <v>293</v>
      </c>
      <c r="C38" s="91">
        <f>'SCF (name) Summary Measures'!C38-'SCF (cell) Summary Measures'!C38</f>
        <v>0</v>
      </c>
      <c r="D38" s="91">
        <f>'SCF (name) Summary Measures'!D38-'SCF (cell) Summary Measures'!D38</f>
        <v>0</v>
      </c>
      <c r="E38" s="91">
        <f>'SCF (name) Summary Measures'!E38-'SCF (cell) Summary Measures'!E38</f>
        <v>0</v>
      </c>
      <c r="F38" s="91">
        <f>'SCF (name) Summary Measures'!F38-'SCF (cell) Summary Measures'!F38</f>
        <v>0</v>
      </c>
      <c r="G38" s="91">
        <f>'SCF (name) Summary Measures'!G38-'SCF (cell) Summary Measures'!G38</f>
        <v>0</v>
      </c>
      <c r="H38" s="91">
        <f>'SCF (name) Summary Measures'!H38-'SCF (cell) Summary Measures'!H38</f>
        <v>0</v>
      </c>
      <c r="I38" s="91">
        <f>'SCF (name) Summary Measures'!I38-'SCF (cell) Summary Measures'!I38</f>
        <v>0</v>
      </c>
      <c r="J38" s="91">
        <f>'SCF (name) Summary Measures'!J38-'SCF (cell) Summary Measures'!J38</f>
        <v>0</v>
      </c>
      <c r="K38" s="91">
        <f>'SCF (name) Summary Measures'!K38-'SCF (cell) Summary Measures'!K38</f>
        <v>0</v>
      </c>
      <c r="L38" s="140">
        <f>'SCF (name) Summary Measures'!L38-'SCF (cell) Summary Measures'!L38</f>
        <v>0</v>
      </c>
      <c r="M38" s="91">
        <f>'SCF (name) Summary Measures'!M38-'SCF (cell) Summary Measures'!M38</f>
        <v>-2.0367076793795604</v>
      </c>
      <c r="N38" s="91">
        <f>'SCF (name) Summary Measures'!N38-'SCF (cell) Summary Measures'!N38</f>
        <v>-2.7161618688783165</v>
      </c>
      <c r="O38" s="91">
        <f>'SCF (name) Summary Measures'!O38-'SCF (cell) Summary Measures'!O38</f>
        <v>-3.2807887369701803</v>
      </c>
      <c r="P38" s="91">
        <f>'SCF (name) Summary Measures'!P38-'SCF (cell) Summary Measures'!P38</f>
        <v>-3.844738519024304</v>
      </c>
      <c r="Q38" s="91">
        <f>'SCF (name) Summary Measures'!Q38-'SCF (cell) Summary Measures'!Q38</f>
        <v>-4.4174781514441293</v>
      </c>
      <c r="R38" s="91">
        <f>'SCF (name) Summary Measures'!R38-'SCF (cell) Summary Measures'!R38</f>
        <v>-4.9947282548912426</v>
      </c>
      <c r="S38" s="91">
        <f>'SCF (name) Summary Measures'!S38-'SCF (cell) Summary Measures'!S38</f>
        <v>-5.5722101763014962</v>
      </c>
      <c r="T38" s="91">
        <f>'SCF (name) Summary Measures'!T38-'SCF (cell) Summary Measures'!T38</f>
        <v>-6.1466741999181522</v>
      </c>
      <c r="U38" s="91">
        <f>'SCF (name) Summary Measures'!U38-'SCF (cell) Summary Measures'!U38</f>
        <v>-6.7156364982363357</v>
      </c>
      <c r="V38" s="91">
        <f>'SCF (name) Summary Measures'!V38-'SCF (cell) Summary Measures'!V38</f>
        <v>-7.2771521223075979</v>
      </c>
    </row>
    <row r="39" spans="1:23" s="64" customFormat="1" x14ac:dyDescent="0.25">
      <c r="A39" s="86"/>
      <c r="B39" s="63" t="s">
        <v>300</v>
      </c>
      <c r="C39" s="91">
        <f>'SCF (name) Summary Measures'!C39-'SCF (cell) Summary Measures'!C39</f>
        <v>0</v>
      </c>
      <c r="D39" s="91">
        <f>'SCF (name) Summary Measures'!D39-'SCF (cell) Summary Measures'!D39</f>
        <v>0</v>
      </c>
      <c r="E39" s="91">
        <f>'SCF (name) Summary Measures'!E39-'SCF (cell) Summary Measures'!E39</f>
        <v>0</v>
      </c>
      <c r="F39" s="91">
        <f>'SCF (name) Summary Measures'!F39-'SCF (cell) Summary Measures'!F39</f>
        <v>0</v>
      </c>
      <c r="G39" s="91">
        <f>'SCF (name) Summary Measures'!G39-'SCF (cell) Summary Measures'!G39</f>
        <v>0</v>
      </c>
      <c r="H39" s="91">
        <f>'SCF (name) Summary Measures'!H39-'SCF (cell) Summary Measures'!H39</f>
        <v>0</v>
      </c>
      <c r="I39" s="91">
        <f>'SCF (name) Summary Measures'!I39-'SCF (cell) Summary Measures'!I39</f>
        <v>0</v>
      </c>
      <c r="J39" s="91">
        <f>'SCF (name) Summary Measures'!J39-'SCF (cell) Summary Measures'!J39</f>
        <v>0</v>
      </c>
      <c r="K39" s="91">
        <f>'SCF (name) Summary Measures'!K39-'SCF (cell) Summary Measures'!K39</f>
        <v>0</v>
      </c>
      <c r="L39" s="140">
        <f>'SCF (name) Summary Measures'!L39-'SCF (cell) Summary Measures'!L39</f>
        <v>0</v>
      </c>
      <c r="M39" s="91">
        <f>'SCF (name) Summary Measures'!M39-'SCF (cell) Summary Measures'!M39</f>
        <v>0</v>
      </c>
      <c r="N39" s="91">
        <f>'SCF (name) Summary Measures'!N39-'SCF (cell) Summary Measures'!N39</f>
        <v>0</v>
      </c>
      <c r="O39" s="91">
        <f>'SCF (name) Summary Measures'!O39-'SCF (cell) Summary Measures'!O39</f>
        <v>0</v>
      </c>
      <c r="P39" s="91">
        <f>'SCF (name) Summary Measures'!P39-'SCF (cell) Summary Measures'!P39</f>
        <v>0</v>
      </c>
      <c r="Q39" s="91">
        <f>'SCF (name) Summary Measures'!Q39-'SCF (cell) Summary Measures'!Q39</f>
        <v>0</v>
      </c>
      <c r="R39" s="91">
        <f>'SCF (name) Summary Measures'!R39-'SCF (cell) Summary Measures'!R39</f>
        <v>0</v>
      </c>
      <c r="S39" s="91">
        <f>'SCF (name) Summary Measures'!S39-'SCF (cell) Summary Measures'!S39</f>
        <v>0</v>
      </c>
      <c r="T39" s="91">
        <f>'SCF (name) Summary Measures'!T39-'SCF (cell) Summary Measures'!T39</f>
        <v>0</v>
      </c>
      <c r="U39" s="91">
        <f>'SCF (name) Summary Measures'!U39-'SCF (cell) Summary Measures'!U39</f>
        <v>0</v>
      </c>
      <c r="V39" s="91">
        <f>'SCF (name) Summary Measures'!V39-'SCF (cell) Summary Measures'!V39</f>
        <v>0</v>
      </c>
    </row>
    <row r="40" spans="1:23" s="64" customFormat="1" x14ac:dyDescent="0.25">
      <c r="A40" s="86"/>
      <c r="B40" s="63" t="s">
        <v>301</v>
      </c>
      <c r="C40" s="91">
        <f>'SCF (name) Summary Measures'!C40-'SCF (cell) Summary Measures'!C40</f>
        <v>0</v>
      </c>
      <c r="D40" s="91">
        <f>'SCF (name) Summary Measures'!D40-'SCF (cell) Summary Measures'!D40</f>
        <v>0</v>
      </c>
      <c r="E40" s="91">
        <f>'SCF (name) Summary Measures'!E40-'SCF (cell) Summary Measures'!E40</f>
        <v>0</v>
      </c>
      <c r="F40" s="91">
        <f>'SCF (name) Summary Measures'!F40-'SCF (cell) Summary Measures'!F40</f>
        <v>0</v>
      </c>
      <c r="G40" s="91">
        <f>'SCF (name) Summary Measures'!G40-'SCF (cell) Summary Measures'!G40</f>
        <v>0</v>
      </c>
      <c r="H40" s="91">
        <f>'SCF (name) Summary Measures'!H40-'SCF (cell) Summary Measures'!H40</f>
        <v>0</v>
      </c>
      <c r="I40" s="91">
        <f>'SCF (name) Summary Measures'!I40-'SCF (cell) Summary Measures'!I40</f>
        <v>0</v>
      </c>
      <c r="J40" s="91">
        <f>'SCF (name) Summary Measures'!J40-'SCF (cell) Summary Measures'!J40</f>
        <v>0</v>
      </c>
      <c r="K40" s="91">
        <f>'SCF (name) Summary Measures'!K40-'SCF (cell) Summary Measures'!K40</f>
        <v>0</v>
      </c>
      <c r="L40" s="140">
        <f>'SCF (name) Summary Measures'!L40-'SCF (cell) Summary Measures'!L40</f>
        <v>0</v>
      </c>
      <c r="M40" s="91">
        <f>'SCF (name) Summary Measures'!M40-'SCF (cell) Summary Measures'!M40</f>
        <v>-2.0367076793797878</v>
      </c>
      <c r="N40" s="91">
        <f>'SCF (name) Summary Measures'!N40-'SCF (cell) Summary Measures'!N40</f>
        <v>-2.7161618688783165</v>
      </c>
      <c r="O40" s="91">
        <f>'SCF (name) Summary Measures'!O40-'SCF (cell) Summary Measures'!O40</f>
        <v>-3.2807887369701803</v>
      </c>
      <c r="P40" s="91">
        <f>'SCF (name) Summary Measures'!P40-'SCF (cell) Summary Measures'!P40</f>
        <v>-3.844738519024304</v>
      </c>
      <c r="Q40" s="91">
        <f>'SCF (name) Summary Measures'!Q40-'SCF (cell) Summary Measures'!Q40</f>
        <v>-4.4174781514439019</v>
      </c>
      <c r="R40" s="91">
        <f>'SCF (name) Summary Measures'!R40-'SCF (cell) Summary Measures'!R40</f>
        <v>-4.99472825489147</v>
      </c>
      <c r="S40" s="91">
        <f>'SCF (name) Summary Measures'!S40-'SCF (cell) Summary Measures'!S40</f>
        <v>-5.5722101763017235</v>
      </c>
      <c r="T40" s="91">
        <f>'SCF (name) Summary Measures'!T40-'SCF (cell) Summary Measures'!T40</f>
        <v>-6.1466741999183796</v>
      </c>
      <c r="U40" s="91">
        <f>'SCF (name) Summary Measures'!U40-'SCF (cell) Summary Measures'!U40</f>
        <v>-6.7156364982361083</v>
      </c>
      <c r="V40" s="91">
        <f>'SCF (name) Summary Measures'!V40-'SCF (cell) Summary Measures'!V40</f>
        <v>-7.2771521223075979</v>
      </c>
    </row>
    <row r="41" spans="1:23" s="64" customFormat="1" x14ac:dyDescent="0.25">
      <c r="A41" s="86"/>
      <c r="B41" s="63" t="s">
        <v>87</v>
      </c>
      <c r="C41" s="100">
        <f>'SCF (name) Summary Measures'!C41-'SCF (cell) Summary Measures'!C41</f>
        <v>0</v>
      </c>
      <c r="D41" s="100">
        <f>'SCF (name) Summary Measures'!D41-'SCF (cell) Summary Measures'!D41</f>
        <v>0</v>
      </c>
      <c r="E41" s="100">
        <f>'SCF (name) Summary Measures'!E41-'SCF (cell) Summary Measures'!E41</f>
        <v>0</v>
      </c>
      <c r="F41" s="100">
        <f>'SCF (name) Summary Measures'!F41-'SCF (cell) Summary Measures'!F41</f>
        <v>0</v>
      </c>
      <c r="G41" s="100">
        <f>'SCF (name) Summary Measures'!G41-'SCF (cell) Summary Measures'!G41</f>
        <v>0</v>
      </c>
      <c r="H41" s="100">
        <f>'SCF (name) Summary Measures'!H41-'SCF (cell) Summary Measures'!H41</f>
        <v>0</v>
      </c>
      <c r="I41" s="100">
        <f>'SCF (name) Summary Measures'!I41-'SCF (cell) Summary Measures'!I41</f>
        <v>0</v>
      </c>
      <c r="J41" s="100">
        <f>'SCF (name) Summary Measures'!J41-'SCF (cell) Summary Measures'!J41</f>
        <v>0</v>
      </c>
      <c r="K41" s="100">
        <f>'SCF (name) Summary Measures'!K41-'SCF (cell) Summary Measures'!K41</f>
        <v>0</v>
      </c>
      <c r="L41" s="142">
        <f>'SCF (name) Summary Measures'!L41-'SCF (cell) Summary Measures'!L41</f>
        <v>0</v>
      </c>
      <c r="M41" s="100">
        <f>'SCF (name) Summary Measures'!M41-'SCF (cell) Summary Measures'!M41</f>
        <v>-2.0367076793809247</v>
      </c>
      <c r="N41" s="100">
        <f>'SCF (name) Summary Measures'!N41-'SCF (cell) Summary Measures'!N41</f>
        <v>-2.7161618688787712</v>
      </c>
      <c r="O41" s="100">
        <f>'SCF (name) Summary Measures'!O41-'SCF (cell) Summary Measures'!O41</f>
        <v>-3.2807887369708624</v>
      </c>
      <c r="P41" s="100">
        <f>'SCF (name) Summary Measures'!P41-'SCF (cell) Summary Measures'!P41</f>
        <v>-3.8447385190238492</v>
      </c>
      <c r="Q41" s="100">
        <f>'SCF (name) Summary Measures'!Q41-'SCF (cell) Summary Measures'!Q41</f>
        <v>-4.4174781514439019</v>
      </c>
      <c r="R41" s="100">
        <f>'SCF (name) Summary Measures'!R41-'SCF (cell) Summary Measures'!R41</f>
        <v>-4.9947282548919247</v>
      </c>
      <c r="S41" s="100">
        <f>'SCF (name) Summary Measures'!S41-'SCF (cell) Summary Measures'!S41</f>
        <v>-5.5722101763021783</v>
      </c>
      <c r="T41" s="100">
        <f>'SCF (name) Summary Measures'!T41-'SCF (cell) Summary Measures'!T41</f>
        <v>-6.1466741999174701</v>
      </c>
      <c r="U41" s="100">
        <f>'SCF (name) Summary Measures'!U41-'SCF (cell) Summary Measures'!U41</f>
        <v>-6.7156364982356536</v>
      </c>
      <c r="V41" s="100">
        <f>'SCF (name) Summary Measures'!V41-'SCF (cell) Summary Measures'!V41</f>
        <v>-7.2771521223075979</v>
      </c>
      <c r="W41" s="116"/>
    </row>
    <row r="42" spans="1:23" s="88" customFormat="1" x14ac:dyDescent="0.25">
      <c r="A42" s="150" t="s">
        <v>302</v>
      </c>
      <c r="C42" s="90"/>
      <c r="D42" s="91"/>
      <c r="E42" s="91"/>
      <c r="F42" s="91"/>
      <c r="G42" s="91"/>
      <c r="H42" s="91"/>
      <c r="I42" s="91"/>
      <c r="J42" s="91"/>
      <c r="K42" s="91"/>
      <c r="L42" s="148"/>
      <c r="M42" s="91"/>
      <c r="N42" s="92"/>
      <c r="O42" s="91"/>
      <c r="P42" s="91"/>
      <c r="Q42" s="91"/>
      <c r="R42" s="91"/>
      <c r="S42" s="91"/>
      <c r="T42" s="91"/>
      <c r="U42" s="91"/>
      <c r="V42" s="91"/>
      <c r="W42" s="64"/>
    </row>
    <row r="43" spans="1:23" x14ac:dyDescent="0.25">
      <c r="A43" s="86"/>
      <c r="B43" s="64" t="s">
        <v>313</v>
      </c>
      <c r="C43" s="90"/>
      <c r="D43" s="91"/>
      <c r="E43" s="91"/>
      <c r="F43" s="91"/>
      <c r="G43" s="91"/>
      <c r="H43" s="91"/>
      <c r="I43" s="91"/>
      <c r="J43" s="91"/>
      <c r="K43" s="91"/>
      <c r="L43" s="140"/>
      <c r="M43" s="91"/>
      <c r="N43" s="92"/>
      <c r="O43" s="91"/>
      <c r="P43" s="91"/>
      <c r="Q43" s="91"/>
      <c r="R43" s="91"/>
      <c r="S43" s="91"/>
      <c r="T43" s="91"/>
      <c r="U43" s="91"/>
      <c r="V43" s="91"/>
    </row>
    <row r="44" spans="1:23" x14ac:dyDescent="0.25">
      <c r="A44" s="86"/>
      <c r="B44" s="63" t="s">
        <v>128</v>
      </c>
      <c r="C44" s="91">
        <f>'SCF (name) Summary Measures'!C44-'SCF (cell) Summary Measures'!C44</f>
        <v>0</v>
      </c>
      <c r="D44" s="91">
        <f>'SCF (name) Summary Measures'!D44-'SCF (cell) Summary Measures'!D44</f>
        <v>0</v>
      </c>
      <c r="E44" s="91">
        <f>'SCF (name) Summary Measures'!E44-'SCF (cell) Summary Measures'!E44</f>
        <v>0</v>
      </c>
      <c r="F44" s="91">
        <f>'SCF (name) Summary Measures'!F44-'SCF (cell) Summary Measures'!F44</f>
        <v>0</v>
      </c>
      <c r="G44" s="91">
        <f>'SCF (name) Summary Measures'!G44-'SCF (cell) Summary Measures'!G44</f>
        <v>0</v>
      </c>
      <c r="H44" s="91">
        <f>'SCF (name) Summary Measures'!H44-'SCF (cell) Summary Measures'!H44</f>
        <v>0</v>
      </c>
      <c r="I44" s="91">
        <f>'SCF (name) Summary Measures'!I44-'SCF (cell) Summary Measures'!I44</f>
        <v>0</v>
      </c>
      <c r="J44" s="91">
        <f>'SCF (name) Summary Measures'!J44-'SCF (cell) Summary Measures'!J44</f>
        <v>0</v>
      </c>
      <c r="K44" s="91">
        <f>'SCF (name) Summary Measures'!K44-'SCF (cell) Summary Measures'!K44</f>
        <v>0</v>
      </c>
      <c r="L44" s="140">
        <f>'SCF (name) Summary Measures'!L44-'SCF (cell) Summary Measures'!L44</f>
        <v>0</v>
      </c>
      <c r="M44" s="91">
        <f>'SCF (name) Summary Measures'!M44-'SCF (cell) Summary Measures'!M44</f>
        <v>0</v>
      </c>
      <c r="N44" s="91">
        <f>'SCF (name) Summary Measures'!N44-'SCF (cell) Summary Measures'!N44</f>
        <v>0</v>
      </c>
      <c r="O44" s="91">
        <f>'SCF (name) Summary Measures'!O44-'SCF (cell) Summary Measures'!O44</f>
        <v>0</v>
      </c>
      <c r="P44" s="91">
        <f>'SCF (name) Summary Measures'!P44-'SCF (cell) Summary Measures'!P44</f>
        <v>0</v>
      </c>
      <c r="Q44" s="91">
        <f>'SCF (name) Summary Measures'!Q44-'SCF (cell) Summary Measures'!Q44</f>
        <v>0</v>
      </c>
      <c r="R44" s="91">
        <f>'SCF (name) Summary Measures'!R44-'SCF (cell) Summary Measures'!R44</f>
        <v>0</v>
      </c>
      <c r="S44" s="91">
        <f>'SCF (name) Summary Measures'!S44-'SCF (cell) Summary Measures'!S44</f>
        <v>0</v>
      </c>
      <c r="T44" s="91">
        <f>'SCF (name) Summary Measures'!T44-'SCF (cell) Summary Measures'!T44</f>
        <v>0</v>
      </c>
      <c r="U44" s="91">
        <f>'SCF (name) Summary Measures'!U44-'SCF (cell) Summary Measures'!U44</f>
        <v>0</v>
      </c>
      <c r="V44" s="91">
        <f>'SCF (name) Summary Measures'!V44-'SCF (cell) Summary Measures'!V44</f>
        <v>0</v>
      </c>
    </row>
    <row r="45" spans="1:23" x14ac:dyDescent="0.25">
      <c r="A45" s="86"/>
      <c r="B45" s="63" t="s">
        <v>129</v>
      </c>
      <c r="C45" s="91">
        <f>'SCF (name) Summary Measures'!C45-'SCF (cell) Summary Measures'!C45</f>
        <v>0</v>
      </c>
      <c r="D45" s="91">
        <f>'SCF (name) Summary Measures'!D45-'SCF (cell) Summary Measures'!D45</f>
        <v>0</v>
      </c>
      <c r="E45" s="91">
        <f>'SCF (name) Summary Measures'!E45-'SCF (cell) Summary Measures'!E45</f>
        <v>0</v>
      </c>
      <c r="F45" s="91">
        <f>'SCF (name) Summary Measures'!F45-'SCF (cell) Summary Measures'!F45</f>
        <v>0</v>
      </c>
      <c r="G45" s="91">
        <f>'SCF (name) Summary Measures'!G45-'SCF (cell) Summary Measures'!G45</f>
        <v>0</v>
      </c>
      <c r="H45" s="91">
        <f>'SCF (name) Summary Measures'!H45-'SCF (cell) Summary Measures'!H45</f>
        <v>0</v>
      </c>
      <c r="I45" s="91">
        <f>'SCF (name) Summary Measures'!I45-'SCF (cell) Summary Measures'!I45</f>
        <v>0</v>
      </c>
      <c r="J45" s="91">
        <f>'SCF (name) Summary Measures'!J45-'SCF (cell) Summary Measures'!J45</f>
        <v>0</v>
      </c>
      <c r="K45" s="91">
        <f>'SCF (name) Summary Measures'!K45-'SCF (cell) Summary Measures'!K45</f>
        <v>0</v>
      </c>
      <c r="L45" s="140">
        <f>'SCF (name) Summary Measures'!L45-'SCF (cell) Summary Measures'!L45</f>
        <v>0</v>
      </c>
      <c r="M45" s="91">
        <f>'SCF (name) Summary Measures'!M45-'SCF (cell) Summary Measures'!M45</f>
        <v>0</v>
      </c>
      <c r="N45" s="91">
        <f>'SCF (name) Summary Measures'!N45-'SCF (cell) Summary Measures'!N45</f>
        <v>0</v>
      </c>
      <c r="O45" s="91">
        <f>'SCF (name) Summary Measures'!O45-'SCF (cell) Summary Measures'!O45</f>
        <v>0</v>
      </c>
      <c r="P45" s="91">
        <f>'SCF (name) Summary Measures'!P45-'SCF (cell) Summary Measures'!P45</f>
        <v>0</v>
      </c>
      <c r="Q45" s="91">
        <f>'SCF (name) Summary Measures'!Q45-'SCF (cell) Summary Measures'!Q45</f>
        <v>0</v>
      </c>
      <c r="R45" s="91">
        <f>'SCF (name) Summary Measures'!R45-'SCF (cell) Summary Measures'!R45</f>
        <v>0</v>
      </c>
      <c r="S45" s="91">
        <f>'SCF (name) Summary Measures'!S45-'SCF (cell) Summary Measures'!S45</f>
        <v>0</v>
      </c>
      <c r="T45" s="91">
        <f>'SCF (name) Summary Measures'!T45-'SCF (cell) Summary Measures'!T45</f>
        <v>0</v>
      </c>
      <c r="U45" s="91">
        <f>'SCF (name) Summary Measures'!U45-'SCF (cell) Summary Measures'!U45</f>
        <v>0</v>
      </c>
      <c r="V45" s="91">
        <f>'SCF (name) Summary Measures'!V45-'SCF (cell) Summary Measures'!V45</f>
        <v>0</v>
      </c>
    </row>
    <row r="46" spans="1:23" x14ac:dyDescent="0.25">
      <c r="A46" s="86"/>
      <c r="B46" s="63" t="s">
        <v>130</v>
      </c>
      <c r="C46" s="91">
        <f>'SCF (name) Summary Measures'!C46-'SCF (cell) Summary Measures'!C46</f>
        <v>0</v>
      </c>
      <c r="D46" s="91">
        <f>'SCF (name) Summary Measures'!D46-'SCF (cell) Summary Measures'!D46</f>
        <v>0</v>
      </c>
      <c r="E46" s="91">
        <f>'SCF (name) Summary Measures'!E46-'SCF (cell) Summary Measures'!E46</f>
        <v>0</v>
      </c>
      <c r="F46" s="91">
        <f>'SCF (name) Summary Measures'!F46-'SCF (cell) Summary Measures'!F46</f>
        <v>0</v>
      </c>
      <c r="G46" s="91">
        <f>'SCF (name) Summary Measures'!G46-'SCF (cell) Summary Measures'!G46</f>
        <v>0</v>
      </c>
      <c r="H46" s="91">
        <f>'SCF (name) Summary Measures'!H46-'SCF (cell) Summary Measures'!H46</f>
        <v>0</v>
      </c>
      <c r="I46" s="91">
        <f>'SCF (name) Summary Measures'!I46-'SCF (cell) Summary Measures'!I46</f>
        <v>0</v>
      </c>
      <c r="J46" s="91">
        <f>'SCF (name) Summary Measures'!J46-'SCF (cell) Summary Measures'!J46</f>
        <v>0</v>
      </c>
      <c r="K46" s="91">
        <f>'SCF (name) Summary Measures'!K46-'SCF (cell) Summary Measures'!K46</f>
        <v>0</v>
      </c>
      <c r="L46" s="140">
        <f>'SCF (name) Summary Measures'!L46-'SCF (cell) Summary Measures'!L46</f>
        <v>0</v>
      </c>
      <c r="M46" s="91">
        <f>'SCF (name) Summary Measures'!M46-'SCF (cell) Summary Measures'!M46</f>
        <v>0</v>
      </c>
      <c r="N46" s="91">
        <f>'SCF (name) Summary Measures'!N46-'SCF (cell) Summary Measures'!N46</f>
        <v>0</v>
      </c>
      <c r="O46" s="91">
        <f>'SCF (name) Summary Measures'!O46-'SCF (cell) Summary Measures'!O46</f>
        <v>0</v>
      </c>
      <c r="P46" s="91">
        <f>'SCF (name) Summary Measures'!P46-'SCF (cell) Summary Measures'!P46</f>
        <v>0</v>
      </c>
      <c r="Q46" s="91">
        <f>'SCF (name) Summary Measures'!Q46-'SCF (cell) Summary Measures'!Q46</f>
        <v>0</v>
      </c>
      <c r="R46" s="91">
        <f>'SCF (name) Summary Measures'!R46-'SCF (cell) Summary Measures'!R46</f>
        <v>0</v>
      </c>
      <c r="S46" s="91">
        <f>'SCF (name) Summary Measures'!S46-'SCF (cell) Summary Measures'!S46</f>
        <v>0</v>
      </c>
      <c r="T46" s="91">
        <f>'SCF (name) Summary Measures'!T46-'SCF (cell) Summary Measures'!T46</f>
        <v>0</v>
      </c>
      <c r="U46" s="91">
        <f>'SCF (name) Summary Measures'!U46-'SCF (cell) Summary Measures'!U46</f>
        <v>0</v>
      </c>
      <c r="V46" s="91">
        <f>'SCF (name) Summary Measures'!V46-'SCF (cell) Summary Measures'!V46</f>
        <v>0</v>
      </c>
    </row>
    <row r="47" spans="1:23" x14ac:dyDescent="0.25">
      <c r="A47" s="86"/>
      <c r="B47" s="63" t="s">
        <v>131</v>
      </c>
      <c r="C47" s="91">
        <f>'SCF (name) Summary Measures'!C47-'SCF (cell) Summary Measures'!C47</f>
        <v>0</v>
      </c>
      <c r="D47" s="91">
        <f>'SCF (name) Summary Measures'!D47-'SCF (cell) Summary Measures'!D47</f>
        <v>0</v>
      </c>
      <c r="E47" s="91">
        <f>'SCF (name) Summary Measures'!E47-'SCF (cell) Summary Measures'!E47</f>
        <v>0</v>
      </c>
      <c r="F47" s="91">
        <f>'SCF (name) Summary Measures'!F47-'SCF (cell) Summary Measures'!F47</f>
        <v>0</v>
      </c>
      <c r="G47" s="91">
        <f>'SCF (name) Summary Measures'!G47-'SCF (cell) Summary Measures'!G47</f>
        <v>0</v>
      </c>
      <c r="H47" s="91">
        <f>'SCF (name) Summary Measures'!H47-'SCF (cell) Summary Measures'!H47</f>
        <v>0</v>
      </c>
      <c r="I47" s="91">
        <f>'SCF (name) Summary Measures'!I47-'SCF (cell) Summary Measures'!I47</f>
        <v>0</v>
      </c>
      <c r="J47" s="91">
        <f>'SCF (name) Summary Measures'!J47-'SCF (cell) Summary Measures'!J47</f>
        <v>0</v>
      </c>
      <c r="K47" s="91">
        <f>'SCF (name) Summary Measures'!K47-'SCF (cell) Summary Measures'!K47</f>
        <v>0</v>
      </c>
      <c r="L47" s="140">
        <f>'SCF (name) Summary Measures'!L47-'SCF (cell) Summary Measures'!L47</f>
        <v>0</v>
      </c>
      <c r="M47" s="91">
        <f>'SCF (name) Summary Measures'!M47-'SCF (cell) Summary Measures'!M47</f>
        <v>0</v>
      </c>
      <c r="N47" s="91">
        <f>'SCF (name) Summary Measures'!N47-'SCF (cell) Summary Measures'!N47</f>
        <v>0</v>
      </c>
      <c r="O47" s="91">
        <f>'SCF (name) Summary Measures'!O47-'SCF (cell) Summary Measures'!O47</f>
        <v>0</v>
      </c>
      <c r="P47" s="91">
        <f>'SCF (name) Summary Measures'!P47-'SCF (cell) Summary Measures'!P47</f>
        <v>0</v>
      </c>
      <c r="Q47" s="91">
        <f>'SCF (name) Summary Measures'!Q47-'SCF (cell) Summary Measures'!Q47</f>
        <v>0</v>
      </c>
      <c r="R47" s="91">
        <f>'SCF (name) Summary Measures'!R47-'SCF (cell) Summary Measures'!R47</f>
        <v>0</v>
      </c>
      <c r="S47" s="91">
        <f>'SCF (name) Summary Measures'!S47-'SCF (cell) Summary Measures'!S47</f>
        <v>0</v>
      </c>
      <c r="T47" s="91">
        <f>'SCF (name) Summary Measures'!T47-'SCF (cell) Summary Measures'!T47</f>
        <v>0</v>
      </c>
      <c r="U47" s="91">
        <f>'SCF (name) Summary Measures'!U47-'SCF (cell) Summary Measures'!U47</f>
        <v>0</v>
      </c>
      <c r="V47" s="91">
        <f>'SCF (name) Summary Measures'!V47-'SCF (cell) Summary Measures'!V47</f>
        <v>0</v>
      </c>
    </row>
    <row r="48" spans="1:23" x14ac:dyDescent="0.25">
      <c r="A48" s="86"/>
      <c r="B48" s="63" t="s">
        <v>303</v>
      </c>
      <c r="C48" s="91">
        <f>'SCF (name) Summary Measures'!C48-'SCF (cell) Summary Measures'!C48</f>
        <v>0</v>
      </c>
      <c r="D48" s="91">
        <f>'SCF (name) Summary Measures'!D48-'SCF (cell) Summary Measures'!D48</f>
        <v>0</v>
      </c>
      <c r="E48" s="91">
        <f>'SCF (name) Summary Measures'!E48-'SCF (cell) Summary Measures'!E48</f>
        <v>0</v>
      </c>
      <c r="F48" s="91">
        <f>'SCF (name) Summary Measures'!F48-'SCF (cell) Summary Measures'!F48</f>
        <v>0</v>
      </c>
      <c r="G48" s="91">
        <f>'SCF (name) Summary Measures'!G48-'SCF (cell) Summary Measures'!G48</f>
        <v>0</v>
      </c>
      <c r="H48" s="91">
        <f>'SCF (name) Summary Measures'!H48-'SCF (cell) Summary Measures'!H48</f>
        <v>0</v>
      </c>
      <c r="I48" s="91">
        <f>'SCF (name) Summary Measures'!I48-'SCF (cell) Summary Measures'!I48</f>
        <v>0</v>
      </c>
      <c r="J48" s="91">
        <f>'SCF (name) Summary Measures'!J48-'SCF (cell) Summary Measures'!J48</f>
        <v>0</v>
      </c>
      <c r="K48" s="91">
        <f>'SCF (name) Summary Measures'!K48-'SCF (cell) Summary Measures'!K48</f>
        <v>0</v>
      </c>
      <c r="L48" s="140">
        <f>'SCF (name) Summary Measures'!L48-'SCF (cell) Summary Measures'!L48</f>
        <v>0</v>
      </c>
      <c r="M48" s="91">
        <f>'SCF (name) Summary Measures'!M48-'SCF (cell) Summary Measures'!M48</f>
        <v>0</v>
      </c>
      <c r="N48" s="91">
        <f>'SCF (name) Summary Measures'!N48-'SCF (cell) Summary Measures'!N48</f>
        <v>0</v>
      </c>
      <c r="O48" s="91">
        <f>'SCF (name) Summary Measures'!O48-'SCF (cell) Summary Measures'!O48</f>
        <v>0</v>
      </c>
      <c r="P48" s="91">
        <f>'SCF (name) Summary Measures'!P48-'SCF (cell) Summary Measures'!P48</f>
        <v>0</v>
      </c>
      <c r="Q48" s="91">
        <f>'SCF (name) Summary Measures'!Q48-'SCF (cell) Summary Measures'!Q48</f>
        <v>0</v>
      </c>
      <c r="R48" s="91">
        <f>'SCF (name) Summary Measures'!R48-'SCF (cell) Summary Measures'!R48</f>
        <v>0</v>
      </c>
      <c r="S48" s="91">
        <f>'SCF (name) Summary Measures'!S48-'SCF (cell) Summary Measures'!S48</f>
        <v>0</v>
      </c>
      <c r="T48" s="91">
        <f>'SCF (name) Summary Measures'!T48-'SCF (cell) Summary Measures'!T48</f>
        <v>0</v>
      </c>
      <c r="U48" s="91">
        <f>'SCF (name) Summary Measures'!U48-'SCF (cell) Summary Measures'!U48</f>
        <v>0</v>
      </c>
      <c r="V48" s="91">
        <f>'SCF (name) Summary Measures'!V48-'SCF (cell) Summary Measures'!V48</f>
        <v>0</v>
      </c>
    </row>
    <row r="49" spans="1:22" x14ac:dyDescent="0.25">
      <c r="A49" s="86"/>
      <c r="B49" s="63" t="s">
        <v>314</v>
      </c>
      <c r="C49" s="91"/>
      <c r="D49" s="91"/>
      <c r="E49" s="91"/>
      <c r="F49" s="91"/>
      <c r="G49" s="91"/>
      <c r="H49" s="91"/>
      <c r="I49" s="91"/>
      <c r="J49" s="91"/>
      <c r="K49" s="91"/>
      <c r="L49" s="140"/>
      <c r="M49" s="91"/>
      <c r="N49" s="91"/>
      <c r="O49" s="91"/>
      <c r="P49" s="91"/>
      <c r="Q49" s="91"/>
      <c r="R49" s="91"/>
      <c r="S49" s="91"/>
      <c r="T49" s="91"/>
      <c r="U49" s="91"/>
      <c r="V49" s="91"/>
    </row>
    <row r="50" spans="1:22" x14ac:dyDescent="0.25">
      <c r="A50" s="86"/>
      <c r="B50" s="63" t="s">
        <v>128</v>
      </c>
      <c r="C50" s="91">
        <f>'SCF (name) Summary Measures'!C50-'SCF (cell) Summary Measures'!C50</f>
        <v>0</v>
      </c>
      <c r="D50" s="91">
        <f>'SCF (name) Summary Measures'!D50-'SCF (cell) Summary Measures'!D50</f>
        <v>0</v>
      </c>
      <c r="E50" s="91">
        <f>'SCF (name) Summary Measures'!E50-'SCF (cell) Summary Measures'!E50</f>
        <v>0</v>
      </c>
      <c r="F50" s="91">
        <f>'SCF (name) Summary Measures'!F50-'SCF (cell) Summary Measures'!F50</f>
        <v>0</v>
      </c>
      <c r="G50" s="91">
        <f>'SCF (name) Summary Measures'!G50-'SCF (cell) Summary Measures'!G50</f>
        <v>0</v>
      </c>
      <c r="H50" s="91">
        <f>'SCF (name) Summary Measures'!H50-'SCF (cell) Summary Measures'!H50</f>
        <v>0</v>
      </c>
      <c r="I50" s="91">
        <f>'SCF (name) Summary Measures'!I50-'SCF (cell) Summary Measures'!I50</f>
        <v>0</v>
      </c>
      <c r="J50" s="91">
        <f>'SCF (name) Summary Measures'!J50-'SCF (cell) Summary Measures'!J50</f>
        <v>0</v>
      </c>
      <c r="K50" s="91">
        <f>'SCF (name) Summary Measures'!K50-'SCF (cell) Summary Measures'!K50</f>
        <v>0</v>
      </c>
      <c r="L50" s="140">
        <f>'SCF (name) Summary Measures'!L50-'SCF (cell) Summary Measures'!L50</f>
        <v>0</v>
      </c>
      <c r="M50" s="91">
        <f>'SCF (name) Summary Measures'!M50-'SCF (cell) Summary Measures'!M50</f>
        <v>0</v>
      </c>
      <c r="N50" s="91">
        <f>'SCF (name) Summary Measures'!N50-'SCF (cell) Summary Measures'!N50</f>
        <v>0</v>
      </c>
      <c r="O50" s="91">
        <f>'SCF (name) Summary Measures'!O50-'SCF (cell) Summary Measures'!O50</f>
        <v>0</v>
      </c>
      <c r="P50" s="91">
        <f>'SCF (name) Summary Measures'!P50-'SCF (cell) Summary Measures'!P50</f>
        <v>0</v>
      </c>
      <c r="Q50" s="91">
        <f>'SCF (name) Summary Measures'!Q50-'SCF (cell) Summary Measures'!Q50</f>
        <v>0</v>
      </c>
      <c r="R50" s="91">
        <f>'SCF (name) Summary Measures'!R50-'SCF (cell) Summary Measures'!R50</f>
        <v>0</v>
      </c>
      <c r="S50" s="91">
        <f>'SCF (name) Summary Measures'!S50-'SCF (cell) Summary Measures'!S50</f>
        <v>0</v>
      </c>
      <c r="T50" s="91">
        <f>'SCF (name) Summary Measures'!T50-'SCF (cell) Summary Measures'!T50</f>
        <v>0</v>
      </c>
      <c r="U50" s="91">
        <f>'SCF (name) Summary Measures'!U50-'SCF (cell) Summary Measures'!U50</f>
        <v>0</v>
      </c>
      <c r="V50" s="91">
        <f>'SCF (name) Summary Measures'!V50-'SCF (cell) Summary Measures'!V50</f>
        <v>0</v>
      </c>
    </row>
    <row r="51" spans="1:22" x14ac:dyDescent="0.25">
      <c r="A51" s="86"/>
      <c r="B51" s="63" t="s">
        <v>151</v>
      </c>
      <c r="C51" s="91">
        <f>'SCF (name) Summary Measures'!C51-'SCF (cell) Summary Measures'!C51</f>
        <v>0</v>
      </c>
      <c r="D51" s="91">
        <f>'SCF (name) Summary Measures'!D51-'SCF (cell) Summary Measures'!D51</f>
        <v>0</v>
      </c>
      <c r="E51" s="91">
        <f>'SCF (name) Summary Measures'!E51-'SCF (cell) Summary Measures'!E51</f>
        <v>0</v>
      </c>
      <c r="F51" s="91">
        <f>'SCF (name) Summary Measures'!F51-'SCF (cell) Summary Measures'!F51</f>
        <v>0</v>
      </c>
      <c r="G51" s="91">
        <f>'SCF (name) Summary Measures'!G51-'SCF (cell) Summary Measures'!G51</f>
        <v>0</v>
      </c>
      <c r="H51" s="91">
        <f>'SCF (name) Summary Measures'!H51-'SCF (cell) Summary Measures'!H51</f>
        <v>0</v>
      </c>
      <c r="I51" s="91">
        <f>'SCF (name) Summary Measures'!I51-'SCF (cell) Summary Measures'!I51</f>
        <v>0</v>
      </c>
      <c r="J51" s="91">
        <f>'SCF (name) Summary Measures'!J51-'SCF (cell) Summary Measures'!J51</f>
        <v>0</v>
      </c>
      <c r="K51" s="91">
        <f>'SCF (name) Summary Measures'!K51-'SCF (cell) Summary Measures'!K51</f>
        <v>0</v>
      </c>
      <c r="L51" s="140">
        <f>'SCF (name) Summary Measures'!L51-'SCF (cell) Summary Measures'!L51</f>
        <v>0</v>
      </c>
      <c r="M51" s="91">
        <f>'SCF (name) Summary Measures'!M51-'SCF (cell) Summary Measures'!M51</f>
        <v>0</v>
      </c>
      <c r="N51" s="91">
        <f>'SCF (name) Summary Measures'!N51-'SCF (cell) Summary Measures'!N51</f>
        <v>0</v>
      </c>
      <c r="O51" s="91">
        <f>'SCF (name) Summary Measures'!O51-'SCF (cell) Summary Measures'!O51</f>
        <v>0</v>
      </c>
      <c r="P51" s="91">
        <f>'SCF (name) Summary Measures'!P51-'SCF (cell) Summary Measures'!P51</f>
        <v>0</v>
      </c>
      <c r="Q51" s="91">
        <f>'SCF (name) Summary Measures'!Q51-'SCF (cell) Summary Measures'!Q51</f>
        <v>0</v>
      </c>
      <c r="R51" s="91">
        <f>'SCF (name) Summary Measures'!R51-'SCF (cell) Summary Measures'!R51</f>
        <v>0</v>
      </c>
      <c r="S51" s="91">
        <f>'SCF (name) Summary Measures'!S51-'SCF (cell) Summary Measures'!S51</f>
        <v>0</v>
      </c>
      <c r="T51" s="91">
        <f>'SCF (name) Summary Measures'!T51-'SCF (cell) Summary Measures'!T51</f>
        <v>0</v>
      </c>
      <c r="U51" s="91">
        <f>'SCF (name) Summary Measures'!U51-'SCF (cell) Summary Measures'!U51</f>
        <v>0</v>
      </c>
      <c r="V51" s="91">
        <f>'SCF (name) Summary Measures'!V51-'SCF (cell) Summary Measures'!V51</f>
        <v>0</v>
      </c>
    </row>
    <row r="52" spans="1:22" x14ac:dyDescent="0.25">
      <c r="A52" s="86"/>
      <c r="B52" s="63" t="s">
        <v>304</v>
      </c>
      <c r="C52" s="91">
        <f>'SCF (name) Summary Measures'!C52-'SCF (cell) Summary Measures'!C52</f>
        <v>0</v>
      </c>
      <c r="D52" s="91">
        <f>'SCF (name) Summary Measures'!D52-'SCF (cell) Summary Measures'!D52</f>
        <v>0</v>
      </c>
      <c r="E52" s="91">
        <f>'SCF (name) Summary Measures'!E52-'SCF (cell) Summary Measures'!E52</f>
        <v>0</v>
      </c>
      <c r="F52" s="91">
        <f>'SCF (name) Summary Measures'!F52-'SCF (cell) Summary Measures'!F52</f>
        <v>0</v>
      </c>
      <c r="G52" s="91">
        <f>'SCF (name) Summary Measures'!G52-'SCF (cell) Summary Measures'!G52</f>
        <v>0</v>
      </c>
      <c r="H52" s="91">
        <f>'SCF (name) Summary Measures'!H52-'SCF (cell) Summary Measures'!H52</f>
        <v>0</v>
      </c>
      <c r="I52" s="91">
        <f>'SCF (name) Summary Measures'!I52-'SCF (cell) Summary Measures'!I52</f>
        <v>0</v>
      </c>
      <c r="J52" s="91">
        <f>'SCF (name) Summary Measures'!J52-'SCF (cell) Summary Measures'!J52</f>
        <v>0</v>
      </c>
      <c r="K52" s="91">
        <f>'SCF (name) Summary Measures'!K52-'SCF (cell) Summary Measures'!K52</f>
        <v>0</v>
      </c>
      <c r="L52" s="140">
        <f>'SCF (name) Summary Measures'!L52-'SCF (cell) Summary Measures'!L52</f>
        <v>0</v>
      </c>
      <c r="M52" s="91">
        <f>'SCF (name) Summary Measures'!M52-'SCF (cell) Summary Measures'!M52</f>
        <v>0</v>
      </c>
      <c r="N52" s="91">
        <f>'SCF (name) Summary Measures'!N52-'SCF (cell) Summary Measures'!N52</f>
        <v>0</v>
      </c>
      <c r="O52" s="91">
        <f>'SCF (name) Summary Measures'!O52-'SCF (cell) Summary Measures'!O52</f>
        <v>0</v>
      </c>
      <c r="P52" s="91">
        <f>'SCF (name) Summary Measures'!P52-'SCF (cell) Summary Measures'!P52</f>
        <v>0</v>
      </c>
      <c r="Q52" s="91">
        <f>'SCF (name) Summary Measures'!Q52-'SCF (cell) Summary Measures'!Q52</f>
        <v>0</v>
      </c>
      <c r="R52" s="91">
        <f>'SCF (name) Summary Measures'!R52-'SCF (cell) Summary Measures'!R52</f>
        <v>0</v>
      </c>
      <c r="S52" s="91">
        <f>'SCF (name) Summary Measures'!S52-'SCF (cell) Summary Measures'!S52</f>
        <v>0</v>
      </c>
      <c r="T52" s="91">
        <f>'SCF (name) Summary Measures'!T52-'SCF (cell) Summary Measures'!T52</f>
        <v>0</v>
      </c>
      <c r="U52" s="91">
        <f>'SCF (name) Summary Measures'!U52-'SCF (cell) Summary Measures'!U52</f>
        <v>0</v>
      </c>
      <c r="V52" s="91">
        <f>'SCF (name) Summary Measures'!V52-'SCF (cell) Summary Measures'!V52</f>
        <v>0</v>
      </c>
    </row>
    <row r="53" spans="1:22" x14ac:dyDescent="0.25">
      <c r="A53" s="86"/>
      <c r="B53" s="64" t="s">
        <v>130</v>
      </c>
      <c r="C53" s="91">
        <f>'SCF (name) Summary Measures'!C53-'SCF (cell) Summary Measures'!C53</f>
        <v>0</v>
      </c>
      <c r="D53" s="91">
        <f>'SCF (name) Summary Measures'!D53-'SCF (cell) Summary Measures'!D53</f>
        <v>0</v>
      </c>
      <c r="E53" s="91">
        <f>'SCF (name) Summary Measures'!E53-'SCF (cell) Summary Measures'!E53</f>
        <v>0</v>
      </c>
      <c r="F53" s="91">
        <f>'SCF (name) Summary Measures'!F53-'SCF (cell) Summary Measures'!F53</f>
        <v>0</v>
      </c>
      <c r="G53" s="91">
        <f>'SCF (name) Summary Measures'!G53-'SCF (cell) Summary Measures'!G53</f>
        <v>0</v>
      </c>
      <c r="H53" s="91">
        <f>'SCF (name) Summary Measures'!H53-'SCF (cell) Summary Measures'!H53</f>
        <v>0</v>
      </c>
      <c r="I53" s="91">
        <f>'SCF (name) Summary Measures'!I53-'SCF (cell) Summary Measures'!I53</f>
        <v>0</v>
      </c>
      <c r="J53" s="91">
        <f>'SCF (name) Summary Measures'!J53-'SCF (cell) Summary Measures'!J53</f>
        <v>0</v>
      </c>
      <c r="K53" s="91">
        <f>'SCF (name) Summary Measures'!K53-'SCF (cell) Summary Measures'!K53</f>
        <v>0</v>
      </c>
      <c r="L53" s="140">
        <f>'SCF (name) Summary Measures'!L53-'SCF (cell) Summary Measures'!L53</f>
        <v>0</v>
      </c>
      <c r="M53" s="91">
        <f>'SCF (name) Summary Measures'!M53-'SCF (cell) Summary Measures'!M53</f>
        <v>0</v>
      </c>
      <c r="N53" s="91">
        <f>'SCF (name) Summary Measures'!N53-'SCF (cell) Summary Measures'!N53</f>
        <v>0</v>
      </c>
      <c r="O53" s="91">
        <f>'SCF (name) Summary Measures'!O53-'SCF (cell) Summary Measures'!O53</f>
        <v>0</v>
      </c>
      <c r="P53" s="91">
        <f>'SCF (name) Summary Measures'!P53-'SCF (cell) Summary Measures'!P53</f>
        <v>0</v>
      </c>
      <c r="Q53" s="91">
        <f>'SCF (name) Summary Measures'!Q53-'SCF (cell) Summary Measures'!Q53</f>
        <v>0</v>
      </c>
      <c r="R53" s="91">
        <f>'SCF (name) Summary Measures'!R53-'SCF (cell) Summary Measures'!R53</f>
        <v>0</v>
      </c>
      <c r="S53" s="91">
        <f>'SCF (name) Summary Measures'!S53-'SCF (cell) Summary Measures'!S53</f>
        <v>0</v>
      </c>
      <c r="T53" s="91">
        <f>'SCF (name) Summary Measures'!T53-'SCF (cell) Summary Measures'!T53</f>
        <v>0</v>
      </c>
      <c r="U53" s="91">
        <f>'SCF (name) Summary Measures'!U53-'SCF (cell) Summary Measures'!U53</f>
        <v>0</v>
      </c>
      <c r="V53" s="91">
        <f>'SCF (name) Summary Measures'!V53-'SCF (cell) Summary Measures'!V53</f>
        <v>0</v>
      </c>
    </row>
    <row r="54" spans="1:22" x14ac:dyDescent="0.25">
      <c r="A54" s="86"/>
      <c r="B54" s="98" t="s">
        <v>131</v>
      </c>
      <c r="C54" s="91">
        <f>'SCF (name) Summary Measures'!C54-'SCF (cell) Summary Measures'!C54</f>
        <v>0</v>
      </c>
      <c r="D54" s="91">
        <f>'SCF (name) Summary Measures'!D54-'SCF (cell) Summary Measures'!D54</f>
        <v>0</v>
      </c>
      <c r="E54" s="91">
        <f>'SCF (name) Summary Measures'!E54-'SCF (cell) Summary Measures'!E54</f>
        <v>0</v>
      </c>
      <c r="F54" s="91">
        <f>'SCF (name) Summary Measures'!F54-'SCF (cell) Summary Measures'!F54</f>
        <v>0</v>
      </c>
      <c r="G54" s="91">
        <f>'SCF (name) Summary Measures'!G54-'SCF (cell) Summary Measures'!G54</f>
        <v>0</v>
      </c>
      <c r="H54" s="91">
        <f>'SCF (name) Summary Measures'!H54-'SCF (cell) Summary Measures'!H54</f>
        <v>0</v>
      </c>
      <c r="I54" s="91">
        <f>'SCF (name) Summary Measures'!I54-'SCF (cell) Summary Measures'!I54</f>
        <v>0</v>
      </c>
      <c r="J54" s="91">
        <f>'SCF (name) Summary Measures'!J54-'SCF (cell) Summary Measures'!J54</f>
        <v>0</v>
      </c>
      <c r="K54" s="91">
        <f>'SCF (name) Summary Measures'!K54-'SCF (cell) Summary Measures'!K54</f>
        <v>0</v>
      </c>
      <c r="L54" s="140">
        <f>'SCF (name) Summary Measures'!L54-'SCF (cell) Summary Measures'!L54</f>
        <v>0</v>
      </c>
      <c r="M54" s="91">
        <f>'SCF (name) Summary Measures'!M54-'SCF (cell) Summary Measures'!M54</f>
        <v>0</v>
      </c>
      <c r="N54" s="91">
        <f>'SCF (name) Summary Measures'!N54-'SCF (cell) Summary Measures'!N54</f>
        <v>0</v>
      </c>
      <c r="O54" s="91">
        <f>'SCF (name) Summary Measures'!O54-'SCF (cell) Summary Measures'!O54</f>
        <v>0</v>
      </c>
      <c r="P54" s="91">
        <f>'SCF (name) Summary Measures'!P54-'SCF (cell) Summary Measures'!P54</f>
        <v>0</v>
      </c>
      <c r="Q54" s="91">
        <f>'SCF (name) Summary Measures'!Q54-'SCF (cell) Summary Measures'!Q54</f>
        <v>0</v>
      </c>
      <c r="R54" s="91">
        <f>'SCF (name) Summary Measures'!R54-'SCF (cell) Summary Measures'!R54</f>
        <v>0</v>
      </c>
      <c r="S54" s="91">
        <f>'SCF (name) Summary Measures'!S54-'SCF (cell) Summary Measures'!S54</f>
        <v>0</v>
      </c>
      <c r="T54" s="91">
        <f>'SCF (name) Summary Measures'!T54-'SCF (cell) Summary Measures'!T54</f>
        <v>0</v>
      </c>
      <c r="U54" s="91">
        <f>'SCF (name) Summary Measures'!U54-'SCF (cell) Summary Measures'!U54</f>
        <v>0</v>
      </c>
      <c r="V54" s="91">
        <f>'SCF (name) Summary Measures'!V54-'SCF (cell) Summary Measures'!V54</f>
        <v>0</v>
      </c>
    </row>
    <row r="55" spans="1:22" x14ac:dyDescent="0.25">
      <c r="A55" s="86"/>
      <c r="B55" s="63" t="s">
        <v>303</v>
      </c>
      <c r="C55" s="91">
        <f>'SCF (name) Summary Measures'!C55-'SCF (cell) Summary Measures'!C55</f>
        <v>0</v>
      </c>
      <c r="D55" s="91">
        <f>'SCF (name) Summary Measures'!D55-'SCF (cell) Summary Measures'!D55</f>
        <v>0</v>
      </c>
      <c r="E55" s="91">
        <f>'SCF (name) Summary Measures'!E55-'SCF (cell) Summary Measures'!E55</f>
        <v>0</v>
      </c>
      <c r="F55" s="91">
        <f>'SCF (name) Summary Measures'!F55-'SCF (cell) Summary Measures'!F55</f>
        <v>0</v>
      </c>
      <c r="G55" s="91">
        <f>'SCF (name) Summary Measures'!G55-'SCF (cell) Summary Measures'!G55</f>
        <v>0</v>
      </c>
      <c r="H55" s="91">
        <f>'SCF (name) Summary Measures'!H55-'SCF (cell) Summary Measures'!H55</f>
        <v>0</v>
      </c>
      <c r="I55" s="91">
        <f>'SCF (name) Summary Measures'!I55-'SCF (cell) Summary Measures'!I55</f>
        <v>0</v>
      </c>
      <c r="J55" s="91">
        <f>'SCF (name) Summary Measures'!J55-'SCF (cell) Summary Measures'!J55</f>
        <v>0</v>
      </c>
      <c r="K55" s="91">
        <f>'SCF (name) Summary Measures'!K55-'SCF (cell) Summary Measures'!K55</f>
        <v>0</v>
      </c>
      <c r="L55" s="140">
        <f>'SCF (name) Summary Measures'!L55-'SCF (cell) Summary Measures'!L55</f>
        <v>0</v>
      </c>
      <c r="M55" s="91">
        <f>'SCF (name) Summary Measures'!M55-'SCF (cell) Summary Measures'!M55</f>
        <v>0</v>
      </c>
      <c r="N55" s="91">
        <f>'SCF (name) Summary Measures'!N55-'SCF (cell) Summary Measures'!N55</f>
        <v>0</v>
      </c>
      <c r="O55" s="91">
        <f>'SCF (name) Summary Measures'!O55-'SCF (cell) Summary Measures'!O55</f>
        <v>0</v>
      </c>
      <c r="P55" s="91">
        <f>'SCF (name) Summary Measures'!P55-'SCF (cell) Summary Measures'!P55</f>
        <v>0</v>
      </c>
      <c r="Q55" s="91">
        <f>'SCF (name) Summary Measures'!Q55-'SCF (cell) Summary Measures'!Q55</f>
        <v>0</v>
      </c>
      <c r="R55" s="91">
        <f>'SCF (name) Summary Measures'!R55-'SCF (cell) Summary Measures'!R55</f>
        <v>0</v>
      </c>
      <c r="S55" s="91">
        <f>'SCF (name) Summary Measures'!S55-'SCF (cell) Summary Measures'!S55</f>
        <v>0</v>
      </c>
      <c r="T55" s="91">
        <f>'SCF (name) Summary Measures'!T55-'SCF (cell) Summary Measures'!T55</f>
        <v>0</v>
      </c>
      <c r="U55" s="91">
        <f>'SCF (name) Summary Measures'!U55-'SCF (cell) Summary Measures'!U55</f>
        <v>0</v>
      </c>
      <c r="V55" s="91">
        <f>'SCF (name) Summary Measures'!V55-'SCF (cell) Summary Measures'!V55</f>
        <v>0</v>
      </c>
    </row>
    <row r="56" spans="1:22" x14ac:dyDescent="0.25">
      <c r="A56" s="86"/>
      <c r="B56" s="63" t="s">
        <v>315</v>
      </c>
      <c r="C56" s="91"/>
      <c r="D56" s="91"/>
      <c r="E56" s="91"/>
      <c r="F56" s="91"/>
      <c r="G56" s="91"/>
      <c r="H56" s="91"/>
      <c r="I56" s="91"/>
      <c r="J56" s="91"/>
      <c r="K56" s="91"/>
      <c r="L56" s="140"/>
      <c r="M56" s="91"/>
      <c r="N56" s="91"/>
      <c r="O56" s="91"/>
      <c r="P56" s="91"/>
      <c r="Q56" s="91"/>
      <c r="R56" s="91"/>
      <c r="S56" s="91"/>
      <c r="T56" s="91"/>
      <c r="U56" s="91"/>
      <c r="V56" s="91"/>
    </row>
    <row r="57" spans="1:22" x14ac:dyDescent="0.25">
      <c r="A57" s="86"/>
      <c r="B57" s="63" t="s">
        <v>128</v>
      </c>
      <c r="C57" s="91">
        <f>'SCF (name) Summary Measures'!C57-'SCF (cell) Summary Measures'!C57</f>
        <v>0</v>
      </c>
      <c r="D57" s="91">
        <f>'SCF (name) Summary Measures'!D57-'SCF (cell) Summary Measures'!D57</f>
        <v>0</v>
      </c>
      <c r="E57" s="91">
        <f>'SCF (name) Summary Measures'!E57-'SCF (cell) Summary Measures'!E57</f>
        <v>0</v>
      </c>
      <c r="F57" s="91">
        <f>'SCF (name) Summary Measures'!F57-'SCF (cell) Summary Measures'!F57</f>
        <v>0</v>
      </c>
      <c r="G57" s="91">
        <f>'SCF (name) Summary Measures'!G57-'SCF (cell) Summary Measures'!G57</f>
        <v>0</v>
      </c>
      <c r="H57" s="91">
        <f>'SCF (name) Summary Measures'!H57-'SCF (cell) Summary Measures'!H57</f>
        <v>0</v>
      </c>
      <c r="I57" s="91">
        <f>'SCF (name) Summary Measures'!I57-'SCF (cell) Summary Measures'!I57</f>
        <v>0</v>
      </c>
      <c r="J57" s="91">
        <f>'SCF (name) Summary Measures'!J57-'SCF (cell) Summary Measures'!J57</f>
        <v>0</v>
      </c>
      <c r="K57" s="91">
        <f>'SCF (name) Summary Measures'!K57-'SCF (cell) Summary Measures'!K57</f>
        <v>0</v>
      </c>
      <c r="L57" s="140">
        <f>'SCF (name) Summary Measures'!L57-'SCF (cell) Summary Measures'!L57</f>
        <v>0</v>
      </c>
      <c r="M57" s="91">
        <f>'SCF (name) Summary Measures'!M57-'SCF (cell) Summary Measures'!M57</f>
        <v>0</v>
      </c>
      <c r="N57" s="91">
        <f>'SCF (name) Summary Measures'!N57-'SCF (cell) Summary Measures'!N57</f>
        <v>0</v>
      </c>
      <c r="O57" s="91">
        <f>'SCF (name) Summary Measures'!O57-'SCF (cell) Summary Measures'!O57</f>
        <v>0</v>
      </c>
      <c r="P57" s="91">
        <f>'SCF (name) Summary Measures'!P57-'SCF (cell) Summary Measures'!P57</f>
        <v>0</v>
      </c>
      <c r="Q57" s="91">
        <f>'SCF (name) Summary Measures'!Q57-'SCF (cell) Summary Measures'!Q57</f>
        <v>0</v>
      </c>
      <c r="R57" s="91">
        <f>'SCF (name) Summary Measures'!R57-'SCF (cell) Summary Measures'!R57</f>
        <v>0</v>
      </c>
      <c r="S57" s="91">
        <f>'SCF (name) Summary Measures'!S57-'SCF (cell) Summary Measures'!S57</f>
        <v>0</v>
      </c>
      <c r="T57" s="91">
        <f>'SCF (name) Summary Measures'!T57-'SCF (cell) Summary Measures'!T57</f>
        <v>0</v>
      </c>
      <c r="U57" s="91">
        <f>'SCF (name) Summary Measures'!U57-'SCF (cell) Summary Measures'!U57</f>
        <v>0</v>
      </c>
      <c r="V57" s="91">
        <f>'SCF (name) Summary Measures'!V57-'SCF (cell) Summary Measures'!V57</f>
        <v>0</v>
      </c>
    </row>
    <row r="58" spans="1:22" x14ac:dyDescent="0.25">
      <c r="A58" s="86"/>
      <c r="B58" s="63" t="s">
        <v>151</v>
      </c>
      <c r="C58" s="91">
        <f>'SCF (name) Summary Measures'!C58-'SCF (cell) Summary Measures'!C58</f>
        <v>0</v>
      </c>
      <c r="D58" s="91">
        <f>'SCF (name) Summary Measures'!D58-'SCF (cell) Summary Measures'!D58</f>
        <v>0</v>
      </c>
      <c r="E58" s="91">
        <f>'SCF (name) Summary Measures'!E58-'SCF (cell) Summary Measures'!E58</f>
        <v>0</v>
      </c>
      <c r="F58" s="91">
        <f>'SCF (name) Summary Measures'!F58-'SCF (cell) Summary Measures'!F58</f>
        <v>0</v>
      </c>
      <c r="G58" s="91">
        <f>'SCF (name) Summary Measures'!G58-'SCF (cell) Summary Measures'!G58</f>
        <v>0</v>
      </c>
      <c r="H58" s="91">
        <f>'SCF (name) Summary Measures'!H58-'SCF (cell) Summary Measures'!H58</f>
        <v>0</v>
      </c>
      <c r="I58" s="91">
        <f>'SCF (name) Summary Measures'!I58-'SCF (cell) Summary Measures'!I58</f>
        <v>0</v>
      </c>
      <c r="J58" s="91">
        <f>'SCF (name) Summary Measures'!J58-'SCF (cell) Summary Measures'!J58</f>
        <v>0</v>
      </c>
      <c r="K58" s="91">
        <f>'SCF (name) Summary Measures'!K58-'SCF (cell) Summary Measures'!K58</f>
        <v>0</v>
      </c>
      <c r="L58" s="140">
        <f>'SCF (name) Summary Measures'!L58-'SCF (cell) Summary Measures'!L58</f>
        <v>0</v>
      </c>
      <c r="M58" s="91">
        <f>'SCF (name) Summary Measures'!M58-'SCF (cell) Summary Measures'!M58</f>
        <v>0</v>
      </c>
      <c r="N58" s="91">
        <f>'SCF (name) Summary Measures'!N58-'SCF (cell) Summary Measures'!N58</f>
        <v>0</v>
      </c>
      <c r="O58" s="91">
        <f>'SCF (name) Summary Measures'!O58-'SCF (cell) Summary Measures'!O58</f>
        <v>0</v>
      </c>
      <c r="P58" s="91">
        <f>'SCF (name) Summary Measures'!P58-'SCF (cell) Summary Measures'!P58</f>
        <v>0</v>
      </c>
      <c r="Q58" s="91">
        <f>'SCF (name) Summary Measures'!Q58-'SCF (cell) Summary Measures'!Q58</f>
        <v>0</v>
      </c>
      <c r="R58" s="91">
        <f>'SCF (name) Summary Measures'!R58-'SCF (cell) Summary Measures'!R58</f>
        <v>0</v>
      </c>
      <c r="S58" s="91">
        <f>'SCF (name) Summary Measures'!S58-'SCF (cell) Summary Measures'!S58</f>
        <v>0</v>
      </c>
      <c r="T58" s="91">
        <f>'SCF (name) Summary Measures'!T58-'SCF (cell) Summary Measures'!T58</f>
        <v>0</v>
      </c>
      <c r="U58" s="91">
        <f>'SCF (name) Summary Measures'!U58-'SCF (cell) Summary Measures'!U58</f>
        <v>0</v>
      </c>
      <c r="V58" s="91">
        <f>'SCF (name) Summary Measures'!V58-'SCF (cell) Summary Measures'!V58</f>
        <v>0</v>
      </c>
    </row>
    <row r="59" spans="1:22" x14ac:dyDescent="0.25">
      <c r="A59" s="86"/>
      <c r="B59" s="63" t="s">
        <v>152</v>
      </c>
      <c r="C59" s="91">
        <f>'SCF (name) Summary Measures'!C59-'SCF (cell) Summary Measures'!C59</f>
        <v>0</v>
      </c>
      <c r="D59" s="91">
        <f>'SCF (name) Summary Measures'!D59-'SCF (cell) Summary Measures'!D59</f>
        <v>0</v>
      </c>
      <c r="E59" s="91">
        <f>'SCF (name) Summary Measures'!E59-'SCF (cell) Summary Measures'!E59</f>
        <v>0</v>
      </c>
      <c r="F59" s="91">
        <f>'SCF (name) Summary Measures'!F59-'SCF (cell) Summary Measures'!F59</f>
        <v>0</v>
      </c>
      <c r="G59" s="91">
        <f>'SCF (name) Summary Measures'!G59-'SCF (cell) Summary Measures'!G59</f>
        <v>0</v>
      </c>
      <c r="H59" s="91">
        <f>'SCF (name) Summary Measures'!H59-'SCF (cell) Summary Measures'!H59</f>
        <v>0</v>
      </c>
      <c r="I59" s="91">
        <f>'SCF (name) Summary Measures'!I59-'SCF (cell) Summary Measures'!I59</f>
        <v>0</v>
      </c>
      <c r="J59" s="91">
        <f>'SCF (name) Summary Measures'!J59-'SCF (cell) Summary Measures'!J59</f>
        <v>0</v>
      </c>
      <c r="K59" s="91">
        <f>'SCF (name) Summary Measures'!K59-'SCF (cell) Summary Measures'!K59</f>
        <v>0</v>
      </c>
      <c r="L59" s="140">
        <f>'SCF (name) Summary Measures'!L59-'SCF (cell) Summary Measures'!L59</f>
        <v>0</v>
      </c>
      <c r="M59" s="91">
        <f>'SCF (name) Summary Measures'!M59-'SCF (cell) Summary Measures'!M59</f>
        <v>-9.4947972287375251</v>
      </c>
      <c r="N59" s="91">
        <f>'SCF (name) Summary Measures'!N59-'SCF (cell) Summary Measures'!N59</f>
        <v>-8.63162904600307</v>
      </c>
      <c r="O59" s="91">
        <f>'SCF (name) Summary Measures'!O59-'SCF (cell) Summary Measures'!O59</f>
        <v>-8.3036371097226152</v>
      </c>
      <c r="P59" s="91">
        <f>'SCF (name) Summary Measures'!P59-'SCF (cell) Summary Measures'!P59</f>
        <v>-8.1303548167650774</v>
      </c>
      <c r="Q59" s="91">
        <f>'SCF (name) Summary Measures'!Q59-'SCF (cell) Summary Measures'!Q59</f>
        <v>-8.061097460896633</v>
      </c>
      <c r="R59" s="91">
        <f>'SCF (name) Summary Measures'!R59-'SCF (cell) Summary Measures'!R59</f>
        <v>-8.0569490683172944</v>
      </c>
      <c r="S59" s="91">
        <f>'SCF (name) Summary Measures'!S59-'SCF (cell) Summary Measures'!S59</f>
        <v>-8.0949526941633394</v>
      </c>
      <c r="T59" s="91">
        <f>'SCF (name) Summary Measures'!T59-'SCF (cell) Summary Measures'!T59</f>
        <v>-8.1605501644985452</v>
      </c>
      <c r="U59" s="91">
        <f>'SCF (name) Summary Measures'!U59-'SCF (cell) Summary Measures'!U59</f>
        <v>-8.2439693331480157</v>
      </c>
      <c r="V59" s="91">
        <f>'SCF (name) Summary Measures'!V59-'SCF (cell) Summary Measures'!V59</f>
        <v>-8.3384534738426623</v>
      </c>
    </row>
    <row r="60" spans="1:22" x14ac:dyDescent="0.25">
      <c r="A60" s="86"/>
      <c r="B60" s="63" t="s">
        <v>153</v>
      </c>
      <c r="C60" s="91">
        <f>'SCF (name) Summary Measures'!C60-'SCF (cell) Summary Measures'!C60</f>
        <v>0</v>
      </c>
      <c r="D60" s="91">
        <f>'SCF (name) Summary Measures'!D60-'SCF (cell) Summary Measures'!D60</f>
        <v>0</v>
      </c>
      <c r="E60" s="91">
        <f>'SCF (name) Summary Measures'!E60-'SCF (cell) Summary Measures'!E60</f>
        <v>0</v>
      </c>
      <c r="F60" s="91">
        <f>'SCF (name) Summary Measures'!F60-'SCF (cell) Summary Measures'!F60</f>
        <v>0</v>
      </c>
      <c r="G60" s="91">
        <f>'SCF (name) Summary Measures'!G60-'SCF (cell) Summary Measures'!G60</f>
        <v>0</v>
      </c>
      <c r="H60" s="91">
        <f>'SCF (name) Summary Measures'!H60-'SCF (cell) Summary Measures'!H60</f>
        <v>0</v>
      </c>
      <c r="I60" s="91">
        <f>'SCF (name) Summary Measures'!I60-'SCF (cell) Summary Measures'!I60</f>
        <v>0</v>
      </c>
      <c r="J60" s="91">
        <f>'SCF (name) Summary Measures'!J60-'SCF (cell) Summary Measures'!J60</f>
        <v>0</v>
      </c>
      <c r="K60" s="91">
        <f>'SCF (name) Summary Measures'!K60-'SCF (cell) Summary Measures'!K60</f>
        <v>0</v>
      </c>
      <c r="L60" s="140">
        <f>'SCF (name) Summary Measures'!L60-'SCF (cell) Summary Measures'!L60</f>
        <v>0</v>
      </c>
      <c r="M60" s="91">
        <f>'SCF (name) Summary Measures'!M60-'SCF (cell) Summary Measures'!M60</f>
        <v>0</v>
      </c>
      <c r="N60" s="91">
        <f>'SCF (name) Summary Measures'!N60-'SCF (cell) Summary Measures'!N60</f>
        <v>-1.3574844680540537</v>
      </c>
      <c r="O60" s="91">
        <f>'SCF (name) Summary Measures'!O60-'SCF (cell) Summary Measures'!O60</f>
        <v>-2.5004098706687046</v>
      </c>
      <c r="P60" s="91">
        <f>'SCF (name) Summary Measures'!P60-'SCF (cell) Summary Measures'!P60</f>
        <v>-3.5196980546389796</v>
      </c>
      <c r="Q60" s="91">
        <f>'SCF (name) Summary Measures'!Q60-'SCF (cell) Summary Measures'!Q60</f>
        <v>-4.4457699146880714</v>
      </c>
      <c r="R60" s="91">
        <f>'SCF (name) Summary Measures'!R60-'SCF (cell) Summary Measures'!R60</f>
        <v>-5.2997572171556158</v>
      </c>
      <c r="S60" s="91">
        <f>'SCF (name) Summary Measures'!S60-'SCF (cell) Summary Measures'!S60</f>
        <v>-6.0958089271581457</v>
      </c>
      <c r="T60" s="91">
        <f>'SCF (name) Summary Measures'!T60-'SCF (cell) Summary Measures'!T60</f>
        <v>-6.8438417658882145</v>
      </c>
      <c r="U60" s="91">
        <f>'SCF (name) Summary Measures'!U60-'SCF (cell) Summary Measures'!U60</f>
        <v>-7.5510251761855898</v>
      </c>
      <c r="V60" s="91">
        <f>'SCF (name) Summary Measures'!V60-'SCF (cell) Summary Measures'!V60</f>
        <v>-8.2226500585079521</v>
      </c>
    </row>
    <row r="61" spans="1:22" x14ac:dyDescent="0.25">
      <c r="A61" s="82"/>
      <c r="B61" s="153" t="s">
        <v>142</v>
      </c>
      <c r="C61" s="91">
        <f>'SCF (name) Summary Measures'!C61-'SCF (cell) Summary Measures'!C61</f>
        <v>0</v>
      </c>
      <c r="D61" s="91">
        <f>'SCF (name) Summary Measures'!D61-'SCF (cell) Summary Measures'!D61</f>
        <v>0</v>
      </c>
      <c r="E61" s="91">
        <f>'SCF (name) Summary Measures'!E61-'SCF (cell) Summary Measures'!E61</f>
        <v>0</v>
      </c>
      <c r="F61" s="91">
        <f>'SCF (name) Summary Measures'!F61-'SCF (cell) Summary Measures'!F61</f>
        <v>0</v>
      </c>
      <c r="G61" s="91">
        <f>'SCF (name) Summary Measures'!G61-'SCF (cell) Summary Measures'!G61</f>
        <v>0</v>
      </c>
      <c r="H61" s="91">
        <f>'SCF (name) Summary Measures'!H61-'SCF (cell) Summary Measures'!H61</f>
        <v>0</v>
      </c>
      <c r="I61" s="91">
        <f>'SCF (name) Summary Measures'!I61-'SCF (cell) Summary Measures'!I61</f>
        <v>0</v>
      </c>
      <c r="J61" s="91">
        <f>'SCF (name) Summary Measures'!J61-'SCF (cell) Summary Measures'!J61</f>
        <v>0</v>
      </c>
      <c r="K61" s="91">
        <f>'SCF (name) Summary Measures'!K61-'SCF (cell) Summary Measures'!K61</f>
        <v>0</v>
      </c>
      <c r="L61" s="140">
        <f>'SCF (name) Summary Measures'!L61-'SCF (cell) Summary Measures'!L61</f>
        <v>0</v>
      </c>
      <c r="M61" s="91">
        <f>'SCF (name) Summary Measures'!M61-'SCF (cell) Summary Measures'!M61</f>
        <v>0</v>
      </c>
      <c r="N61" s="91">
        <f>'SCF (name) Summary Measures'!N61-'SCF (cell) Summary Measures'!N61</f>
        <v>0</v>
      </c>
      <c r="O61" s="91">
        <f>'SCF (name) Summary Measures'!O61-'SCF (cell) Summary Measures'!O61</f>
        <v>-0.19649343172488898</v>
      </c>
      <c r="P61" s="91">
        <f>'SCF (name) Summary Measures'!P61-'SCF (cell) Summary Measures'!P61</f>
        <v>-0.51185930192855267</v>
      </c>
      <c r="Q61" s="91">
        <f>'SCF (name) Summary Measures'!Q61-'SCF (cell) Summary Measures'!Q61</f>
        <v>-0.91528622890484712</v>
      </c>
      <c r="R61" s="91">
        <f>'SCF (name) Summary Measures'!R61-'SCF (cell) Summary Measures'!R61</f>
        <v>-1.3856139941336778</v>
      </c>
      <c r="S61" s="91">
        <f>'SCF (name) Summary Measures'!S61-'SCF (cell) Summary Measures'!S61</f>
        <v>-1.9068287858267468</v>
      </c>
      <c r="T61" s="91">
        <f>'SCF (name) Summary Measures'!T61-'SCF (cell) Summary Measures'!T61</f>
        <v>-2.4663547903887775</v>
      </c>
      <c r="U61" s="91">
        <f>'SCF (name) Summary Measures'!U61-'SCF (cell) Summary Measures'!U61</f>
        <v>-3.0541623076530868</v>
      </c>
      <c r="V61" s="91">
        <f>'SCF (name) Summary Measures'!V61-'SCF (cell) Summary Measures'!V61</f>
        <v>-3.6621730599509874</v>
      </c>
    </row>
    <row r="62" spans="1:22" x14ac:dyDescent="0.25">
      <c r="A62" s="82"/>
      <c r="B62" s="64" t="s">
        <v>130</v>
      </c>
      <c r="C62" s="91">
        <f>'SCF (name) Summary Measures'!C62-'SCF (cell) Summary Measures'!C62</f>
        <v>0</v>
      </c>
      <c r="D62" s="91">
        <f>'SCF (name) Summary Measures'!D62-'SCF (cell) Summary Measures'!D62</f>
        <v>0</v>
      </c>
      <c r="E62" s="91">
        <f>'SCF (name) Summary Measures'!E62-'SCF (cell) Summary Measures'!E62</f>
        <v>0</v>
      </c>
      <c r="F62" s="91">
        <f>'SCF (name) Summary Measures'!F62-'SCF (cell) Summary Measures'!F62</f>
        <v>0</v>
      </c>
      <c r="G62" s="91">
        <f>'SCF (name) Summary Measures'!G62-'SCF (cell) Summary Measures'!G62</f>
        <v>0</v>
      </c>
      <c r="H62" s="91">
        <f>'SCF (name) Summary Measures'!H62-'SCF (cell) Summary Measures'!H62</f>
        <v>0</v>
      </c>
      <c r="I62" s="91">
        <f>'SCF (name) Summary Measures'!I62-'SCF (cell) Summary Measures'!I62</f>
        <v>0</v>
      </c>
      <c r="J62" s="91">
        <f>'SCF (name) Summary Measures'!J62-'SCF (cell) Summary Measures'!J62</f>
        <v>0</v>
      </c>
      <c r="K62" s="91">
        <f>'SCF (name) Summary Measures'!K62-'SCF (cell) Summary Measures'!K62</f>
        <v>0</v>
      </c>
      <c r="L62" s="140">
        <f>'SCF (name) Summary Measures'!L62-'SCF (cell) Summary Measures'!L62</f>
        <v>0</v>
      </c>
      <c r="M62" s="91">
        <f>'SCF (name) Summary Measures'!M62-'SCF (cell) Summary Measures'!M62</f>
        <v>0</v>
      </c>
      <c r="N62" s="91">
        <f>'SCF (name) Summary Measures'!N62-'SCF (cell) Summary Measures'!N62</f>
        <v>-0.83609851999983675</v>
      </c>
      <c r="O62" s="91">
        <f>'SCF (name) Summary Measures'!O62-'SCF (cell) Summary Measures'!O62</f>
        <v>-1.1150244787907013</v>
      </c>
      <c r="P62" s="91">
        <f>'SCF (name) Summary Measures'!P62-'SCF (cell) Summary Measures'!P62</f>
        <v>-1.3468121297842117</v>
      </c>
      <c r="Q62" s="91">
        <f>'SCF (name) Summary Measures'!Q62-'SCF (cell) Summary Measures'!Q62</f>
        <v>-1.5783218269800727</v>
      </c>
      <c r="R62" s="91">
        <f>'SCF (name) Summary Measures'!R62-'SCF (cell) Summary Measures'!R62</f>
        <v>-1.8134398872985003</v>
      </c>
      <c r="S62" s="91">
        <f>'SCF (name) Summary Measures'!S62-'SCF (cell) Summary Measures'!S62</f>
        <v>-2.050409562450568</v>
      </c>
      <c r="T62" s="91">
        <f>'SCF (name) Summary Measures'!T62-'SCF (cell) Summary Measures'!T62</f>
        <v>-2.2874744022929008</v>
      </c>
      <c r="U62" s="91">
        <f>'SCF (name) Summary Measures'!U62-'SCF (cell) Summary Measures'!U62</f>
        <v>-2.5233003506124305</v>
      </c>
      <c r="V62" s="91">
        <f>'SCF (name) Summary Measures'!V62-'SCF (cell) Summary Measures'!V62</f>
        <v>-2.7568677596105999</v>
      </c>
    </row>
    <row r="63" spans="1:22" x14ac:dyDescent="0.25">
      <c r="A63" s="82"/>
      <c r="B63" s="153" t="s">
        <v>131</v>
      </c>
      <c r="C63" s="91">
        <f>'SCF (name) Summary Measures'!C63-'SCF (cell) Summary Measures'!C63</f>
        <v>0</v>
      </c>
      <c r="D63" s="91">
        <f>'SCF (name) Summary Measures'!D63-'SCF (cell) Summary Measures'!D63</f>
        <v>0</v>
      </c>
      <c r="E63" s="91">
        <f>'SCF (name) Summary Measures'!E63-'SCF (cell) Summary Measures'!E63</f>
        <v>0</v>
      </c>
      <c r="F63" s="91">
        <f>'SCF (name) Summary Measures'!F63-'SCF (cell) Summary Measures'!F63</f>
        <v>0</v>
      </c>
      <c r="G63" s="91">
        <f>'SCF (name) Summary Measures'!G63-'SCF (cell) Summary Measures'!G63</f>
        <v>0</v>
      </c>
      <c r="H63" s="91">
        <f>'SCF (name) Summary Measures'!H63-'SCF (cell) Summary Measures'!H63</f>
        <v>0</v>
      </c>
      <c r="I63" s="91">
        <f>'SCF (name) Summary Measures'!I63-'SCF (cell) Summary Measures'!I63</f>
        <v>0</v>
      </c>
      <c r="J63" s="91">
        <f>'SCF (name) Summary Measures'!J63-'SCF (cell) Summary Measures'!J63</f>
        <v>0</v>
      </c>
      <c r="K63" s="91">
        <f>'SCF (name) Summary Measures'!K63-'SCF (cell) Summary Measures'!K63</f>
        <v>0</v>
      </c>
      <c r="L63" s="140">
        <f>'SCF (name) Summary Measures'!L63-'SCF (cell) Summary Measures'!L63</f>
        <v>0</v>
      </c>
      <c r="M63" s="91">
        <f>'SCF (name) Summary Measures'!M63-'SCF (cell) Summary Measures'!M63</f>
        <v>-9.4947972287372977</v>
      </c>
      <c r="N63" s="91">
        <f>'SCF (name) Summary Measures'!N63-'SCF (cell) Summary Measures'!N63</f>
        <v>-10.825212034056676</v>
      </c>
      <c r="O63" s="91">
        <f>'SCF (name) Summary Measures'!O63-'SCF (cell) Summary Measures'!O63</f>
        <v>-12.115564890906171</v>
      </c>
      <c r="P63" s="91">
        <f>'SCF (name) Summary Measures'!P63-'SCF (cell) Summary Measures'!P63</f>
        <v>-13.50872430311756</v>
      </c>
      <c r="Q63" s="91">
        <f>'SCF (name) Summary Measures'!Q63-'SCF (cell) Summary Measures'!Q63</f>
        <v>-15.000475431470477</v>
      </c>
      <c r="R63" s="91">
        <f>'SCF (name) Summary Measures'!R63-'SCF (cell) Summary Measures'!R63</f>
        <v>-16.555760166906111</v>
      </c>
      <c r="S63" s="91">
        <f>'SCF (name) Summary Measures'!S63-'SCF (cell) Summary Measures'!S63</f>
        <v>-18.147999969598459</v>
      </c>
      <c r="T63" s="91">
        <f>'SCF (name) Summary Measures'!T63-'SCF (cell) Summary Measures'!T63</f>
        <v>-19.758221123069234</v>
      </c>
      <c r="U63" s="91">
        <f>'SCF (name) Summary Measures'!U63-'SCF (cell) Summary Measures'!U63</f>
        <v>-21.37245716759935</v>
      </c>
      <c r="V63" s="91">
        <f>'SCF (name) Summary Measures'!V63-'SCF (cell) Summary Measures'!V63</f>
        <v>-22.980144351911804</v>
      </c>
    </row>
    <row r="64" spans="1:22" x14ac:dyDescent="0.25">
      <c r="A64" s="82"/>
      <c r="B64" s="153" t="s">
        <v>303</v>
      </c>
      <c r="C64" s="91">
        <f>'SCF (name) Summary Measures'!C64-'SCF (cell) Summary Measures'!C64</f>
        <v>0</v>
      </c>
      <c r="D64" s="91">
        <f>'SCF (name) Summary Measures'!D64-'SCF (cell) Summary Measures'!D64</f>
        <v>0</v>
      </c>
      <c r="E64" s="91">
        <f>'SCF (name) Summary Measures'!E64-'SCF (cell) Summary Measures'!E64</f>
        <v>0</v>
      </c>
      <c r="F64" s="91">
        <f>'SCF (name) Summary Measures'!F64-'SCF (cell) Summary Measures'!F64</f>
        <v>0</v>
      </c>
      <c r="G64" s="91">
        <f>'SCF (name) Summary Measures'!G64-'SCF (cell) Summary Measures'!G64</f>
        <v>0</v>
      </c>
      <c r="H64" s="91">
        <f>'SCF (name) Summary Measures'!H64-'SCF (cell) Summary Measures'!H64</f>
        <v>0</v>
      </c>
      <c r="I64" s="91">
        <f>'SCF (name) Summary Measures'!I64-'SCF (cell) Summary Measures'!I64</f>
        <v>0</v>
      </c>
      <c r="J64" s="91">
        <f>'SCF (name) Summary Measures'!J64-'SCF (cell) Summary Measures'!J64</f>
        <v>0</v>
      </c>
      <c r="K64" s="91">
        <f>'SCF (name) Summary Measures'!K64-'SCF (cell) Summary Measures'!K64</f>
        <v>0</v>
      </c>
      <c r="L64" s="140">
        <f>'SCF (name) Summary Measures'!L64-'SCF (cell) Summary Measures'!L64</f>
        <v>0</v>
      </c>
      <c r="M64" s="91">
        <f>'SCF (name) Summary Measures'!M64-'SCF (cell) Summary Measures'!M64</f>
        <v>-9.4947972287336597</v>
      </c>
      <c r="N64" s="91">
        <f>'SCF (name) Summary Measures'!N64-'SCF (cell) Summary Measures'!N64</f>
        <v>-20.320009262781241</v>
      </c>
      <c r="O64" s="91">
        <f>'SCF (name) Summary Measures'!O64-'SCF (cell) Summary Measures'!O64</f>
        <v>-32.435574153685593</v>
      </c>
      <c r="P64" s="91">
        <f>'SCF (name) Summary Measures'!P64-'SCF (cell) Summary Measures'!P64</f>
        <v>-45.944298456801334</v>
      </c>
      <c r="Q64" s="91">
        <f>'SCF (name) Summary Measures'!Q64-'SCF (cell) Summary Measures'!Q64</f>
        <v>-60.94477388827363</v>
      </c>
      <c r="R64" s="91">
        <f>'SCF (name) Summary Measures'!R64-'SCF (cell) Summary Measures'!R64</f>
        <v>-77.500534055187018</v>
      </c>
      <c r="S64" s="91">
        <f>'SCF (name) Summary Measures'!S64-'SCF (cell) Summary Measures'!S64</f>
        <v>-95.648534024789114</v>
      </c>
      <c r="T64" s="91">
        <f>'SCF (name) Summary Measures'!T64-'SCF (cell) Summary Measures'!T64</f>
        <v>-115.40675514786562</v>
      </c>
      <c r="U64" s="91">
        <f>'SCF (name) Summary Measures'!U64-'SCF (cell) Summary Measures'!U64</f>
        <v>-136.77921231546497</v>
      </c>
      <c r="V64" s="91">
        <f>'SCF (name) Summary Measures'!V64-'SCF (cell) Summary Measures'!V64</f>
        <v>-159.75935666737496</v>
      </c>
    </row>
    <row r="65" spans="1:23" s="64" customFormat="1" x14ac:dyDescent="0.25">
      <c r="A65" s="82"/>
      <c r="B65" s="153" t="s">
        <v>305</v>
      </c>
      <c r="C65" s="91">
        <f>'SCF (name) Summary Measures'!C65-'SCF (cell) Summary Measures'!C65</f>
        <v>0</v>
      </c>
      <c r="D65" s="91">
        <f>'SCF (name) Summary Measures'!D65-'SCF (cell) Summary Measures'!D65</f>
        <v>0</v>
      </c>
      <c r="E65" s="91">
        <f>'SCF (name) Summary Measures'!E65-'SCF (cell) Summary Measures'!E65</f>
        <v>0</v>
      </c>
      <c r="F65" s="91">
        <f>'SCF (name) Summary Measures'!F65-'SCF (cell) Summary Measures'!F65</f>
        <v>0</v>
      </c>
      <c r="G65" s="91">
        <f>'SCF (name) Summary Measures'!G65-'SCF (cell) Summary Measures'!G65</f>
        <v>0</v>
      </c>
      <c r="H65" s="91">
        <f>'SCF (name) Summary Measures'!H65-'SCF (cell) Summary Measures'!H65</f>
        <v>0</v>
      </c>
      <c r="I65" s="91">
        <f>'SCF (name) Summary Measures'!I65-'SCF (cell) Summary Measures'!I65</f>
        <v>0</v>
      </c>
      <c r="J65" s="91">
        <f>'SCF (name) Summary Measures'!J65-'SCF (cell) Summary Measures'!J65</f>
        <v>0</v>
      </c>
      <c r="K65" s="91">
        <f>'SCF (name) Summary Measures'!K65-'SCF (cell) Summary Measures'!K65</f>
        <v>0</v>
      </c>
      <c r="L65" s="140">
        <f>'SCF (name) Summary Measures'!L65-'SCF (cell) Summary Measures'!L65</f>
        <v>0</v>
      </c>
      <c r="M65" s="91">
        <f>'SCF (name) Summary Measures'!M65-'SCF (cell) Summary Measures'!M65</f>
        <v>-9.4947972287372977</v>
      </c>
      <c r="N65" s="91">
        <f>'SCF (name) Summary Measures'!N65-'SCF (cell) Summary Measures'!N65</f>
        <v>-10.825212034056676</v>
      </c>
      <c r="O65" s="91">
        <f>'SCF (name) Summary Measures'!O65-'SCF (cell) Summary Measures'!O65</f>
        <v>-12.115564890906171</v>
      </c>
      <c r="P65" s="91">
        <f>'SCF (name) Summary Measures'!P65-'SCF (cell) Summary Measures'!P65</f>
        <v>-13.50872430311756</v>
      </c>
      <c r="Q65" s="91">
        <f>'SCF (name) Summary Measures'!Q65-'SCF (cell) Summary Measures'!Q65</f>
        <v>-15.000475431470477</v>
      </c>
      <c r="R65" s="91">
        <f>'SCF (name) Summary Measures'!R65-'SCF (cell) Summary Measures'!R65</f>
        <v>-16.555760166906111</v>
      </c>
      <c r="S65" s="91">
        <f>'SCF (name) Summary Measures'!S65-'SCF (cell) Summary Measures'!S65</f>
        <v>-18.147999969598459</v>
      </c>
      <c r="T65" s="91">
        <f>'SCF (name) Summary Measures'!T65-'SCF (cell) Summary Measures'!T65</f>
        <v>-19.758221123069234</v>
      </c>
      <c r="U65" s="91">
        <f>'SCF (name) Summary Measures'!U65-'SCF (cell) Summary Measures'!U65</f>
        <v>-21.37245716759935</v>
      </c>
      <c r="V65" s="91">
        <f>'SCF (name) Summary Measures'!V65-'SCF (cell) Summary Measures'!V65</f>
        <v>-22.980144351911804</v>
      </c>
    </row>
    <row r="66" spans="1:23" x14ac:dyDescent="0.25">
      <c r="A66" s="82"/>
      <c r="B66" s="153" t="s">
        <v>306</v>
      </c>
      <c r="C66" s="91">
        <f>'SCF (name) Summary Measures'!C66-'SCF (cell) Summary Measures'!C66</f>
        <v>0</v>
      </c>
      <c r="D66" s="91">
        <f>'SCF (name) Summary Measures'!D66-'SCF (cell) Summary Measures'!D66</f>
        <v>0</v>
      </c>
      <c r="E66" s="91">
        <f>'SCF (name) Summary Measures'!E66-'SCF (cell) Summary Measures'!E66</f>
        <v>0</v>
      </c>
      <c r="F66" s="91">
        <f>'SCF (name) Summary Measures'!F66-'SCF (cell) Summary Measures'!F66</f>
        <v>0</v>
      </c>
      <c r="G66" s="91">
        <f>'SCF (name) Summary Measures'!G66-'SCF (cell) Summary Measures'!G66</f>
        <v>0</v>
      </c>
      <c r="H66" s="91">
        <f>'SCF (name) Summary Measures'!H66-'SCF (cell) Summary Measures'!H66</f>
        <v>0</v>
      </c>
      <c r="I66" s="91">
        <f>'SCF (name) Summary Measures'!I66-'SCF (cell) Summary Measures'!I66</f>
        <v>0</v>
      </c>
      <c r="J66" s="91">
        <f>'SCF (name) Summary Measures'!J66-'SCF (cell) Summary Measures'!J66</f>
        <v>0</v>
      </c>
      <c r="K66" s="91">
        <f>'SCF (name) Summary Measures'!K66-'SCF (cell) Summary Measures'!K66</f>
        <v>0</v>
      </c>
      <c r="L66" s="140">
        <f>'SCF (name) Summary Measures'!L66-'SCF (cell) Summary Measures'!L66</f>
        <v>0</v>
      </c>
      <c r="M66" s="91">
        <f>'SCF (name) Summary Measures'!M66-'SCF (cell) Summary Measures'!M66</f>
        <v>-9.4947972287336597</v>
      </c>
      <c r="N66" s="91">
        <f>'SCF (name) Summary Measures'!N66-'SCF (cell) Summary Measures'!N66</f>
        <v>-20.320009262781241</v>
      </c>
      <c r="O66" s="91">
        <f>'SCF (name) Summary Measures'!O66-'SCF (cell) Summary Measures'!O66</f>
        <v>-32.435574153685593</v>
      </c>
      <c r="P66" s="91">
        <f>'SCF (name) Summary Measures'!P66-'SCF (cell) Summary Measures'!P66</f>
        <v>-45.944298456815886</v>
      </c>
      <c r="Q66" s="91">
        <f>'SCF (name) Summary Measures'!Q66-'SCF (cell) Summary Measures'!Q66</f>
        <v>-60.944773888288182</v>
      </c>
      <c r="R66" s="91">
        <f>'SCF (name) Summary Measures'!R66-'SCF (cell) Summary Measures'!R66</f>
        <v>-77.50053405520157</v>
      </c>
      <c r="S66" s="91">
        <f>'SCF (name) Summary Measures'!S66-'SCF (cell) Summary Measures'!S66</f>
        <v>-95.648534024803666</v>
      </c>
      <c r="T66" s="91">
        <f>'SCF (name) Summary Measures'!T66-'SCF (cell) Summary Measures'!T66</f>
        <v>-115.40675514788018</v>
      </c>
      <c r="U66" s="91">
        <f>'SCF (name) Summary Measures'!U66-'SCF (cell) Summary Measures'!U66</f>
        <v>-136.77921231547953</v>
      </c>
      <c r="V66" s="91">
        <f>'SCF (name) Summary Measures'!V66-'SCF (cell) Summary Measures'!V66</f>
        <v>-159.75935666740406</v>
      </c>
    </row>
    <row r="67" spans="1:23" x14ac:dyDescent="0.25">
      <c r="A67" s="112"/>
      <c r="B67" s="154" t="s">
        <v>307</v>
      </c>
      <c r="C67" s="308"/>
      <c r="D67" s="308"/>
      <c r="E67" s="308"/>
      <c r="F67" s="308"/>
      <c r="G67" s="308"/>
      <c r="H67" s="308"/>
      <c r="I67" s="100">
        <f>'SCF (name) Summary Measures'!I67-'SCF (cell) Summary Measures'!I67</f>
        <v>0</v>
      </c>
      <c r="J67" s="100">
        <f>'SCF (name) Summary Measures'!J67-'SCF (cell) Summary Measures'!J67</f>
        <v>0</v>
      </c>
      <c r="K67" s="100">
        <f>'SCF (name) Summary Measures'!K67-'SCF (cell) Summary Measures'!K67</f>
        <v>0</v>
      </c>
      <c r="L67" s="142">
        <f>'SCF (name) Summary Measures'!L67-'SCF (cell) Summary Measures'!L67</f>
        <v>0</v>
      </c>
      <c r="M67" s="100">
        <f>'SCF (name) Summary Measures'!M67-'SCF (cell) Summary Measures'!M67</f>
        <v>-9.4947972287409357</v>
      </c>
      <c r="N67" s="100">
        <f>'SCF (name) Summary Measures'!N67-'SCF (cell) Summary Measures'!N67</f>
        <v>-20.320009262795793</v>
      </c>
      <c r="O67" s="100">
        <f>'SCF (name) Summary Measures'!O67-'SCF (cell) Summary Measures'!O67</f>
        <v>-32.435574153700145</v>
      </c>
      <c r="P67" s="100">
        <f>'SCF (name) Summary Measures'!P67-'SCF (cell) Summary Measures'!P67</f>
        <v>-45.944298456815886</v>
      </c>
      <c r="Q67" s="100">
        <f>'SCF (name) Summary Measures'!Q67-'SCF (cell) Summary Measures'!Q67</f>
        <v>-60.944773888288182</v>
      </c>
      <c r="R67" s="100">
        <f>'SCF (name) Summary Measures'!R67-'SCF (cell) Summary Measures'!R67</f>
        <v>-77.500534055187018</v>
      </c>
      <c r="S67" s="100">
        <f>'SCF (name) Summary Measures'!S67-'SCF (cell) Summary Measures'!S67</f>
        <v>-95.648534024789114</v>
      </c>
      <c r="T67" s="100">
        <f>'SCF (name) Summary Measures'!T67-'SCF (cell) Summary Measures'!T67</f>
        <v>-115.40675514785107</v>
      </c>
      <c r="U67" s="100">
        <f>'SCF (name) Summary Measures'!U67-'SCF (cell) Summary Measures'!U67</f>
        <v>-136.77921231545042</v>
      </c>
      <c r="V67" s="100">
        <f>'SCF (name) Summary Measures'!V67-'SCF (cell) Summary Measures'!V67</f>
        <v>-159.75935666736041</v>
      </c>
      <c r="W67" s="116"/>
    </row>
    <row r="68" spans="1:23" s="88" customFormat="1" x14ac:dyDescent="0.25">
      <c r="C68" s="306"/>
      <c r="D68" s="306"/>
      <c r="E68" s="306"/>
      <c r="F68" s="306"/>
      <c r="G68" s="306"/>
      <c r="H68" s="306"/>
      <c r="I68" s="176"/>
      <c r="J68" s="64"/>
      <c r="K68" s="64"/>
      <c r="L68" s="191"/>
      <c r="M68" s="64"/>
      <c r="N68" s="64"/>
      <c r="O68" s="64"/>
      <c r="P68" s="64"/>
      <c r="Q68" s="64"/>
      <c r="R68" s="64"/>
      <c r="S68" s="64"/>
      <c r="T68" s="64"/>
      <c r="U68" s="64"/>
      <c r="V68" s="64"/>
      <c r="W68" s="64"/>
    </row>
    <row r="69" spans="1:23" x14ac:dyDescent="0.25">
      <c r="C69" s="158"/>
      <c r="D69" s="158"/>
      <c r="E69" s="158"/>
      <c r="F69" s="158"/>
      <c r="G69" s="158"/>
      <c r="H69" s="210"/>
    </row>
    <row r="70" spans="1:23" x14ac:dyDescent="0.25">
      <c r="C70" s="159"/>
      <c r="D70" s="160"/>
      <c r="E70" s="305"/>
      <c r="F70" s="305"/>
      <c r="G70" s="305"/>
      <c r="H70" s="176"/>
    </row>
    <row r="71" spans="1:23" x14ac:dyDescent="0.25">
      <c r="C71" s="159"/>
      <c r="D71" s="160"/>
      <c r="E71" s="305"/>
      <c r="F71" s="305"/>
      <c r="G71" s="305"/>
      <c r="H71" s="176"/>
    </row>
    <row r="72" spans="1:23" x14ac:dyDescent="0.25">
      <c r="A72" s="13"/>
      <c r="B72" s="13"/>
      <c r="C72" s="28"/>
      <c r="D72" s="28"/>
      <c r="E72" s="28"/>
      <c r="F72" s="28"/>
      <c r="G72" s="28"/>
      <c r="H72" s="211"/>
    </row>
    <row r="73" spans="1:23" x14ac:dyDescent="0.25">
      <c r="A73" s="13"/>
      <c r="B73" s="13"/>
      <c r="C73" s="27"/>
      <c r="D73" s="27"/>
      <c r="E73" s="27"/>
      <c r="F73" s="27"/>
      <c r="G73" s="27"/>
      <c r="H73" s="202"/>
    </row>
    <row r="74" spans="1:23" x14ac:dyDescent="0.25">
      <c r="A74" s="13"/>
      <c r="B74" s="13"/>
      <c r="C74" s="24"/>
      <c r="D74" s="24"/>
      <c r="E74" s="24"/>
      <c r="F74" s="24"/>
      <c r="G74" s="24"/>
      <c r="H74" s="306"/>
    </row>
    <row r="75" spans="1:23" x14ac:dyDescent="0.25">
      <c r="A75" s="13"/>
      <c r="B75" s="13"/>
      <c r="C75" s="24"/>
      <c r="D75" s="24"/>
      <c r="E75" s="24"/>
      <c r="F75" s="24"/>
      <c r="G75" s="24"/>
      <c r="H75" s="306"/>
    </row>
    <row r="76" spans="1:23" x14ac:dyDescent="0.25">
      <c r="A76" s="161"/>
      <c r="B76" s="161"/>
      <c r="C76" s="162"/>
      <c r="D76" s="24"/>
      <c r="E76" s="24"/>
      <c r="F76" s="24"/>
      <c r="G76" s="24"/>
      <c r="H76" s="306"/>
    </row>
    <row r="77" spans="1:23" x14ac:dyDescent="0.25">
      <c r="A77" s="13"/>
      <c r="B77" s="13"/>
      <c r="C77" s="24"/>
      <c r="D77" s="24"/>
      <c r="E77" s="24"/>
      <c r="F77" s="24"/>
      <c r="G77" s="24"/>
      <c r="H77" s="306"/>
    </row>
    <row r="78" spans="1:23" x14ac:dyDescent="0.25">
      <c r="A78" s="13"/>
      <c r="B78" s="13"/>
      <c r="C78" s="24"/>
      <c r="D78" s="13"/>
      <c r="E78" s="13"/>
      <c r="F78" s="13"/>
      <c r="G78" s="13"/>
      <c r="H78" s="63"/>
    </row>
    <row r="79" spans="1:23" x14ac:dyDescent="0.25">
      <c r="A79" s="13"/>
      <c r="B79" s="13"/>
      <c r="C79" s="24"/>
      <c r="D79" s="13"/>
      <c r="E79" s="13"/>
      <c r="F79" s="13"/>
      <c r="G79" s="13"/>
      <c r="H79" s="63"/>
    </row>
  </sheetData>
  <mergeCells count="2">
    <mergeCell ref="C3:H3"/>
    <mergeCell ref="M3:V3"/>
  </mergeCells>
  <printOptions horizontalCentered="1"/>
  <pageMargins left="0.5" right="0.5" top="0.75" bottom="0.75" header="0.3" footer="0.3"/>
  <pageSetup scale="8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79"/>
  <sheetViews>
    <sheetView zoomScaleNormal="100" workbookViewId="0">
      <pane xSplit="2" ySplit="5" topLeftCell="C6" activePane="bottomRight" state="frozen"/>
      <selection activeCell="E71" sqref="E71"/>
      <selection pane="topRight" activeCell="E71" sqref="E71"/>
      <selection pane="bottomLeft" activeCell="E71" sqref="E71"/>
      <selection pane="bottomRight" activeCell="E71" sqref="E71"/>
    </sheetView>
  </sheetViews>
  <sheetFormatPr defaultColWidth="9.140625" defaultRowHeight="15" x14ac:dyDescent="0.25"/>
  <cols>
    <col min="1" max="1" width="2.85546875" style="127" customWidth="1"/>
    <col min="2" max="2" width="23.42578125" style="127" customWidth="1"/>
    <col min="3" max="3" width="9.140625" style="305" customWidth="1"/>
    <col min="4" max="5" width="9.140625" style="127" customWidth="1"/>
    <col min="6" max="7" width="9.140625" style="127"/>
    <col min="8" max="8" width="9.140625" style="64"/>
    <col min="9" max="9" width="12.28515625" style="176" customWidth="1"/>
    <col min="10" max="11" width="9.140625" style="127"/>
    <col min="12" max="12" width="12.85546875" style="191" customWidth="1"/>
    <col min="13" max="14" width="9.140625" style="64"/>
    <col min="15" max="17" width="9.140625" style="127"/>
    <col min="18" max="19" width="9.140625" style="64"/>
    <col min="20" max="16384" width="9.140625" style="127"/>
  </cols>
  <sheetData>
    <row r="1" spans="1:24" s="5" customFormat="1" x14ac:dyDescent="0.25">
      <c r="A1" s="74" t="s">
        <v>288</v>
      </c>
      <c r="B1" s="143"/>
      <c r="C1" s="76"/>
      <c r="D1" s="75"/>
      <c r="E1" s="75"/>
      <c r="F1" s="75"/>
      <c r="G1" s="75"/>
      <c r="H1" s="75"/>
      <c r="I1" s="144"/>
      <c r="J1" s="75"/>
      <c r="K1" s="75"/>
      <c r="L1" s="206"/>
      <c r="M1" s="75"/>
      <c r="N1" s="75"/>
      <c r="O1" s="75"/>
      <c r="P1" s="75"/>
      <c r="Q1" s="75"/>
      <c r="R1" s="77"/>
      <c r="S1" s="77"/>
    </row>
    <row r="2" spans="1:24" s="5" customFormat="1" x14ac:dyDescent="0.25">
      <c r="A2" s="145"/>
      <c r="B2" s="146"/>
      <c r="C2" s="144"/>
      <c r="D2" s="77"/>
      <c r="E2" s="77"/>
      <c r="F2" s="77"/>
      <c r="G2" s="77"/>
      <c r="H2" s="77"/>
      <c r="I2" s="144"/>
      <c r="J2" s="77"/>
      <c r="K2" s="77"/>
      <c r="L2" s="207"/>
      <c r="M2" s="77"/>
      <c r="N2" s="77"/>
      <c r="O2" s="77"/>
      <c r="P2" s="77"/>
      <c r="Q2" s="77"/>
      <c r="R2" s="77"/>
      <c r="S2" s="77"/>
    </row>
    <row r="3" spans="1:24" s="13" customFormat="1" x14ac:dyDescent="0.25">
      <c r="A3" s="78"/>
      <c r="B3" s="123"/>
      <c r="C3" s="352" t="s">
        <v>105</v>
      </c>
      <c r="D3" s="354"/>
      <c r="E3" s="354"/>
      <c r="F3" s="354"/>
      <c r="G3" s="354"/>
      <c r="H3" s="354"/>
      <c r="I3" s="306"/>
      <c r="J3" s="306"/>
      <c r="K3" s="306"/>
      <c r="L3" s="133" t="s">
        <v>21</v>
      </c>
      <c r="M3" s="352" t="s">
        <v>106</v>
      </c>
      <c r="N3" s="355"/>
      <c r="O3" s="355"/>
      <c r="P3" s="355"/>
      <c r="Q3" s="355"/>
      <c r="R3" s="355"/>
      <c r="S3" s="355"/>
      <c r="T3" s="355"/>
      <c r="U3" s="355"/>
      <c r="V3" s="355"/>
    </row>
    <row r="4" spans="1:24" s="13" customFormat="1" x14ac:dyDescent="0.25">
      <c r="A4" s="78"/>
      <c r="B4" s="123"/>
      <c r="C4" s="79">
        <v>2004</v>
      </c>
      <c r="D4" s="80">
        <v>2005</v>
      </c>
      <c r="E4" s="80">
        <v>2006</v>
      </c>
      <c r="F4" s="80">
        <v>2007</v>
      </c>
      <c r="G4" s="80">
        <v>2008</v>
      </c>
      <c r="H4" s="80">
        <v>2009</v>
      </c>
      <c r="I4" s="80">
        <v>2010</v>
      </c>
      <c r="J4" s="80">
        <v>2011</v>
      </c>
      <c r="K4" s="80">
        <v>2012</v>
      </c>
      <c r="L4" s="136">
        <v>2013</v>
      </c>
      <c r="M4" s="80">
        <v>2014</v>
      </c>
      <c r="N4" s="81">
        <v>2015</v>
      </c>
      <c r="O4" s="80">
        <v>2016</v>
      </c>
      <c r="P4" s="80">
        <v>2017</v>
      </c>
      <c r="Q4" s="80">
        <v>2018</v>
      </c>
      <c r="R4" s="80">
        <v>2019</v>
      </c>
      <c r="S4" s="80">
        <v>2020</v>
      </c>
      <c r="T4" s="80">
        <v>2021</v>
      </c>
      <c r="U4" s="80">
        <v>2022</v>
      </c>
      <c r="V4" s="80">
        <v>2023</v>
      </c>
    </row>
    <row r="5" spans="1:24" x14ac:dyDescent="0.25">
      <c r="A5" s="82"/>
      <c r="B5" s="64"/>
      <c r="C5" s="83" t="s">
        <v>107</v>
      </c>
      <c r="D5" s="84" t="s">
        <v>108</v>
      </c>
      <c r="E5" s="84" t="s">
        <v>109</v>
      </c>
      <c r="F5" s="84" t="s">
        <v>110</v>
      </c>
      <c r="G5" s="84" t="s">
        <v>111</v>
      </c>
      <c r="H5" s="84" t="s">
        <v>112</v>
      </c>
      <c r="I5" s="84" t="s">
        <v>113</v>
      </c>
      <c r="J5" s="84" t="s">
        <v>114</v>
      </c>
      <c r="K5" s="84" t="s">
        <v>115</v>
      </c>
      <c r="L5" s="138" t="s">
        <v>116</v>
      </c>
      <c r="M5" s="84" t="s">
        <v>117</v>
      </c>
      <c r="N5" s="85" t="s">
        <v>118</v>
      </c>
      <c r="O5" s="84" t="s">
        <v>119</v>
      </c>
      <c r="P5" s="84" t="s">
        <v>120</v>
      </c>
      <c r="Q5" s="84" t="s">
        <v>121</v>
      </c>
      <c r="R5" s="84" t="s">
        <v>122</v>
      </c>
      <c r="S5" s="84" t="s">
        <v>123</v>
      </c>
      <c r="T5" s="84" t="s">
        <v>450</v>
      </c>
      <c r="U5" s="84" t="s">
        <v>451</v>
      </c>
      <c r="V5" s="84" t="s">
        <v>452</v>
      </c>
    </row>
    <row r="6" spans="1:24" x14ac:dyDescent="0.25">
      <c r="A6" s="86" t="s">
        <v>289</v>
      </c>
      <c r="B6" s="64"/>
      <c r="C6" s="100">
        <f>'TPM Summary Measures'!C6-'SCF (cell) Summary Measures'!C6</f>
        <v>0</v>
      </c>
      <c r="D6" s="100">
        <f>'TPM Summary Measures'!D6-'SCF (cell) Summary Measures'!D6</f>
        <v>0</v>
      </c>
      <c r="E6" s="100">
        <f>'TPM Summary Measures'!E6-'SCF (cell) Summary Measures'!E6</f>
        <v>0</v>
      </c>
      <c r="F6" s="100">
        <f>'TPM Summary Measures'!F6-'SCF (cell) Summary Measures'!F6</f>
        <v>0</v>
      </c>
      <c r="G6" s="100">
        <f>'TPM Summary Measures'!G6-'SCF (cell) Summary Measures'!G6</f>
        <v>0</v>
      </c>
      <c r="H6" s="100">
        <f>'TPM Summary Measures'!H6-'SCF (cell) Summary Measures'!H6</f>
        <v>0</v>
      </c>
      <c r="I6" s="100">
        <f>'TPM Summary Measures'!I6-'SCF (cell) Summary Measures'!I6</f>
        <v>0</v>
      </c>
      <c r="J6" s="100">
        <f>'TPM Summary Measures'!J6-'SCF (cell) Summary Measures'!J6</f>
        <v>0</v>
      </c>
      <c r="K6" s="100">
        <f>'TPM Summary Measures'!K6-'SCF (cell) Summary Measures'!K6</f>
        <v>0</v>
      </c>
      <c r="L6" s="142">
        <f>'TPM Summary Measures'!L6-'SCF (cell) Summary Measures'!L6</f>
        <v>0</v>
      </c>
      <c r="M6" s="100">
        <f>'TPM Summary Measures'!M6-'SCF (cell) Summary Measures'!M6</f>
        <v>0</v>
      </c>
      <c r="N6" s="100">
        <f>'TPM Summary Measures'!N6-'SCF (cell) Summary Measures'!N6</f>
        <v>0</v>
      </c>
      <c r="O6" s="100">
        <f>'TPM Summary Measures'!O6-'SCF (cell) Summary Measures'!O6</f>
        <v>0</v>
      </c>
      <c r="P6" s="100">
        <f>'TPM Summary Measures'!P6-'SCF (cell) Summary Measures'!P6</f>
        <v>0</v>
      </c>
      <c r="Q6" s="100">
        <f>'TPM Summary Measures'!Q6-'SCF (cell) Summary Measures'!Q6</f>
        <v>0</v>
      </c>
      <c r="R6" s="100">
        <f>'TPM Summary Measures'!R6-'SCF (cell) Summary Measures'!R6</f>
        <v>0</v>
      </c>
      <c r="S6" s="100">
        <f>'TPM Summary Measures'!S6-'SCF (cell) Summary Measures'!S6</f>
        <v>0</v>
      </c>
      <c r="T6" s="100">
        <f>'TPM Summary Measures'!T6-'SCF (cell) Summary Measures'!T6</f>
        <v>0</v>
      </c>
      <c r="U6" s="100">
        <f>'TPM Summary Measures'!U6-'SCF (cell) Summary Measures'!U6</f>
        <v>0</v>
      </c>
      <c r="V6" s="100">
        <f>'TPM Summary Measures'!V6-'SCF (cell) Summary Measures'!V6</f>
        <v>0</v>
      </c>
      <c r="W6" s="116"/>
    </row>
    <row r="7" spans="1:24" s="88" customFormat="1" x14ac:dyDescent="0.25">
      <c r="A7" s="150" t="s">
        <v>290</v>
      </c>
      <c r="C7" s="91">
        <f>'TPM Summary Measures'!C7-'SCF (cell) Summary Measures'!C7</f>
        <v>0</v>
      </c>
      <c r="D7" s="91">
        <f>'TPM Summary Measures'!D7-'SCF (cell) Summary Measures'!D7</f>
        <v>0</v>
      </c>
      <c r="E7" s="91">
        <f>'TPM Summary Measures'!E7-'SCF (cell) Summary Measures'!E7</f>
        <v>0</v>
      </c>
      <c r="F7" s="91">
        <f>'TPM Summary Measures'!F7-'SCF (cell) Summary Measures'!F7</f>
        <v>0</v>
      </c>
      <c r="G7" s="91">
        <f>'TPM Summary Measures'!G7-'SCF (cell) Summary Measures'!G7</f>
        <v>0</v>
      </c>
      <c r="H7" s="91">
        <f>'TPM Summary Measures'!H7-'SCF (cell) Summary Measures'!H7</f>
        <v>0</v>
      </c>
      <c r="I7" s="91">
        <f>'TPM Summary Measures'!I7-'SCF (cell) Summary Measures'!I7</f>
        <v>0</v>
      </c>
      <c r="J7" s="91">
        <f>'TPM Summary Measures'!J7-'SCF (cell) Summary Measures'!J7</f>
        <v>0</v>
      </c>
      <c r="K7" s="91">
        <f>'TPM Summary Measures'!K7-'SCF (cell) Summary Measures'!K7</f>
        <v>0</v>
      </c>
      <c r="L7" s="140">
        <f>'TPM Summary Measures'!L7-'SCF (cell) Summary Measures'!L7</f>
        <v>0</v>
      </c>
      <c r="M7" s="91">
        <f>'TPM Summary Measures'!M7-'SCF (cell) Summary Measures'!M7</f>
        <v>0</v>
      </c>
      <c r="N7" s="91">
        <f>'TPM Summary Measures'!N7-'SCF (cell) Summary Measures'!N7</f>
        <v>0</v>
      </c>
      <c r="O7" s="91">
        <f>'TPM Summary Measures'!O7-'SCF (cell) Summary Measures'!O7</f>
        <v>0</v>
      </c>
      <c r="P7" s="91">
        <f>'TPM Summary Measures'!P7-'SCF (cell) Summary Measures'!P7</f>
        <v>0</v>
      </c>
      <c r="Q7" s="91">
        <f>'TPM Summary Measures'!Q7-'SCF (cell) Summary Measures'!Q7</f>
        <v>0</v>
      </c>
      <c r="R7" s="91">
        <f>'TPM Summary Measures'!R7-'SCF (cell) Summary Measures'!R7</f>
        <v>0</v>
      </c>
      <c r="S7" s="91">
        <f>'TPM Summary Measures'!S7-'SCF (cell) Summary Measures'!S7</f>
        <v>0</v>
      </c>
      <c r="T7" s="91">
        <f>'TPM Summary Measures'!T7-'SCF (cell) Summary Measures'!T7</f>
        <v>0</v>
      </c>
      <c r="U7" s="91">
        <f>'TPM Summary Measures'!U7-'SCF (cell) Summary Measures'!U7</f>
        <v>0</v>
      </c>
      <c r="V7" s="91">
        <f>'TPM Summary Measures'!V7-'SCF (cell) Summary Measures'!V7</f>
        <v>0</v>
      </c>
      <c r="W7" s="64"/>
    </row>
    <row r="8" spans="1:24" s="64" customFormat="1" x14ac:dyDescent="0.25">
      <c r="A8" s="86"/>
      <c r="B8" s="64" t="s">
        <v>313</v>
      </c>
      <c r="C8" s="91">
        <f>'TPM Summary Measures'!C8-'SCF (cell) Summary Measures'!C8</f>
        <v>0</v>
      </c>
      <c r="D8" s="91">
        <f>'TPM Summary Measures'!D8-'SCF (cell) Summary Measures'!D8</f>
        <v>0</v>
      </c>
      <c r="E8" s="91">
        <f>'TPM Summary Measures'!E8-'SCF (cell) Summary Measures'!E8</f>
        <v>0</v>
      </c>
      <c r="F8" s="91">
        <f>'TPM Summary Measures'!F8-'SCF (cell) Summary Measures'!F8</f>
        <v>0</v>
      </c>
      <c r="G8" s="91">
        <f>'TPM Summary Measures'!G8-'SCF (cell) Summary Measures'!G8</f>
        <v>0</v>
      </c>
      <c r="H8" s="91">
        <f>'TPM Summary Measures'!H8-'SCF (cell) Summary Measures'!H8</f>
        <v>0</v>
      </c>
      <c r="I8" s="91">
        <f>'TPM Summary Measures'!I8-'SCF (cell) Summary Measures'!I8</f>
        <v>0</v>
      </c>
      <c r="J8" s="91">
        <f>'TPM Summary Measures'!J8-'SCF (cell) Summary Measures'!J8</f>
        <v>0</v>
      </c>
      <c r="K8" s="91">
        <f>'TPM Summary Measures'!K8-'SCF (cell) Summary Measures'!K8</f>
        <v>0</v>
      </c>
      <c r="L8" s="140">
        <f>'TPM Summary Measures'!L8-'SCF (cell) Summary Measures'!L8</f>
        <v>0</v>
      </c>
      <c r="M8" s="91">
        <f>'TPM Summary Measures'!M8-'SCF (cell) Summary Measures'!M8</f>
        <v>0</v>
      </c>
      <c r="N8" s="91">
        <f>'TPM Summary Measures'!N8-'SCF (cell) Summary Measures'!N8</f>
        <v>0</v>
      </c>
      <c r="O8" s="91">
        <f>'TPM Summary Measures'!O8-'SCF (cell) Summary Measures'!O8</f>
        <v>0</v>
      </c>
      <c r="P8" s="91">
        <f>'TPM Summary Measures'!P8-'SCF (cell) Summary Measures'!P8</f>
        <v>0</v>
      </c>
      <c r="Q8" s="91">
        <f>'TPM Summary Measures'!Q8-'SCF (cell) Summary Measures'!Q8</f>
        <v>0</v>
      </c>
      <c r="R8" s="91">
        <f>'TPM Summary Measures'!R8-'SCF (cell) Summary Measures'!R8</f>
        <v>0</v>
      </c>
      <c r="S8" s="91">
        <f>'TPM Summary Measures'!S8-'SCF (cell) Summary Measures'!S8</f>
        <v>0</v>
      </c>
      <c r="T8" s="91">
        <f>'TPM Summary Measures'!T8-'SCF (cell) Summary Measures'!T8</f>
        <v>0</v>
      </c>
      <c r="U8" s="91">
        <f>'TPM Summary Measures'!U8-'SCF (cell) Summary Measures'!U8</f>
        <v>0</v>
      </c>
      <c r="V8" s="91">
        <f>'TPM Summary Measures'!V8-'SCF (cell) Summary Measures'!V8</f>
        <v>0</v>
      </c>
    </row>
    <row r="9" spans="1:24" s="64" customFormat="1" x14ac:dyDescent="0.25">
      <c r="A9" s="86"/>
      <c r="B9" s="64" t="s">
        <v>314</v>
      </c>
      <c r="C9" s="91">
        <f>'TPM Summary Measures'!C9-'SCF (cell) Summary Measures'!C9</f>
        <v>0</v>
      </c>
      <c r="D9" s="91">
        <f>'TPM Summary Measures'!D9-'SCF (cell) Summary Measures'!D9</f>
        <v>0</v>
      </c>
      <c r="E9" s="91">
        <f>'TPM Summary Measures'!E9-'SCF (cell) Summary Measures'!E9</f>
        <v>0</v>
      </c>
      <c r="F9" s="91">
        <f>'TPM Summary Measures'!F9-'SCF (cell) Summary Measures'!F9</f>
        <v>0</v>
      </c>
      <c r="G9" s="91">
        <f>'TPM Summary Measures'!G9-'SCF (cell) Summary Measures'!G9</f>
        <v>0</v>
      </c>
      <c r="H9" s="91">
        <f>'TPM Summary Measures'!H9-'SCF (cell) Summary Measures'!H9</f>
        <v>0</v>
      </c>
      <c r="I9" s="91">
        <f>'TPM Summary Measures'!I9-'SCF (cell) Summary Measures'!I9</f>
        <v>0</v>
      </c>
      <c r="J9" s="91">
        <f>'TPM Summary Measures'!J9-'SCF (cell) Summary Measures'!J9</f>
        <v>0</v>
      </c>
      <c r="K9" s="91">
        <f>'TPM Summary Measures'!K9-'SCF (cell) Summary Measures'!K9</f>
        <v>0</v>
      </c>
      <c r="L9" s="140">
        <f>'TPM Summary Measures'!L9-'SCF (cell) Summary Measures'!L9</f>
        <v>0</v>
      </c>
      <c r="M9" s="91">
        <f>'TPM Summary Measures'!M9-'SCF (cell) Summary Measures'!M9</f>
        <v>0</v>
      </c>
      <c r="N9" s="91">
        <f>'TPM Summary Measures'!N9-'SCF (cell) Summary Measures'!N9</f>
        <v>0</v>
      </c>
      <c r="O9" s="91">
        <f>'TPM Summary Measures'!O9-'SCF (cell) Summary Measures'!O9</f>
        <v>0</v>
      </c>
      <c r="P9" s="91">
        <f>'TPM Summary Measures'!P9-'SCF (cell) Summary Measures'!P9</f>
        <v>0</v>
      </c>
      <c r="Q9" s="91">
        <f>'TPM Summary Measures'!Q9-'SCF (cell) Summary Measures'!Q9</f>
        <v>0</v>
      </c>
      <c r="R9" s="91">
        <f>'TPM Summary Measures'!R9-'SCF (cell) Summary Measures'!R9</f>
        <v>0</v>
      </c>
      <c r="S9" s="91">
        <f>'TPM Summary Measures'!S9-'SCF (cell) Summary Measures'!S9</f>
        <v>0</v>
      </c>
      <c r="T9" s="91">
        <f>'TPM Summary Measures'!T9-'SCF (cell) Summary Measures'!T9</f>
        <v>0</v>
      </c>
      <c r="U9" s="91">
        <f>'TPM Summary Measures'!U9-'SCF (cell) Summary Measures'!U9</f>
        <v>0</v>
      </c>
      <c r="V9" s="91">
        <f>'TPM Summary Measures'!V9-'SCF (cell) Summary Measures'!V9</f>
        <v>0</v>
      </c>
    </row>
    <row r="10" spans="1:24" s="64" customFormat="1" x14ac:dyDescent="0.25">
      <c r="A10" s="86"/>
      <c r="B10" s="64" t="s">
        <v>315</v>
      </c>
      <c r="C10" s="91">
        <f>'TPM Summary Measures'!C10-'SCF (cell) Summary Measures'!C10</f>
        <v>0</v>
      </c>
      <c r="D10" s="91">
        <f>'TPM Summary Measures'!D10-'SCF (cell) Summary Measures'!D10</f>
        <v>0</v>
      </c>
      <c r="E10" s="91">
        <f>'TPM Summary Measures'!E10-'SCF (cell) Summary Measures'!E10</f>
        <v>0</v>
      </c>
      <c r="F10" s="91">
        <f>'TPM Summary Measures'!F10-'SCF (cell) Summary Measures'!F10</f>
        <v>0</v>
      </c>
      <c r="G10" s="91">
        <f>'TPM Summary Measures'!G10-'SCF (cell) Summary Measures'!G10</f>
        <v>0</v>
      </c>
      <c r="H10" s="91">
        <f>'TPM Summary Measures'!H10-'SCF (cell) Summary Measures'!H10</f>
        <v>0</v>
      </c>
      <c r="I10" s="91">
        <f>'TPM Summary Measures'!I10-'SCF (cell) Summary Measures'!I10</f>
        <v>0</v>
      </c>
      <c r="J10" s="91">
        <f>'TPM Summary Measures'!J10-'SCF (cell) Summary Measures'!J10</f>
        <v>0</v>
      </c>
      <c r="K10" s="91">
        <f>'TPM Summary Measures'!K10-'SCF (cell) Summary Measures'!K10</f>
        <v>0</v>
      </c>
      <c r="L10" s="140">
        <f>'TPM Summary Measures'!L10-'SCF (cell) Summary Measures'!L10</f>
        <v>0</v>
      </c>
      <c r="M10" s="91">
        <f>'TPM Summary Measures'!M10-'SCF (cell) Summary Measures'!M10</f>
        <v>0</v>
      </c>
      <c r="N10" s="91">
        <f>'TPM Summary Measures'!N10-'SCF (cell) Summary Measures'!N10</f>
        <v>0</v>
      </c>
      <c r="O10" s="91">
        <f>'TPM Summary Measures'!O10-'SCF (cell) Summary Measures'!O10</f>
        <v>0</v>
      </c>
      <c r="P10" s="91">
        <f>'TPM Summary Measures'!P10-'SCF (cell) Summary Measures'!P10</f>
        <v>0</v>
      </c>
      <c r="Q10" s="91">
        <f>'TPM Summary Measures'!Q10-'SCF (cell) Summary Measures'!Q10</f>
        <v>0</v>
      </c>
      <c r="R10" s="91">
        <f>'TPM Summary Measures'!R10-'SCF (cell) Summary Measures'!R10</f>
        <v>0</v>
      </c>
      <c r="S10" s="91">
        <f>'TPM Summary Measures'!S10-'SCF (cell) Summary Measures'!S10</f>
        <v>0</v>
      </c>
      <c r="T10" s="91">
        <f>'TPM Summary Measures'!T10-'SCF (cell) Summary Measures'!T10</f>
        <v>0</v>
      </c>
      <c r="U10" s="91">
        <f>'TPM Summary Measures'!U10-'SCF (cell) Summary Measures'!U10</f>
        <v>0</v>
      </c>
      <c r="V10" s="91">
        <f>'TPM Summary Measures'!V10-'SCF (cell) Summary Measures'!V10</f>
        <v>0</v>
      </c>
    </row>
    <row r="11" spans="1:24" s="116" customFormat="1" x14ac:dyDescent="0.25">
      <c r="A11" s="151"/>
      <c r="B11" s="152" t="s">
        <v>22</v>
      </c>
      <c r="C11" s="100">
        <f>'TPM Summary Measures'!C11-'SCF (cell) Summary Measures'!C11</f>
        <v>0</v>
      </c>
      <c r="D11" s="100">
        <f>'TPM Summary Measures'!D11-'SCF (cell) Summary Measures'!D11</f>
        <v>0</v>
      </c>
      <c r="E11" s="100">
        <f>'TPM Summary Measures'!E11-'SCF (cell) Summary Measures'!E11</f>
        <v>0</v>
      </c>
      <c r="F11" s="100">
        <f>'TPM Summary Measures'!F11-'SCF (cell) Summary Measures'!F11</f>
        <v>0</v>
      </c>
      <c r="G11" s="100">
        <f>'TPM Summary Measures'!G11-'SCF (cell) Summary Measures'!G11</f>
        <v>0</v>
      </c>
      <c r="H11" s="100">
        <f>'TPM Summary Measures'!H11-'SCF (cell) Summary Measures'!H11</f>
        <v>0</v>
      </c>
      <c r="I11" s="100">
        <f>'TPM Summary Measures'!I11-'SCF (cell) Summary Measures'!I11</f>
        <v>0</v>
      </c>
      <c r="J11" s="100">
        <f>'TPM Summary Measures'!J11-'SCF (cell) Summary Measures'!J11</f>
        <v>0</v>
      </c>
      <c r="K11" s="100">
        <f>'TPM Summary Measures'!K11-'SCF (cell) Summary Measures'!K11</f>
        <v>0</v>
      </c>
      <c r="L11" s="142">
        <f>'TPM Summary Measures'!L11-'SCF (cell) Summary Measures'!L11</f>
        <v>0</v>
      </c>
      <c r="M11" s="100">
        <f>'TPM Summary Measures'!M11-'SCF (cell) Summary Measures'!M11</f>
        <v>0</v>
      </c>
      <c r="N11" s="100">
        <f>'TPM Summary Measures'!N11-'SCF (cell) Summary Measures'!N11</f>
        <v>0</v>
      </c>
      <c r="O11" s="100">
        <f>'TPM Summary Measures'!O11-'SCF (cell) Summary Measures'!O11</f>
        <v>0</v>
      </c>
      <c r="P11" s="100">
        <f>'TPM Summary Measures'!P11-'SCF (cell) Summary Measures'!P11</f>
        <v>0</v>
      </c>
      <c r="Q11" s="100">
        <f>'TPM Summary Measures'!Q11-'SCF (cell) Summary Measures'!Q11</f>
        <v>0</v>
      </c>
      <c r="R11" s="100">
        <f>'TPM Summary Measures'!R11-'SCF (cell) Summary Measures'!R11</f>
        <v>0</v>
      </c>
      <c r="S11" s="100">
        <f>'TPM Summary Measures'!S11-'SCF (cell) Summary Measures'!S11</f>
        <v>0</v>
      </c>
      <c r="T11" s="100">
        <f>'TPM Summary Measures'!T11-'SCF (cell) Summary Measures'!T11</f>
        <v>0</v>
      </c>
      <c r="U11" s="100">
        <f>'TPM Summary Measures'!U11-'SCF (cell) Summary Measures'!U11</f>
        <v>0</v>
      </c>
      <c r="V11" s="100">
        <f>'TPM Summary Measures'!V11-'SCF (cell) Summary Measures'!V11</f>
        <v>0</v>
      </c>
    </row>
    <row r="12" spans="1:24" s="88" customFormat="1" x14ac:dyDescent="0.25">
      <c r="A12" s="150" t="s">
        <v>291</v>
      </c>
      <c r="C12" s="91">
        <f>'TPM Summary Measures'!C12-'SCF (cell) Summary Measures'!C12</f>
        <v>0</v>
      </c>
      <c r="D12" s="91">
        <f>'TPM Summary Measures'!D12-'SCF (cell) Summary Measures'!D12</f>
        <v>0</v>
      </c>
      <c r="E12" s="91">
        <f>'TPM Summary Measures'!E12-'SCF (cell) Summary Measures'!E12</f>
        <v>0</v>
      </c>
      <c r="F12" s="91">
        <f>'TPM Summary Measures'!F12-'SCF (cell) Summary Measures'!F12</f>
        <v>0</v>
      </c>
      <c r="G12" s="91">
        <f>'TPM Summary Measures'!G12-'SCF (cell) Summary Measures'!G12</f>
        <v>0</v>
      </c>
      <c r="H12" s="91">
        <f>'TPM Summary Measures'!H12-'SCF (cell) Summary Measures'!H12</f>
        <v>0</v>
      </c>
      <c r="I12" s="91">
        <f>'TPM Summary Measures'!I12-'SCF (cell) Summary Measures'!I12</f>
        <v>0</v>
      </c>
      <c r="J12" s="91">
        <f>'TPM Summary Measures'!J12-'SCF (cell) Summary Measures'!J12</f>
        <v>0</v>
      </c>
      <c r="K12" s="91">
        <f>'TPM Summary Measures'!K12-'SCF (cell) Summary Measures'!K12</f>
        <v>0</v>
      </c>
      <c r="L12" s="140">
        <f>'TPM Summary Measures'!L12-'SCF (cell) Summary Measures'!L12</f>
        <v>0</v>
      </c>
      <c r="M12" s="91">
        <f>'TPM Summary Measures'!M12-'SCF (cell) Summary Measures'!M12</f>
        <v>0</v>
      </c>
      <c r="N12" s="91">
        <f>'TPM Summary Measures'!N12-'SCF (cell) Summary Measures'!N12</f>
        <v>0</v>
      </c>
      <c r="O12" s="91">
        <f>'TPM Summary Measures'!O12-'SCF (cell) Summary Measures'!O12</f>
        <v>0</v>
      </c>
      <c r="P12" s="91">
        <f>'TPM Summary Measures'!P12-'SCF (cell) Summary Measures'!P12</f>
        <v>0</v>
      </c>
      <c r="Q12" s="91">
        <f>'TPM Summary Measures'!Q12-'SCF (cell) Summary Measures'!Q12</f>
        <v>0</v>
      </c>
      <c r="R12" s="91">
        <f>'TPM Summary Measures'!R12-'SCF (cell) Summary Measures'!R12</f>
        <v>0</v>
      </c>
      <c r="S12" s="91">
        <f>'TPM Summary Measures'!S12-'SCF (cell) Summary Measures'!S12</f>
        <v>0</v>
      </c>
      <c r="T12" s="91">
        <f>'TPM Summary Measures'!T12-'SCF (cell) Summary Measures'!T12</f>
        <v>0</v>
      </c>
      <c r="U12" s="91">
        <f>'TPM Summary Measures'!U12-'SCF (cell) Summary Measures'!U12</f>
        <v>0</v>
      </c>
      <c r="V12" s="91">
        <f>'TPM Summary Measures'!V12-'SCF (cell) Summary Measures'!V12</f>
        <v>0</v>
      </c>
      <c r="W12" s="64"/>
      <c r="X12" s="64"/>
    </row>
    <row r="13" spans="1:24" s="64" customFormat="1" x14ac:dyDescent="0.25">
      <c r="A13" s="86"/>
      <c r="B13" s="64" t="s">
        <v>313</v>
      </c>
      <c r="C13" s="91">
        <f>'TPM Summary Measures'!C13-'SCF (cell) Summary Measures'!C13</f>
        <v>0</v>
      </c>
      <c r="D13" s="91">
        <f>'TPM Summary Measures'!D13-'SCF (cell) Summary Measures'!D13</f>
        <v>0</v>
      </c>
      <c r="E13" s="91">
        <f>'TPM Summary Measures'!E13-'SCF (cell) Summary Measures'!E13</f>
        <v>0</v>
      </c>
      <c r="F13" s="91">
        <f>'TPM Summary Measures'!F13-'SCF (cell) Summary Measures'!F13</f>
        <v>0</v>
      </c>
      <c r="G13" s="91">
        <f>'TPM Summary Measures'!G13-'SCF (cell) Summary Measures'!G13</f>
        <v>0</v>
      </c>
      <c r="H13" s="91">
        <f>'TPM Summary Measures'!H13-'SCF (cell) Summary Measures'!H13</f>
        <v>0</v>
      </c>
      <c r="I13" s="91">
        <f>'TPM Summary Measures'!I13-'SCF (cell) Summary Measures'!I13</f>
        <v>0</v>
      </c>
      <c r="J13" s="91">
        <f>'TPM Summary Measures'!J13-'SCF (cell) Summary Measures'!J13</f>
        <v>0</v>
      </c>
      <c r="K13" s="91">
        <f>'TPM Summary Measures'!K13-'SCF (cell) Summary Measures'!K13</f>
        <v>0</v>
      </c>
      <c r="L13" s="140">
        <f>'TPM Summary Measures'!L13-'SCF (cell) Summary Measures'!L13</f>
        <v>0</v>
      </c>
      <c r="M13" s="91">
        <f>'TPM Summary Measures'!M13-'SCF (cell) Summary Measures'!M13</f>
        <v>0</v>
      </c>
      <c r="N13" s="91">
        <f>'TPM Summary Measures'!N13-'SCF (cell) Summary Measures'!N13</f>
        <v>0</v>
      </c>
      <c r="O13" s="91">
        <f>'TPM Summary Measures'!O13-'SCF (cell) Summary Measures'!O13</f>
        <v>0</v>
      </c>
      <c r="P13" s="91">
        <f>'TPM Summary Measures'!P13-'SCF (cell) Summary Measures'!P13</f>
        <v>0</v>
      </c>
      <c r="Q13" s="91">
        <f>'TPM Summary Measures'!Q13-'SCF (cell) Summary Measures'!Q13</f>
        <v>0</v>
      </c>
      <c r="R13" s="91">
        <f>'TPM Summary Measures'!R13-'SCF (cell) Summary Measures'!R13</f>
        <v>0</v>
      </c>
      <c r="S13" s="91">
        <f>'TPM Summary Measures'!S13-'SCF (cell) Summary Measures'!S13</f>
        <v>0</v>
      </c>
      <c r="T13" s="91">
        <f>'TPM Summary Measures'!T13-'SCF (cell) Summary Measures'!T13</f>
        <v>0</v>
      </c>
      <c r="U13" s="91">
        <f>'TPM Summary Measures'!U13-'SCF (cell) Summary Measures'!U13</f>
        <v>0</v>
      </c>
      <c r="V13" s="91">
        <f>'TPM Summary Measures'!V13-'SCF (cell) Summary Measures'!V13</f>
        <v>0</v>
      </c>
    </row>
    <row r="14" spans="1:24" s="64" customFormat="1" x14ac:dyDescent="0.25">
      <c r="A14" s="86"/>
      <c r="B14" s="64" t="s">
        <v>314</v>
      </c>
      <c r="C14" s="91">
        <f>'TPM Summary Measures'!C14-'SCF (cell) Summary Measures'!C14</f>
        <v>0</v>
      </c>
      <c r="D14" s="91">
        <f>'TPM Summary Measures'!D14-'SCF (cell) Summary Measures'!D14</f>
        <v>0</v>
      </c>
      <c r="E14" s="91">
        <f>'TPM Summary Measures'!E14-'SCF (cell) Summary Measures'!E14</f>
        <v>0</v>
      </c>
      <c r="F14" s="91">
        <f>'TPM Summary Measures'!F14-'SCF (cell) Summary Measures'!F14</f>
        <v>0</v>
      </c>
      <c r="G14" s="91">
        <f>'TPM Summary Measures'!G14-'SCF (cell) Summary Measures'!G14</f>
        <v>0</v>
      </c>
      <c r="H14" s="91">
        <f>'TPM Summary Measures'!H14-'SCF (cell) Summary Measures'!H14</f>
        <v>0</v>
      </c>
      <c r="I14" s="91">
        <f>'TPM Summary Measures'!I14-'SCF (cell) Summary Measures'!I14</f>
        <v>0</v>
      </c>
      <c r="J14" s="91">
        <f>'TPM Summary Measures'!J14-'SCF (cell) Summary Measures'!J14</f>
        <v>0</v>
      </c>
      <c r="K14" s="91">
        <f>'TPM Summary Measures'!K14-'SCF (cell) Summary Measures'!K14</f>
        <v>0</v>
      </c>
      <c r="L14" s="140">
        <f>'TPM Summary Measures'!L14-'SCF (cell) Summary Measures'!L14</f>
        <v>0</v>
      </c>
      <c r="M14" s="91">
        <f>'TPM Summary Measures'!M14-'SCF (cell) Summary Measures'!M14</f>
        <v>0</v>
      </c>
      <c r="N14" s="91">
        <f>'TPM Summary Measures'!N14-'SCF (cell) Summary Measures'!N14</f>
        <v>0</v>
      </c>
      <c r="O14" s="91">
        <f>'TPM Summary Measures'!O14-'SCF (cell) Summary Measures'!O14</f>
        <v>0</v>
      </c>
      <c r="P14" s="91">
        <f>'TPM Summary Measures'!P14-'SCF (cell) Summary Measures'!P14</f>
        <v>0</v>
      </c>
      <c r="Q14" s="91">
        <f>'TPM Summary Measures'!Q14-'SCF (cell) Summary Measures'!Q14</f>
        <v>0</v>
      </c>
      <c r="R14" s="91">
        <f>'TPM Summary Measures'!R14-'SCF (cell) Summary Measures'!R14</f>
        <v>0</v>
      </c>
      <c r="S14" s="91">
        <f>'TPM Summary Measures'!S14-'SCF (cell) Summary Measures'!S14</f>
        <v>0</v>
      </c>
      <c r="T14" s="91">
        <f>'TPM Summary Measures'!T14-'SCF (cell) Summary Measures'!T14</f>
        <v>0</v>
      </c>
      <c r="U14" s="91">
        <f>'TPM Summary Measures'!U14-'SCF (cell) Summary Measures'!U14</f>
        <v>0</v>
      </c>
      <c r="V14" s="91">
        <f>'TPM Summary Measures'!V14-'SCF (cell) Summary Measures'!V14</f>
        <v>0</v>
      </c>
    </row>
    <row r="15" spans="1:24" s="64" customFormat="1" x14ac:dyDescent="0.25">
      <c r="A15" s="86"/>
      <c r="B15" s="64" t="s">
        <v>315</v>
      </c>
      <c r="C15" s="91">
        <f>'TPM Summary Measures'!C15-'SCF (cell) Summary Measures'!C15</f>
        <v>0</v>
      </c>
      <c r="D15" s="91">
        <f>'TPM Summary Measures'!D15-'SCF (cell) Summary Measures'!D15</f>
        <v>0</v>
      </c>
      <c r="E15" s="91">
        <f>'TPM Summary Measures'!E15-'SCF (cell) Summary Measures'!E15</f>
        <v>0</v>
      </c>
      <c r="F15" s="91">
        <f>'TPM Summary Measures'!F15-'SCF (cell) Summary Measures'!F15</f>
        <v>0</v>
      </c>
      <c r="G15" s="91">
        <f>'TPM Summary Measures'!G15-'SCF (cell) Summary Measures'!G15</f>
        <v>0</v>
      </c>
      <c r="H15" s="91">
        <f>'TPM Summary Measures'!H15-'SCF (cell) Summary Measures'!H15</f>
        <v>0</v>
      </c>
      <c r="I15" s="91">
        <f>'TPM Summary Measures'!I15-'SCF (cell) Summary Measures'!I15</f>
        <v>0</v>
      </c>
      <c r="J15" s="91">
        <f>'TPM Summary Measures'!J15-'SCF (cell) Summary Measures'!J15</f>
        <v>0</v>
      </c>
      <c r="K15" s="91">
        <f>'TPM Summary Measures'!K15-'SCF (cell) Summary Measures'!K15</f>
        <v>0</v>
      </c>
      <c r="L15" s="140">
        <f>'TPM Summary Measures'!L15-'SCF (cell) Summary Measures'!L15</f>
        <v>0</v>
      </c>
      <c r="M15" s="91">
        <f>'TPM Summary Measures'!M15-'SCF (cell) Summary Measures'!M15</f>
        <v>0</v>
      </c>
      <c r="N15" s="91">
        <f>'TPM Summary Measures'!N15-'SCF (cell) Summary Measures'!N15</f>
        <v>0</v>
      </c>
      <c r="O15" s="91">
        <f>'TPM Summary Measures'!O15-'SCF (cell) Summary Measures'!O15</f>
        <v>0</v>
      </c>
      <c r="P15" s="91">
        <f>'TPM Summary Measures'!P15-'SCF (cell) Summary Measures'!P15</f>
        <v>0</v>
      </c>
      <c r="Q15" s="91">
        <f>'TPM Summary Measures'!Q15-'SCF (cell) Summary Measures'!Q15</f>
        <v>0</v>
      </c>
      <c r="R15" s="91">
        <f>'TPM Summary Measures'!R15-'SCF (cell) Summary Measures'!R15</f>
        <v>0</v>
      </c>
      <c r="S15" s="91">
        <f>'TPM Summary Measures'!S15-'SCF (cell) Summary Measures'!S15</f>
        <v>0</v>
      </c>
      <c r="T15" s="91">
        <f>'TPM Summary Measures'!T15-'SCF (cell) Summary Measures'!T15</f>
        <v>0</v>
      </c>
      <c r="U15" s="91">
        <f>'TPM Summary Measures'!U15-'SCF (cell) Summary Measures'!U15</f>
        <v>0</v>
      </c>
      <c r="V15" s="91">
        <f>'TPM Summary Measures'!V15-'SCF (cell) Summary Measures'!V15</f>
        <v>0</v>
      </c>
    </row>
    <row r="16" spans="1:24" s="116" customFormat="1" x14ac:dyDescent="0.25">
      <c r="A16" s="151"/>
      <c r="B16" s="152" t="s">
        <v>22</v>
      </c>
      <c r="C16" s="100">
        <f>'TPM Summary Measures'!C16-'SCF (cell) Summary Measures'!C16</f>
        <v>0</v>
      </c>
      <c r="D16" s="100">
        <f>'TPM Summary Measures'!D16-'SCF (cell) Summary Measures'!D16</f>
        <v>0</v>
      </c>
      <c r="E16" s="100">
        <f>'TPM Summary Measures'!E16-'SCF (cell) Summary Measures'!E16</f>
        <v>0</v>
      </c>
      <c r="F16" s="100">
        <f>'TPM Summary Measures'!F16-'SCF (cell) Summary Measures'!F16</f>
        <v>0</v>
      </c>
      <c r="G16" s="100">
        <f>'TPM Summary Measures'!G16-'SCF (cell) Summary Measures'!G16</f>
        <v>0</v>
      </c>
      <c r="H16" s="100">
        <f>'TPM Summary Measures'!H16-'SCF (cell) Summary Measures'!H16</f>
        <v>0</v>
      </c>
      <c r="I16" s="100">
        <f>'TPM Summary Measures'!I16-'SCF (cell) Summary Measures'!I16</f>
        <v>0</v>
      </c>
      <c r="J16" s="100">
        <f>'TPM Summary Measures'!J16-'SCF (cell) Summary Measures'!J16</f>
        <v>0</v>
      </c>
      <c r="K16" s="100">
        <f>'TPM Summary Measures'!K16-'SCF (cell) Summary Measures'!K16</f>
        <v>0</v>
      </c>
      <c r="L16" s="142">
        <f>'TPM Summary Measures'!L16-'SCF (cell) Summary Measures'!L16</f>
        <v>0</v>
      </c>
      <c r="M16" s="100">
        <f>'TPM Summary Measures'!M16-'SCF (cell) Summary Measures'!M16</f>
        <v>0</v>
      </c>
      <c r="N16" s="100">
        <f>'TPM Summary Measures'!N16-'SCF (cell) Summary Measures'!N16</f>
        <v>0</v>
      </c>
      <c r="O16" s="100">
        <f>'TPM Summary Measures'!O16-'SCF (cell) Summary Measures'!O16</f>
        <v>0</v>
      </c>
      <c r="P16" s="100">
        <f>'TPM Summary Measures'!P16-'SCF (cell) Summary Measures'!P16</f>
        <v>0</v>
      </c>
      <c r="Q16" s="100">
        <f>'TPM Summary Measures'!Q16-'SCF (cell) Summary Measures'!Q16</f>
        <v>0</v>
      </c>
      <c r="R16" s="100">
        <f>'TPM Summary Measures'!R16-'SCF (cell) Summary Measures'!R16</f>
        <v>0</v>
      </c>
      <c r="S16" s="100">
        <f>'TPM Summary Measures'!S16-'SCF (cell) Summary Measures'!S16</f>
        <v>0</v>
      </c>
      <c r="T16" s="100">
        <f>'TPM Summary Measures'!T16-'SCF (cell) Summary Measures'!T16</f>
        <v>0</v>
      </c>
      <c r="U16" s="100">
        <f>'TPM Summary Measures'!U16-'SCF (cell) Summary Measures'!U16</f>
        <v>0</v>
      </c>
      <c r="V16" s="100">
        <f>'TPM Summary Measures'!V16-'SCF (cell) Summary Measures'!V16</f>
        <v>0</v>
      </c>
    </row>
    <row r="17" spans="1:24" s="88" customFormat="1" x14ac:dyDescent="0.25">
      <c r="A17" s="150" t="s">
        <v>25</v>
      </c>
      <c r="C17" s="91">
        <f>'TPM Summary Measures'!C17-'SCF (cell) Summary Measures'!C17</f>
        <v>0</v>
      </c>
      <c r="D17" s="91">
        <f>'TPM Summary Measures'!D17-'SCF (cell) Summary Measures'!D17</f>
        <v>0</v>
      </c>
      <c r="E17" s="91">
        <f>'TPM Summary Measures'!E17-'SCF (cell) Summary Measures'!E17</f>
        <v>0</v>
      </c>
      <c r="F17" s="91">
        <f>'TPM Summary Measures'!F17-'SCF (cell) Summary Measures'!F17</f>
        <v>0</v>
      </c>
      <c r="G17" s="91">
        <f>'TPM Summary Measures'!G17-'SCF (cell) Summary Measures'!G17</f>
        <v>0</v>
      </c>
      <c r="H17" s="91">
        <f>'TPM Summary Measures'!H17-'SCF (cell) Summary Measures'!H17</f>
        <v>0</v>
      </c>
      <c r="I17" s="91">
        <f>'TPM Summary Measures'!I17-'SCF (cell) Summary Measures'!I17</f>
        <v>0</v>
      </c>
      <c r="J17" s="91">
        <f>'TPM Summary Measures'!J17-'SCF (cell) Summary Measures'!J17</f>
        <v>0</v>
      </c>
      <c r="K17" s="91">
        <f>'TPM Summary Measures'!K17-'SCF (cell) Summary Measures'!K17</f>
        <v>0</v>
      </c>
      <c r="L17" s="140">
        <f>'TPM Summary Measures'!L17-'SCF (cell) Summary Measures'!L17</f>
        <v>0</v>
      </c>
      <c r="M17" s="91">
        <f>'TPM Summary Measures'!M17-'SCF (cell) Summary Measures'!M17</f>
        <v>0</v>
      </c>
      <c r="N17" s="91">
        <f>'TPM Summary Measures'!N17-'SCF (cell) Summary Measures'!N17</f>
        <v>0</v>
      </c>
      <c r="O17" s="91">
        <f>'TPM Summary Measures'!O17-'SCF (cell) Summary Measures'!O17</f>
        <v>0</v>
      </c>
      <c r="P17" s="91">
        <f>'TPM Summary Measures'!P17-'SCF (cell) Summary Measures'!P17</f>
        <v>0</v>
      </c>
      <c r="Q17" s="91">
        <f>'TPM Summary Measures'!Q17-'SCF (cell) Summary Measures'!Q17</f>
        <v>0</v>
      </c>
      <c r="R17" s="91">
        <f>'TPM Summary Measures'!R17-'SCF (cell) Summary Measures'!R17</f>
        <v>0</v>
      </c>
      <c r="S17" s="91">
        <f>'TPM Summary Measures'!S17-'SCF (cell) Summary Measures'!S17</f>
        <v>0</v>
      </c>
      <c r="T17" s="91">
        <f>'TPM Summary Measures'!T17-'SCF (cell) Summary Measures'!T17</f>
        <v>0</v>
      </c>
      <c r="U17" s="91">
        <f>'TPM Summary Measures'!U17-'SCF (cell) Summary Measures'!U17</f>
        <v>0</v>
      </c>
      <c r="V17" s="91">
        <f>'TPM Summary Measures'!V17-'SCF (cell) Summary Measures'!V17</f>
        <v>0</v>
      </c>
      <c r="W17" s="64"/>
      <c r="X17" s="64"/>
    </row>
    <row r="18" spans="1:24" s="64" customFormat="1" x14ac:dyDescent="0.25">
      <c r="A18" s="86"/>
      <c r="B18" s="64" t="s">
        <v>292</v>
      </c>
      <c r="C18" s="91">
        <f>'TPM Summary Measures'!C18-'SCF (cell) Summary Measures'!C18</f>
        <v>0</v>
      </c>
      <c r="D18" s="91">
        <f>'TPM Summary Measures'!D18-'SCF (cell) Summary Measures'!D18</f>
        <v>0</v>
      </c>
      <c r="E18" s="91">
        <f>'TPM Summary Measures'!E18-'SCF (cell) Summary Measures'!E18</f>
        <v>0</v>
      </c>
      <c r="F18" s="91">
        <f>'TPM Summary Measures'!F18-'SCF (cell) Summary Measures'!F18</f>
        <v>0</v>
      </c>
      <c r="G18" s="91">
        <f>'TPM Summary Measures'!G18-'SCF (cell) Summary Measures'!G18</f>
        <v>0</v>
      </c>
      <c r="H18" s="91">
        <f>'TPM Summary Measures'!H18-'SCF (cell) Summary Measures'!H18</f>
        <v>0</v>
      </c>
      <c r="I18" s="91">
        <f>'TPM Summary Measures'!I18-'SCF (cell) Summary Measures'!I18</f>
        <v>0</v>
      </c>
      <c r="J18" s="91">
        <f>'TPM Summary Measures'!J18-'SCF (cell) Summary Measures'!J18</f>
        <v>0</v>
      </c>
      <c r="K18" s="91">
        <f>'TPM Summary Measures'!K18-'SCF (cell) Summary Measures'!K18</f>
        <v>0</v>
      </c>
      <c r="L18" s="140">
        <f>'TPM Summary Measures'!L18-'SCF (cell) Summary Measures'!L18</f>
        <v>0</v>
      </c>
      <c r="M18" s="91">
        <f>'TPM Summary Measures'!M18-'SCF (cell) Summary Measures'!M18</f>
        <v>0</v>
      </c>
      <c r="N18" s="91">
        <f>'TPM Summary Measures'!N18-'SCF (cell) Summary Measures'!N18</f>
        <v>0</v>
      </c>
      <c r="O18" s="91">
        <f>'TPM Summary Measures'!O18-'SCF (cell) Summary Measures'!O18</f>
        <v>0</v>
      </c>
      <c r="P18" s="91">
        <f>'TPM Summary Measures'!P18-'SCF (cell) Summary Measures'!P18</f>
        <v>0</v>
      </c>
      <c r="Q18" s="91">
        <f>'TPM Summary Measures'!Q18-'SCF (cell) Summary Measures'!Q18</f>
        <v>0</v>
      </c>
      <c r="R18" s="91">
        <f>'TPM Summary Measures'!R18-'SCF (cell) Summary Measures'!R18</f>
        <v>0</v>
      </c>
      <c r="S18" s="91">
        <f>'TPM Summary Measures'!S18-'SCF (cell) Summary Measures'!S18</f>
        <v>0</v>
      </c>
      <c r="T18" s="91">
        <f>'TPM Summary Measures'!T18-'SCF (cell) Summary Measures'!T18</f>
        <v>0</v>
      </c>
      <c r="U18" s="91">
        <f>'TPM Summary Measures'!U18-'SCF (cell) Summary Measures'!U18</f>
        <v>0</v>
      </c>
      <c r="V18" s="91">
        <f>'TPM Summary Measures'!V18-'SCF (cell) Summary Measures'!V18</f>
        <v>0</v>
      </c>
    </row>
    <row r="19" spans="1:24" s="64" customFormat="1" x14ac:dyDescent="0.25">
      <c r="A19" s="86"/>
      <c r="B19" s="64" t="s">
        <v>141</v>
      </c>
      <c r="C19" s="91">
        <f>'TPM Summary Measures'!C19-'SCF (cell) Summary Measures'!C19</f>
        <v>0</v>
      </c>
      <c r="D19" s="91">
        <f>'TPM Summary Measures'!D19-'SCF (cell) Summary Measures'!D19</f>
        <v>0</v>
      </c>
      <c r="E19" s="91">
        <f>'TPM Summary Measures'!E19-'SCF (cell) Summary Measures'!E19</f>
        <v>0</v>
      </c>
      <c r="F19" s="91">
        <f>'TPM Summary Measures'!F19-'SCF (cell) Summary Measures'!F19</f>
        <v>0</v>
      </c>
      <c r="G19" s="91">
        <f>'TPM Summary Measures'!G19-'SCF (cell) Summary Measures'!G19</f>
        <v>0</v>
      </c>
      <c r="H19" s="91">
        <f>'TPM Summary Measures'!H19-'SCF (cell) Summary Measures'!H19</f>
        <v>0</v>
      </c>
      <c r="I19" s="91">
        <f>'TPM Summary Measures'!I19-'SCF (cell) Summary Measures'!I19</f>
        <v>0</v>
      </c>
      <c r="J19" s="91">
        <f>'TPM Summary Measures'!J19-'SCF (cell) Summary Measures'!J19</f>
        <v>0</v>
      </c>
      <c r="K19" s="91">
        <f>'TPM Summary Measures'!K19-'SCF (cell) Summary Measures'!K19</f>
        <v>0</v>
      </c>
      <c r="L19" s="140">
        <f>'TPM Summary Measures'!L19-'SCF (cell) Summary Measures'!L19</f>
        <v>0</v>
      </c>
      <c r="M19" s="91">
        <f>'TPM Summary Measures'!M19-'SCF (cell) Summary Measures'!M19</f>
        <v>0</v>
      </c>
      <c r="N19" s="91">
        <f>'TPM Summary Measures'!N19-'SCF (cell) Summary Measures'!N19</f>
        <v>0</v>
      </c>
      <c r="O19" s="91">
        <f>'TPM Summary Measures'!O19-'SCF (cell) Summary Measures'!O19</f>
        <v>0</v>
      </c>
      <c r="P19" s="91">
        <f>'TPM Summary Measures'!P19-'SCF (cell) Summary Measures'!P19</f>
        <v>0</v>
      </c>
      <c r="Q19" s="91">
        <f>'TPM Summary Measures'!Q19-'SCF (cell) Summary Measures'!Q19</f>
        <v>0</v>
      </c>
      <c r="R19" s="91">
        <f>'TPM Summary Measures'!R19-'SCF (cell) Summary Measures'!R19</f>
        <v>0</v>
      </c>
      <c r="S19" s="91">
        <f>'TPM Summary Measures'!S19-'SCF (cell) Summary Measures'!S19</f>
        <v>0</v>
      </c>
      <c r="T19" s="91">
        <f>'TPM Summary Measures'!T19-'SCF (cell) Summary Measures'!T19</f>
        <v>0</v>
      </c>
      <c r="U19" s="91">
        <f>'TPM Summary Measures'!U19-'SCF (cell) Summary Measures'!U19</f>
        <v>0</v>
      </c>
      <c r="V19" s="91">
        <f>'TPM Summary Measures'!V19-'SCF (cell) Summary Measures'!V19</f>
        <v>0</v>
      </c>
    </row>
    <row r="20" spans="1:24" s="64" customFormat="1" x14ac:dyDescent="0.25">
      <c r="A20" s="86"/>
      <c r="B20" s="64" t="s">
        <v>142</v>
      </c>
      <c r="C20" s="91">
        <f>'TPM Summary Measures'!C20-'SCF (cell) Summary Measures'!C20</f>
        <v>0</v>
      </c>
      <c r="D20" s="91">
        <f>'TPM Summary Measures'!D20-'SCF (cell) Summary Measures'!D20</f>
        <v>0</v>
      </c>
      <c r="E20" s="91">
        <f>'TPM Summary Measures'!E20-'SCF (cell) Summary Measures'!E20</f>
        <v>0</v>
      </c>
      <c r="F20" s="91">
        <f>'TPM Summary Measures'!F20-'SCF (cell) Summary Measures'!F20</f>
        <v>0</v>
      </c>
      <c r="G20" s="91">
        <f>'TPM Summary Measures'!G20-'SCF (cell) Summary Measures'!G20</f>
        <v>0</v>
      </c>
      <c r="H20" s="91">
        <f>'TPM Summary Measures'!H20-'SCF (cell) Summary Measures'!H20</f>
        <v>0</v>
      </c>
      <c r="I20" s="91">
        <f>'TPM Summary Measures'!I20-'SCF (cell) Summary Measures'!I20</f>
        <v>0</v>
      </c>
      <c r="J20" s="91">
        <f>'TPM Summary Measures'!J20-'SCF (cell) Summary Measures'!J20</f>
        <v>0</v>
      </c>
      <c r="K20" s="91">
        <f>'TPM Summary Measures'!K20-'SCF (cell) Summary Measures'!K20</f>
        <v>0</v>
      </c>
      <c r="L20" s="140">
        <f>'TPM Summary Measures'!L20-'SCF (cell) Summary Measures'!L20</f>
        <v>0</v>
      </c>
      <c r="M20" s="91">
        <f>'TPM Summary Measures'!M20-'SCF (cell) Summary Measures'!M20</f>
        <v>0</v>
      </c>
      <c r="N20" s="91">
        <f>'TPM Summary Measures'!N20-'SCF (cell) Summary Measures'!N20</f>
        <v>0</v>
      </c>
      <c r="O20" s="91">
        <f>'TPM Summary Measures'!O20-'SCF (cell) Summary Measures'!O20</f>
        <v>0</v>
      </c>
      <c r="P20" s="91">
        <f>'TPM Summary Measures'!P20-'SCF (cell) Summary Measures'!P20</f>
        <v>0</v>
      </c>
      <c r="Q20" s="91">
        <f>'TPM Summary Measures'!Q20-'SCF (cell) Summary Measures'!Q20</f>
        <v>0</v>
      </c>
      <c r="R20" s="91">
        <f>'TPM Summary Measures'!R20-'SCF (cell) Summary Measures'!R20</f>
        <v>0</v>
      </c>
      <c r="S20" s="91">
        <f>'TPM Summary Measures'!S20-'SCF (cell) Summary Measures'!S20</f>
        <v>0</v>
      </c>
      <c r="T20" s="91">
        <f>'TPM Summary Measures'!T20-'SCF (cell) Summary Measures'!T20</f>
        <v>0</v>
      </c>
      <c r="U20" s="91">
        <f>'TPM Summary Measures'!U20-'SCF (cell) Summary Measures'!U20</f>
        <v>0</v>
      </c>
      <c r="V20" s="91">
        <f>'TPM Summary Measures'!V20-'SCF (cell) Summary Measures'!V20</f>
        <v>0</v>
      </c>
    </row>
    <row r="21" spans="1:24" s="64" customFormat="1" x14ac:dyDescent="0.25">
      <c r="A21" s="86"/>
      <c r="B21" s="63" t="s">
        <v>293</v>
      </c>
      <c r="C21" s="91">
        <f>'TPM Summary Measures'!C21-'SCF (cell) Summary Measures'!C21</f>
        <v>0</v>
      </c>
      <c r="D21" s="91">
        <f>'TPM Summary Measures'!D21-'SCF (cell) Summary Measures'!D21</f>
        <v>0</v>
      </c>
      <c r="E21" s="91">
        <f>'TPM Summary Measures'!E21-'SCF (cell) Summary Measures'!E21</f>
        <v>0</v>
      </c>
      <c r="F21" s="91">
        <f>'TPM Summary Measures'!F21-'SCF (cell) Summary Measures'!F21</f>
        <v>0</v>
      </c>
      <c r="G21" s="91">
        <f>'TPM Summary Measures'!G21-'SCF (cell) Summary Measures'!G21</f>
        <v>0</v>
      </c>
      <c r="H21" s="91">
        <f>'TPM Summary Measures'!H21-'SCF (cell) Summary Measures'!H21</f>
        <v>0</v>
      </c>
      <c r="I21" s="91">
        <f>'TPM Summary Measures'!I21-'SCF (cell) Summary Measures'!I21</f>
        <v>0</v>
      </c>
      <c r="J21" s="91">
        <f>'TPM Summary Measures'!J21-'SCF (cell) Summary Measures'!J21</f>
        <v>0</v>
      </c>
      <c r="K21" s="91">
        <f>'TPM Summary Measures'!K21-'SCF (cell) Summary Measures'!K21</f>
        <v>0</v>
      </c>
      <c r="L21" s="140">
        <f>'TPM Summary Measures'!L21-'SCF (cell) Summary Measures'!L21</f>
        <v>0</v>
      </c>
      <c r="M21" s="91">
        <f>'TPM Summary Measures'!M21-'SCF (cell) Summary Measures'!M21</f>
        <v>0</v>
      </c>
      <c r="N21" s="91">
        <f>'TPM Summary Measures'!N21-'SCF (cell) Summary Measures'!N21</f>
        <v>0</v>
      </c>
      <c r="O21" s="91">
        <f>'TPM Summary Measures'!O21-'SCF (cell) Summary Measures'!O21</f>
        <v>0</v>
      </c>
      <c r="P21" s="91">
        <f>'TPM Summary Measures'!P21-'SCF (cell) Summary Measures'!P21</f>
        <v>0</v>
      </c>
      <c r="Q21" s="91">
        <f>'TPM Summary Measures'!Q21-'SCF (cell) Summary Measures'!Q21</f>
        <v>0</v>
      </c>
      <c r="R21" s="91">
        <f>'TPM Summary Measures'!R21-'SCF (cell) Summary Measures'!R21</f>
        <v>0</v>
      </c>
      <c r="S21" s="91">
        <f>'TPM Summary Measures'!S21-'SCF (cell) Summary Measures'!S21</f>
        <v>0</v>
      </c>
      <c r="T21" s="91">
        <f>'TPM Summary Measures'!T21-'SCF (cell) Summary Measures'!T21</f>
        <v>0</v>
      </c>
      <c r="U21" s="91">
        <f>'TPM Summary Measures'!U21-'SCF (cell) Summary Measures'!U21</f>
        <v>0</v>
      </c>
      <c r="V21" s="91">
        <f>'TPM Summary Measures'!V21-'SCF (cell) Summary Measures'!V21</f>
        <v>0</v>
      </c>
    </row>
    <row r="22" spans="1:24" s="64" customFormat="1" x14ac:dyDescent="0.25">
      <c r="A22" s="86"/>
      <c r="B22" s="64" t="s">
        <v>294</v>
      </c>
      <c r="C22" s="91">
        <f>'TPM Summary Measures'!C22-'SCF (cell) Summary Measures'!C22</f>
        <v>0</v>
      </c>
      <c r="D22" s="91">
        <f>'TPM Summary Measures'!D22-'SCF (cell) Summary Measures'!D22</f>
        <v>0</v>
      </c>
      <c r="E22" s="91">
        <f>'TPM Summary Measures'!E22-'SCF (cell) Summary Measures'!E22</f>
        <v>0</v>
      </c>
      <c r="F22" s="91">
        <f>'TPM Summary Measures'!F22-'SCF (cell) Summary Measures'!F22</f>
        <v>0</v>
      </c>
      <c r="G22" s="91">
        <f>'TPM Summary Measures'!G22-'SCF (cell) Summary Measures'!G22</f>
        <v>0</v>
      </c>
      <c r="H22" s="91">
        <f>'TPM Summary Measures'!H22-'SCF (cell) Summary Measures'!H22</f>
        <v>0</v>
      </c>
      <c r="I22" s="91">
        <f>'TPM Summary Measures'!I22-'SCF (cell) Summary Measures'!I22</f>
        <v>0</v>
      </c>
      <c r="J22" s="91">
        <f>'TPM Summary Measures'!J22-'SCF (cell) Summary Measures'!J22</f>
        <v>0</v>
      </c>
      <c r="K22" s="91">
        <f>'TPM Summary Measures'!K22-'SCF (cell) Summary Measures'!K22</f>
        <v>0</v>
      </c>
      <c r="L22" s="140">
        <f>'TPM Summary Measures'!L22-'SCF (cell) Summary Measures'!L22</f>
        <v>0</v>
      </c>
      <c r="M22" s="91">
        <f>'TPM Summary Measures'!M22-'SCF (cell) Summary Measures'!M22</f>
        <v>0</v>
      </c>
      <c r="N22" s="91">
        <f>'TPM Summary Measures'!N22-'SCF (cell) Summary Measures'!N22</f>
        <v>0</v>
      </c>
      <c r="O22" s="91">
        <f>'TPM Summary Measures'!O22-'SCF (cell) Summary Measures'!O22</f>
        <v>0</v>
      </c>
      <c r="P22" s="91">
        <f>'TPM Summary Measures'!P22-'SCF (cell) Summary Measures'!P22</f>
        <v>0</v>
      </c>
      <c r="Q22" s="91">
        <f>'TPM Summary Measures'!Q22-'SCF (cell) Summary Measures'!Q22</f>
        <v>0</v>
      </c>
      <c r="R22" s="91">
        <f>'TPM Summary Measures'!R22-'SCF (cell) Summary Measures'!R22</f>
        <v>0</v>
      </c>
      <c r="S22" s="91">
        <f>'TPM Summary Measures'!S22-'SCF (cell) Summary Measures'!S22</f>
        <v>0</v>
      </c>
      <c r="T22" s="91">
        <f>'TPM Summary Measures'!T22-'SCF (cell) Summary Measures'!T22</f>
        <v>0</v>
      </c>
      <c r="U22" s="91">
        <f>'TPM Summary Measures'!U22-'SCF (cell) Summary Measures'!U22</f>
        <v>0</v>
      </c>
      <c r="V22" s="91">
        <f>'TPM Summary Measures'!V22-'SCF (cell) Summary Measures'!V22</f>
        <v>0</v>
      </c>
    </row>
    <row r="23" spans="1:24" s="64" customFormat="1" x14ac:dyDescent="0.25">
      <c r="A23" s="86"/>
      <c r="B23" s="64" t="s">
        <v>141</v>
      </c>
      <c r="C23" s="91">
        <f>'TPM Summary Measures'!C23-'SCF (cell) Summary Measures'!C23</f>
        <v>0</v>
      </c>
      <c r="D23" s="91">
        <f>'TPM Summary Measures'!D23-'SCF (cell) Summary Measures'!D23</f>
        <v>0</v>
      </c>
      <c r="E23" s="91">
        <f>'TPM Summary Measures'!E23-'SCF (cell) Summary Measures'!E23</f>
        <v>0</v>
      </c>
      <c r="F23" s="91">
        <f>'TPM Summary Measures'!F23-'SCF (cell) Summary Measures'!F23</f>
        <v>0</v>
      </c>
      <c r="G23" s="91">
        <f>'TPM Summary Measures'!G23-'SCF (cell) Summary Measures'!G23</f>
        <v>0</v>
      </c>
      <c r="H23" s="91">
        <f>'TPM Summary Measures'!H23-'SCF (cell) Summary Measures'!H23</f>
        <v>0</v>
      </c>
      <c r="I23" s="91">
        <f>'TPM Summary Measures'!I23-'SCF (cell) Summary Measures'!I23</f>
        <v>0</v>
      </c>
      <c r="J23" s="91">
        <f>'TPM Summary Measures'!J23-'SCF (cell) Summary Measures'!J23</f>
        <v>0</v>
      </c>
      <c r="K23" s="91">
        <f>'TPM Summary Measures'!K23-'SCF (cell) Summary Measures'!K23</f>
        <v>0</v>
      </c>
      <c r="L23" s="140">
        <f>'TPM Summary Measures'!L23-'SCF (cell) Summary Measures'!L23</f>
        <v>0</v>
      </c>
      <c r="M23" s="91">
        <f>'TPM Summary Measures'!M23-'SCF (cell) Summary Measures'!M23</f>
        <v>0</v>
      </c>
      <c r="N23" s="91">
        <f>'TPM Summary Measures'!N23-'SCF (cell) Summary Measures'!N23</f>
        <v>0</v>
      </c>
      <c r="O23" s="91">
        <f>'TPM Summary Measures'!O23-'SCF (cell) Summary Measures'!O23</f>
        <v>0</v>
      </c>
      <c r="P23" s="91">
        <f>'TPM Summary Measures'!P23-'SCF (cell) Summary Measures'!P23</f>
        <v>0</v>
      </c>
      <c r="Q23" s="91">
        <f>'TPM Summary Measures'!Q23-'SCF (cell) Summary Measures'!Q23</f>
        <v>0</v>
      </c>
      <c r="R23" s="91">
        <f>'TPM Summary Measures'!R23-'SCF (cell) Summary Measures'!R23</f>
        <v>0</v>
      </c>
      <c r="S23" s="91">
        <f>'TPM Summary Measures'!S23-'SCF (cell) Summary Measures'!S23</f>
        <v>0</v>
      </c>
      <c r="T23" s="91">
        <f>'TPM Summary Measures'!T23-'SCF (cell) Summary Measures'!T23</f>
        <v>0</v>
      </c>
      <c r="U23" s="91">
        <f>'TPM Summary Measures'!U23-'SCF (cell) Summary Measures'!U23</f>
        <v>0</v>
      </c>
      <c r="V23" s="91">
        <f>'TPM Summary Measures'!V23-'SCF (cell) Summary Measures'!V23</f>
        <v>0</v>
      </c>
    </row>
    <row r="24" spans="1:24" s="64" customFormat="1" x14ac:dyDescent="0.25">
      <c r="A24" s="86"/>
      <c r="B24" s="64" t="s">
        <v>142</v>
      </c>
      <c r="C24" s="91">
        <f>'TPM Summary Measures'!C24-'SCF (cell) Summary Measures'!C24</f>
        <v>0</v>
      </c>
      <c r="D24" s="91">
        <f>'TPM Summary Measures'!D24-'SCF (cell) Summary Measures'!D24</f>
        <v>0</v>
      </c>
      <c r="E24" s="91">
        <f>'TPM Summary Measures'!E24-'SCF (cell) Summary Measures'!E24</f>
        <v>0</v>
      </c>
      <c r="F24" s="91">
        <f>'TPM Summary Measures'!F24-'SCF (cell) Summary Measures'!F24</f>
        <v>0</v>
      </c>
      <c r="G24" s="91">
        <f>'TPM Summary Measures'!G24-'SCF (cell) Summary Measures'!G24</f>
        <v>0</v>
      </c>
      <c r="H24" s="91">
        <f>'TPM Summary Measures'!H24-'SCF (cell) Summary Measures'!H24</f>
        <v>0</v>
      </c>
      <c r="I24" s="91">
        <f>'TPM Summary Measures'!I24-'SCF (cell) Summary Measures'!I24</f>
        <v>0</v>
      </c>
      <c r="J24" s="91">
        <f>'TPM Summary Measures'!J24-'SCF (cell) Summary Measures'!J24</f>
        <v>0</v>
      </c>
      <c r="K24" s="91">
        <f>'TPM Summary Measures'!K24-'SCF (cell) Summary Measures'!K24</f>
        <v>0</v>
      </c>
      <c r="L24" s="140">
        <f>'TPM Summary Measures'!L24-'SCF (cell) Summary Measures'!L24</f>
        <v>0</v>
      </c>
      <c r="M24" s="91">
        <f>'TPM Summary Measures'!M24-'SCF (cell) Summary Measures'!M24</f>
        <v>0</v>
      </c>
      <c r="N24" s="91">
        <f>'TPM Summary Measures'!N24-'SCF (cell) Summary Measures'!N24</f>
        <v>0</v>
      </c>
      <c r="O24" s="91">
        <f>'TPM Summary Measures'!O24-'SCF (cell) Summary Measures'!O24</f>
        <v>0</v>
      </c>
      <c r="P24" s="91">
        <f>'TPM Summary Measures'!P24-'SCF (cell) Summary Measures'!P24</f>
        <v>0</v>
      </c>
      <c r="Q24" s="91">
        <f>'TPM Summary Measures'!Q24-'SCF (cell) Summary Measures'!Q24</f>
        <v>0</v>
      </c>
      <c r="R24" s="91">
        <f>'TPM Summary Measures'!R24-'SCF (cell) Summary Measures'!R24</f>
        <v>0</v>
      </c>
      <c r="S24" s="91">
        <f>'TPM Summary Measures'!S24-'SCF (cell) Summary Measures'!S24</f>
        <v>0</v>
      </c>
      <c r="T24" s="91">
        <f>'TPM Summary Measures'!T24-'SCF (cell) Summary Measures'!T24</f>
        <v>0</v>
      </c>
      <c r="U24" s="91">
        <f>'TPM Summary Measures'!U24-'SCF (cell) Summary Measures'!U24</f>
        <v>0</v>
      </c>
      <c r="V24" s="91">
        <f>'TPM Summary Measures'!V24-'SCF (cell) Summary Measures'!V24</f>
        <v>0</v>
      </c>
    </row>
    <row r="25" spans="1:24" s="64" customFormat="1" x14ac:dyDescent="0.25">
      <c r="A25" s="86"/>
      <c r="B25" s="64" t="s">
        <v>293</v>
      </c>
      <c r="C25" s="91">
        <f>'TPM Summary Measures'!C25-'SCF (cell) Summary Measures'!C25</f>
        <v>0</v>
      </c>
      <c r="D25" s="91">
        <f>'TPM Summary Measures'!D25-'SCF (cell) Summary Measures'!D25</f>
        <v>0</v>
      </c>
      <c r="E25" s="91">
        <f>'TPM Summary Measures'!E25-'SCF (cell) Summary Measures'!E25</f>
        <v>0</v>
      </c>
      <c r="F25" s="91">
        <f>'TPM Summary Measures'!F25-'SCF (cell) Summary Measures'!F25</f>
        <v>0</v>
      </c>
      <c r="G25" s="91">
        <f>'TPM Summary Measures'!G25-'SCF (cell) Summary Measures'!G25</f>
        <v>0</v>
      </c>
      <c r="H25" s="91">
        <f>'TPM Summary Measures'!H25-'SCF (cell) Summary Measures'!H25</f>
        <v>0</v>
      </c>
      <c r="I25" s="91">
        <f>'TPM Summary Measures'!I25-'SCF (cell) Summary Measures'!I25</f>
        <v>0</v>
      </c>
      <c r="J25" s="91">
        <f>'TPM Summary Measures'!J25-'SCF (cell) Summary Measures'!J25</f>
        <v>0</v>
      </c>
      <c r="K25" s="91">
        <f>'TPM Summary Measures'!K25-'SCF (cell) Summary Measures'!K25</f>
        <v>0</v>
      </c>
      <c r="L25" s="140">
        <f>'TPM Summary Measures'!L25-'SCF (cell) Summary Measures'!L25</f>
        <v>0</v>
      </c>
      <c r="M25" s="91">
        <f>'TPM Summary Measures'!M25-'SCF (cell) Summary Measures'!M25</f>
        <v>0</v>
      </c>
      <c r="N25" s="91">
        <f>'TPM Summary Measures'!N25-'SCF (cell) Summary Measures'!N25</f>
        <v>0</v>
      </c>
      <c r="O25" s="91">
        <f>'TPM Summary Measures'!O25-'SCF (cell) Summary Measures'!O25</f>
        <v>0</v>
      </c>
      <c r="P25" s="91">
        <f>'TPM Summary Measures'!P25-'SCF (cell) Summary Measures'!P25</f>
        <v>0</v>
      </c>
      <c r="Q25" s="91">
        <f>'TPM Summary Measures'!Q25-'SCF (cell) Summary Measures'!Q25</f>
        <v>0</v>
      </c>
      <c r="R25" s="91">
        <f>'TPM Summary Measures'!R25-'SCF (cell) Summary Measures'!R25</f>
        <v>0</v>
      </c>
      <c r="S25" s="91">
        <f>'TPM Summary Measures'!S25-'SCF (cell) Summary Measures'!S25</f>
        <v>0</v>
      </c>
      <c r="T25" s="91">
        <f>'TPM Summary Measures'!T25-'SCF (cell) Summary Measures'!T25</f>
        <v>0</v>
      </c>
      <c r="U25" s="91">
        <f>'TPM Summary Measures'!U25-'SCF (cell) Summary Measures'!U25</f>
        <v>0</v>
      </c>
      <c r="V25" s="91">
        <f>'TPM Summary Measures'!V25-'SCF (cell) Summary Measures'!V25</f>
        <v>0</v>
      </c>
    </row>
    <row r="26" spans="1:24" s="64" customFormat="1" x14ac:dyDescent="0.25">
      <c r="A26" s="86"/>
      <c r="B26" s="63" t="s">
        <v>295</v>
      </c>
      <c r="C26" s="91">
        <f>'TPM Summary Measures'!C26-'SCF (cell) Summary Measures'!C26</f>
        <v>0</v>
      </c>
      <c r="D26" s="91">
        <f>'TPM Summary Measures'!D26-'SCF (cell) Summary Measures'!D26</f>
        <v>0</v>
      </c>
      <c r="E26" s="91">
        <f>'TPM Summary Measures'!E26-'SCF (cell) Summary Measures'!E26</f>
        <v>0</v>
      </c>
      <c r="F26" s="91">
        <f>'TPM Summary Measures'!F26-'SCF (cell) Summary Measures'!F26</f>
        <v>0</v>
      </c>
      <c r="G26" s="91">
        <f>'TPM Summary Measures'!G26-'SCF (cell) Summary Measures'!G26</f>
        <v>0</v>
      </c>
      <c r="H26" s="91">
        <f>'TPM Summary Measures'!H26-'SCF (cell) Summary Measures'!H26</f>
        <v>0</v>
      </c>
      <c r="I26" s="91">
        <f>'TPM Summary Measures'!I26-'SCF (cell) Summary Measures'!I26</f>
        <v>0</v>
      </c>
      <c r="J26" s="91">
        <f>'TPM Summary Measures'!J26-'SCF (cell) Summary Measures'!J26</f>
        <v>0</v>
      </c>
      <c r="K26" s="91">
        <f>'TPM Summary Measures'!K26-'SCF (cell) Summary Measures'!K26</f>
        <v>0</v>
      </c>
      <c r="L26" s="140">
        <f>'TPM Summary Measures'!L26-'SCF (cell) Summary Measures'!L26</f>
        <v>0</v>
      </c>
      <c r="M26" s="91">
        <f>'TPM Summary Measures'!M26-'SCF (cell) Summary Measures'!M26</f>
        <v>0</v>
      </c>
      <c r="N26" s="91">
        <f>'TPM Summary Measures'!N26-'SCF (cell) Summary Measures'!N26</f>
        <v>0</v>
      </c>
      <c r="O26" s="91">
        <f>'TPM Summary Measures'!O26-'SCF (cell) Summary Measures'!O26</f>
        <v>0</v>
      </c>
      <c r="P26" s="91">
        <f>'TPM Summary Measures'!P26-'SCF (cell) Summary Measures'!P26</f>
        <v>0</v>
      </c>
      <c r="Q26" s="91">
        <f>'TPM Summary Measures'!Q26-'SCF (cell) Summary Measures'!Q26</f>
        <v>0</v>
      </c>
      <c r="R26" s="91">
        <f>'TPM Summary Measures'!R26-'SCF (cell) Summary Measures'!R26</f>
        <v>0</v>
      </c>
      <c r="S26" s="91">
        <f>'TPM Summary Measures'!S26-'SCF (cell) Summary Measures'!S26</f>
        <v>0</v>
      </c>
      <c r="T26" s="91">
        <f>'TPM Summary Measures'!T26-'SCF (cell) Summary Measures'!T26</f>
        <v>0</v>
      </c>
      <c r="U26" s="91">
        <f>'TPM Summary Measures'!U26-'SCF (cell) Summary Measures'!U26</f>
        <v>0</v>
      </c>
      <c r="V26" s="91">
        <f>'TPM Summary Measures'!V26-'SCF (cell) Summary Measures'!V26</f>
        <v>0</v>
      </c>
    </row>
    <row r="27" spans="1:24" s="64" customFormat="1" x14ac:dyDescent="0.25">
      <c r="A27" s="86"/>
      <c r="B27" s="63" t="s">
        <v>296</v>
      </c>
      <c r="C27" s="91">
        <f>'TPM Summary Measures'!C27-'SCF (cell) Summary Measures'!C27</f>
        <v>0</v>
      </c>
      <c r="D27" s="91">
        <f>'TPM Summary Measures'!D27-'SCF (cell) Summary Measures'!D27</f>
        <v>0</v>
      </c>
      <c r="E27" s="91">
        <f>'TPM Summary Measures'!E27-'SCF (cell) Summary Measures'!E27</f>
        <v>0</v>
      </c>
      <c r="F27" s="91">
        <f>'TPM Summary Measures'!F27-'SCF (cell) Summary Measures'!F27</f>
        <v>0</v>
      </c>
      <c r="G27" s="91">
        <f>'TPM Summary Measures'!G27-'SCF (cell) Summary Measures'!G27</f>
        <v>0</v>
      </c>
      <c r="H27" s="91">
        <f>'TPM Summary Measures'!H27-'SCF (cell) Summary Measures'!H27</f>
        <v>0</v>
      </c>
      <c r="I27" s="91">
        <f>'TPM Summary Measures'!I27-'SCF (cell) Summary Measures'!I27</f>
        <v>0</v>
      </c>
      <c r="J27" s="91">
        <f>'TPM Summary Measures'!J27-'SCF (cell) Summary Measures'!J27</f>
        <v>0</v>
      </c>
      <c r="K27" s="91">
        <f>'TPM Summary Measures'!K27-'SCF (cell) Summary Measures'!K27</f>
        <v>0</v>
      </c>
      <c r="L27" s="140">
        <f>'TPM Summary Measures'!L27-'SCF (cell) Summary Measures'!L27</f>
        <v>0</v>
      </c>
      <c r="M27" s="91">
        <f>'TPM Summary Measures'!M27-'SCF (cell) Summary Measures'!M27</f>
        <v>0</v>
      </c>
      <c r="N27" s="91">
        <f>'TPM Summary Measures'!N27-'SCF (cell) Summary Measures'!N27</f>
        <v>0</v>
      </c>
      <c r="O27" s="91">
        <f>'TPM Summary Measures'!O27-'SCF (cell) Summary Measures'!O27</f>
        <v>0</v>
      </c>
      <c r="P27" s="91">
        <f>'TPM Summary Measures'!P27-'SCF (cell) Summary Measures'!P27</f>
        <v>0</v>
      </c>
      <c r="Q27" s="91">
        <f>'TPM Summary Measures'!Q27-'SCF (cell) Summary Measures'!Q27</f>
        <v>0</v>
      </c>
      <c r="R27" s="91">
        <f>'TPM Summary Measures'!R27-'SCF (cell) Summary Measures'!R27</f>
        <v>0</v>
      </c>
      <c r="S27" s="91">
        <f>'TPM Summary Measures'!S27-'SCF (cell) Summary Measures'!S27</f>
        <v>0</v>
      </c>
      <c r="T27" s="91">
        <f>'TPM Summary Measures'!T27-'SCF (cell) Summary Measures'!T27</f>
        <v>0</v>
      </c>
      <c r="U27" s="91">
        <f>'TPM Summary Measures'!U27-'SCF (cell) Summary Measures'!U27</f>
        <v>0</v>
      </c>
      <c r="V27" s="91">
        <f>'TPM Summary Measures'!V27-'SCF (cell) Summary Measures'!V27</f>
        <v>0</v>
      </c>
    </row>
    <row r="28" spans="1:24" s="116" customFormat="1" x14ac:dyDescent="0.25">
      <c r="A28" s="151"/>
      <c r="B28" s="116" t="s">
        <v>87</v>
      </c>
      <c r="C28" s="100">
        <f>'TPM Summary Measures'!C28-'SCF (cell) Summary Measures'!C28</f>
        <v>0</v>
      </c>
      <c r="D28" s="100">
        <f>'TPM Summary Measures'!D28-'SCF (cell) Summary Measures'!D28</f>
        <v>0</v>
      </c>
      <c r="E28" s="100">
        <f>'TPM Summary Measures'!E28-'SCF (cell) Summary Measures'!E28</f>
        <v>0</v>
      </c>
      <c r="F28" s="100">
        <f>'TPM Summary Measures'!F28-'SCF (cell) Summary Measures'!F28</f>
        <v>0</v>
      </c>
      <c r="G28" s="100">
        <f>'TPM Summary Measures'!G28-'SCF (cell) Summary Measures'!G28</f>
        <v>0</v>
      </c>
      <c r="H28" s="100">
        <f>'TPM Summary Measures'!H28-'SCF (cell) Summary Measures'!H28</f>
        <v>0</v>
      </c>
      <c r="I28" s="100">
        <f>'TPM Summary Measures'!I28-'SCF (cell) Summary Measures'!I28</f>
        <v>0</v>
      </c>
      <c r="J28" s="100">
        <f>'TPM Summary Measures'!J28-'SCF (cell) Summary Measures'!J28</f>
        <v>0</v>
      </c>
      <c r="K28" s="100">
        <f>'TPM Summary Measures'!K28-'SCF (cell) Summary Measures'!K28</f>
        <v>0</v>
      </c>
      <c r="L28" s="142">
        <f>'TPM Summary Measures'!L28-'SCF (cell) Summary Measures'!L28</f>
        <v>0</v>
      </c>
      <c r="M28" s="100">
        <f>'TPM Summary Measures'!M28-'SCF (cell) Summary Measures'!M28</f>
        <v>0</v>
      </c>
      <c r="N28" s="100">
        <f>'TPM Summary Measures'!N28-'SCF (cell) Summary Measures'!N28</f>
        <v>0</v>
      </c>
      <c r="O28" s="100">
        <f>'TPM Summary Measures'!O28-'SCF (cell) Summary Measures'!O28</f>
        <v>0</v>
      </c>
      <c r="P28" s="100">
        <f>'TPM Summary Measures'!P28-'SCF (cell) Summary Measures'!P28</f>
        <v>0</v>
      </c>
      <c r="Q28" s="100">
        <f>'TPM Summary Measures'!Q28-'SCF (cell) Summary Measures'!Q28</f>
        <v>0</v>
      </c>
      <c r="R28" s="100">
        <f>'TPM Summary Measures'!R28-'SCF (cell) Summary Measures'!R28</f>
        <v>0</v>
      </c>
      <c r="S28" s="100">
        <f>'TPM Summary Measures'!S28-'SCF (cell) Summary Measures'!S28</f>
        <v>0</v>
      </c>
      <c r="T28" s="100">
        <f>'TPM Summary Measures'!T28-'SCF (cell) Summary Measures'!T28</f>
        <v>0</v>
      </c>
      <c r="U28" s="100">
        <f>'TPM Summary Measures'!U28-'SCF (cell) Summary Measures'!U28</f>
        <v>0</v>
      </c>
      <c r="V28" s="100">
        <f>'TPM Summary Measures'!V28-'SCF (cell) Summary Measures'!V28</f>
        <v>0</v>
      </c>
    </row>
    <row r="29" spans="1:24" s="64" customFormat="1" x14ac:dyDescent="0.25">
      <c r="A29" s="86" t="s">
        <v>297</v>
      </c>
      <c r="C29" s="91">
        <f>'TPM Summary Measures'!C29-'SCF (cell) Summary Measures'!C29</f>
        <v>0</v>
      </c>
      <c r="D29" s="91">
        <f>'TPM Summary Measures'!D29-'SCF (cell) Summary Measures'!D29</f>
        <v>0</v>
      </c>
      <c r="E29" s="91">
        <f>'TPM Summary Measures'!E29-'SCF (cell) Summary Measures'!E29</f>
        <v>0</v>
      </c>
      <c r="F29" s="91">
        <f>'TPM Summary Measures'!F29-'SCF (cell) Summary Measures'!F29</f>
        <v>0</v>
      </c>
      <c r="G29" s="91">
        <f>'TPM Summary Measures'!G29-'SCF (cell) Summary Measures'!G29</f>
        <v>0</v>
      </c>
      <c r="H29" s="91">
        <f>'TPM Summary Measures'!H29-'SCF (cell) Summary Measures'!H29</f>
        <v>0</v>
      </c>
      <c r="I29" s="91">
        <f>'TPM Summary Measures'!I29-'SCF (cell) Summary Measures'!I29</f>
        <v>0</v>
      </c>
      <c r="J29" s="91">
        <f>'TPM Summary Measures'!J29-'SCF (cell) Summary Measures'!J29</f>
        <v>0</v>
      </c>
      <c r="K29" s="91">
        <f>'TPM Summary Measures'!K29-'SCF (cell) Summary Measures'!K29</f>
        <v>0</v>
      </c>
      <c r="L29" s="140">
        <f>'TPM Summary Measures'!L29-'SCF (cell) Summary Measures'!L29</f>
        <v>0</v>
      </c>
      <c r="M29" s="91">
        <f>'TPM Summary Measures'!M29-'SCF (cell) Summary Measures'!M29</f>
        <v>0</v>
      </c>
      <c r="N29" s="91">
        <f>'TPM Summary Measures'!N29-'SCF (cell) Summary Measures'!N29</f>
        <v>0</v>
      </c>
      <c r="O29" s="91">
        <f>'TPM Summary Measures'!O29-'SCF (cell) Summary Measures'!O29</f>
        <v>0</v>
      </c>
      <c r="P29" s="91">
        <f>'TPM Summary Measures'!P29-'SCF (cell) Summary Measures'!P29</f>
        <v>0</v>
      </c>
      <c r="Q29" s="91">
        <f>'TPM Summary Measures'!Q29-'SCF (cell) Summary Measures'!Q29</f>
        <v>0</v>
      </c>
      <c r="R29" s="91">
        <f>'TPM Summary Measures'!R29-'SCF (cell) Summary Measures'!R29</f>
        <v>0</v>
      </c>
      <c r="S29" s="91">
        <f>'TPM Summary Measures'!S29-'SCF (cell) Summary Measures'!S29</f>
        <v>0</v>
      </c>
      <c r="T29" s="91">
        <f>'TPM Summary Measures'!T29-'SCF (cell) Summary Measures'!T29</f>
        <v>0</v>
      </c>
      <c r="U29" s="91">
        <f>'TPM Summary Measures'!U29-'SCF (cell) Summary Measures'!U29</f>
        <v>0</v>
      </c>
      <c r="V29" s="91">
        <f>'TPM Summary Measures'!V29-'SCF (cell) Summary Measures'!V29</f>
        <v>0</v>
      </c>
    </row>
    <row r="30" spans="1:24" s="64" customFormat="1" x14ac:dyDescent="0.25">
      <c r="A30" s="86"/>
      <c r="B30" s="63" t="s">
        <v>313</v>
      </c>
      <c r="C30" s="91">
        <f>'TPM Summary Measures'!C30-'SCF (cell) Summary Measures'!C30</f>
        <v>0</v>
      </c>
      <c r="D30" s="91">
        <f>'TPM Summary Measures'!D30-'SCF (cell) Summary Measures'!D30</f>
        <v>0</v>
      </c>
      <c r="E30" s="91">
        <f>'TPM Summary Measures'!E30-'SCF (cell) Summary Measures'!E30</f>
        <v>0</v>
      </c>
      <c r="F30" s="91">
        <f>'TPM Summary Measures'!F30-'SCF (cell) Summary Measures'!F30</f>
        <v>0</v>
      </c>
      <c r="G30" s="91">
        <f>'TPM Summary Measures'!G30-'SCF (cell) Summary Measures'!G30</f>
        <v>0</v>
      </c>
      <c r="H30" s="91">
        <f>'TPM Summary Measures'!H30-'SCF (cell) Summary Measures'!H30</f>
        <v>0</v>
      </c>
      <c r="I30" s="91">
        <f>'TPM Summary Measures'!I30-'SCF (cell) Summary Measures'!I30</f>
        <v>0</v>
      </c>
      <c r="J30" s="91">
        <f>'TPM Summary Measures'!J30-'SCF (cell) Summary Measures'!J30</f>
        <v>0</v>
      </c>
      <c r="K30" s="91">
        <f>'TPM Summary Measures'!K30-'SCF (cell) Summary Measures'!K30</f>
        <v>0</v>
      </c>
      <c r="L30" s="140">
        <f>'TPM Summary Measures'!L30-'SCF (cell) Summary Measures'!L30</f>
        <v>0</v>
      </c>
      <c r="M30" s="91">
        <f>'TPM Summary Measures'!M30-'SCF (cell) Summary Measures'!M30</f>
        <v>0</v>
      </c>
      <c r="N30" s="91">
        <f>'TPM Summary Measures'!N30-'SCF (cell) Summary Measures'!N30</f>
        <v>0</v>
      </c>
      <c r="O30" s="91">
        <f>'TPM Summary Measures'!O30-'SCF (cell) Summary Measures'!O30</f>
        <v>0</v>
      </c>
      <c r="P30" s="91">
        <f>'TPM Summary Measures'!P30-'SCF (cell) Summary Measures'!P30</f>
        <v>0</v>
      </c>
      <c r="Q30" s="91">
        <f>'TPM Summary Measures'!Q30-'SCF (cell) Summary Measures'!Q30</f>
        <v>0</v>
      </c>
      <c r="R30" s="91">
        <f>'TPM Summary Measures'!R30-'SCF (cell) Summary Measures'!R30</f>
        <v>0</v>
      </c>
      <c r="S30" s="91">
        <f>'TPM Summary Measures'!S30-'SCF (cell) Summary Measures'!S30</f>
        <v>0</v>
      </c>
      <c r="T30" s="91">
        <f>'TPM Summary Measures'!T30-'SCF (cell) Summary Measures'!T30</f>
        <v>0</v>
      </c>
      <c r="U30" s="91">
        <f>'TPM Summary Measures'!U30-'SCF (cell) Summary Measures'!U30</f>
        <v>0</v>
      </c>
      <c r="V30" s="91">
        <f>'TPM Summary Measures'!V30-'SCF (cell) Summary Measures'!V30</f>
        <v>0</v>
      </c>
    </row>
    <row r="31" spans="1:24" s="64" customFormat="1" x14ac:dyDescent="0.25">
      <c r="A31" s="86"/>
      <c r="B31" s="63" t="s">
        <v>314</v>
      </c>
      <c r="C31" s="91">
        <f>'TPM Summary Measures'!C31-'SCF (cell) Summary Measures'!C31</f>
        <v>0</v>
      </c>
      <c r="D31" s="91">
        <f>'TPM Summary Measures'!D31-'SCF (cell) Summary Measures'!D31</f>
        <v>0</v>
      </c>
      <c r="E31" s="91">
        <f>'TPM Summary Measures'!E31-'SCF (cell) Summary Measures'!E31</f>
        <v>0</v>
      </c>
      <c r="F31" s="91">
        <f>'TPM Summary Measures'!F31-'SCF (cell) Summary Measures'!F31</f>
        <v>0</v>
      </c>
      <c r="G31" s="91">
        <f>'TPM Summary Measures'!G31-'SCF (cell) Summary Measures'!G31</f>
        <v>0</v>
      </c>
      <c r="H31" s="91">
        <f>'TPM Summary Measures'!H31-'SCF (cell) Summary Measures'!H31</f>
        <v>0</v>
      </c>
      <c r="I31" s="91">
        <f>'TPM Summary Measures'!I31-'SCF (cell) Summary Measures'!I31</f>
        <v>0</v>
      </c>
      <c r="J31" s="91">
        <f>'TPM Summary Measures'!J31-'SCF (cell) Summary Measures'!J31</f>
        <v>0</v>
      </c>
      <c r="K31" s="91">
        <f>'TPM Summary Measures'!K31-'SCF (cell) Summary Measures'!K31</f>
        <v>0</v>
      </c>
      <c r="L31" s="140">
        <f>'TPM Summary Measures'!L31-'SCF (cell) Summary Measures'!L31</f>
        <v>0</v>
      </c>
      <c r="M31" s="91">
        <f>'TPM Summary Measures'!M31-'SCF (cell) Summary Measures'!M31</f>
        <v>0</v>
      </c>
      <c r="N31" s="91">
        <f>'TPM Summary Measures'!N31-'SCF (cell) Summary Measures'!N31</f>
        <v>0</v>
      </c>
      <c r="O31" s="91">
        <f>'TPM Summary Measures'!O31-'SCF (cell) Summary Measures'!O31</f>
        <v>0</v>
      </c>
      <c r="P31" s="91">
        <f>'TPM Summary Measures'!P31-'SCF (cell) Summary Measures'!P31</f>
        <v>0</v>
      </c>
      <c r="Q31" s="91">
        <f>'TPM Summary Measures'!Q31-'SCF (cell) Summary Measures'!Q31</f>
        <v>0</v>
      </c>
      <c r="R31" s="91">
        <f>'TPM Summary Measures'!R31-'SCF (cell) Summary Measures'!R31</f>
        <v>0</v>
      </c>
      <c r="S31" s="91">
        <f>'TPM Summary Measures'!S31-'SCF (cell) Summary Measures'!S31</f>
        <v>0</v>
      </c>
      <c r="T31" s="91">
        <f>'TPM Summary Measures'!T31-'SCF (cell) Summary Measures'!T31</f>
        <v>0</v>
      </c>
      <c r="U31" s="91">
        <f>'TPM Summary Measures'!U31-'SCF (cell) Summary Measures'!U31</f>
        <v>0</v>
      </c>
      <c r="V31" s="91">
        <f>'TPM Summary Measures'!V31-'SCF (cell) Summary Measures'!V31</f>
        <v>0</v>
      </c>
    </row>
    <row r="32" spans="1:24" s="64" customFormat="1" x14ac:dyDescent="0.25">
      <c r="A32" s="86"/>
      <c r="B32" s="63" t="s">
        <v>298</v>
      </c>
      <c r="C32" s="91">
        <f>'TPM Summary Measures'!C32-'SCF (cell) Summary Measures'!C32</f>
        <v>0</v>
      </c>
      <c r="D32" s="91">
        <f>'TPM Summary Measures'!D32-'SCF (cell) Summary Measures'!D32</f>
        <v>0</v>
      </c>
      <c r="E32" s="91">
        <f>'TPM Summary Measures'!E32-'SCF (cell) Summary Measures'!E32</f>
        <v>0</v>
      </c>
      <c r="F32" s="91">
        <f>'TPM Summary Measures'!F32-'SCF (cell) Summary Measures'!F32</f>
        <v>0</v>
      </c>
      <c r="G32" s="91">
        <f>'TPM Summary Measures'!G32-'SCF (cell) Summary Measures'!G32</f>
        <v>0</v>
      </c>
      <c r="H32" s="91">
        <f>'TPM Summary Measures'!H32-'SCF (cell) Summary Measures'!H32</f>
        <v>0</v>
      </c>
      <c r="I32" s="91">
        <f>'TPM Summary Measures'!I32-'SCF (cell) Summary Measures'!I32</f>
        <v>0</v>
      </c>
      <c r="J32" s="91">
        <f>'TPM Summary Measures'!J32-'SCF (cell) Summary Measures'!J32</f>
        <v>0</v>
      </c>
      <c r="K32" s="91">
        <f>'TPM Summary Measures'!K32-'SCF (cell) Summary Measures'!K32</f>
        <v>0</v>
      </c>
      <c r="L32" s="140">
        <f>'TPM Summary Measures'!L32-'SCF (cell) Summary Measures'!L32</f>
        <v>0</v>
      </c>
      <c r="M32" s="91">
        <f>'TPM Summary Measures'!M32-'SCF (cell) Summary Measures'!M32</f>
        <v>0</v>
      </c>
      <c r="N32" s="91">
        <f>'TPM Summary Measures'!N32-'SCF (cell) Summary Measures'!N32</f>
        <v>0</v>
      </c>
      <c r="O32" s="91">
        <f>'TPM Summary Measures'!O32-'SCF (cell) Summary Measures'!O32</f>
        <v>0</v>
      </c>
      <c r="P32" s="91">
        <f>'TPM Summary Measures'!P32-'SCF (cell) Summary Measures'!P32</f>
        <v>0</v>
      </c>
      <c r="Q32" s="91">
        <f>'TPM Summary Measures'!Q32-'SCF (cell) Summary Measures'!Q32</f>
        <v>0</v>
      </c>
      <c r="R32" s="91">
        <f>'TPM Summary Measures'!R32-'SCF (cell) Summary Measures'!R32</f>
        <v>0</v>
      </c>
      <c r="S32" s="91">
        <f>'TPM Summary Measures'!S32-'SCF (cell) Summary Measures'!S32</f>
        <v>0</v>
      </c>
      <c r="T32" s="91">
        <f>'TPM Summary Measures'!T32-'SCF (cell) Summary Measures'!T32</f>
        <v>0</v>
      </c>
      <c r="U32" s="91">
        <f>'TPM Summary Measures'!U32-'SCF (cell) Summary Measures'!U32</f>
        <v>0</v>
      </c>
      <c r="V32" s="91">
        <f>'TPM Summary Measures'!V32-'SCF (cell) Summary Measures'!V32</f>
        <v>0</v>
      </c>
    </row>
    <row r="33" spans="1:23" s="64" customFormat="1" x14ac:dyDescent="0.25">
      <c r="A33" s="86"/>
      <c r="B33" s="63" t="s">
        <v>299</v>
      </c>
      <c r="C33" s="91">
        <f>'TPM Summary Measures'!C33-'SCF (cell) Summary Measures'!C33</f>
        <v>0</v>
      </c>
      <c r="D33" s="91">
        <f>'TPM Summary Measures'!D33-'SCF (cell) Summary Measures'!D33</f>
        <v>0</v>
      </c>
      <c r="E33" s="91">
        <f>'TPM Summary Measures'!E33-'SCF (cell) Summary Measures'!E33</f>
        <v>0</v>
      </c>
      <c r="F33" s="91">
        <f>'TPM Summary Measures'!F33-'SCF (cell) Summary Measures'!F33</f>
        <v>0</v>
      </c>
      <c r="G33" s="91">
        <f>'TPM Summary Measures'!G33-'SCF (cell) Summary Measures'!G33</f>
        <v>0</v>
      </c>
      <c r="H33" s="91">
        <f>'TPM Summary Measures'!H33-'SCF (cell) Summary Measures'!H33</f>
        <v>0</v>
      </c>
      <c r="I33" s="91">
        <f>'TPM Summary Measures'!I33-'SCF (cell) Summary Measures'!I33</f>
        <v>0</v>
      </c>
      <c r="J33" s="91">
        <f>'TPM Summary Measures'!J33-'SCF (cell) Summary Measures'!J33</f>
        <v>0</v>
      </c>
      <c r="K33" s="91">
        <f>'TPM Summary Measures'!K33-'SCF (cell) Summary Measures'!K33</f>
        <v>0</v>
      </c>
      <c r="L33" s="140">
        <f>'TPM Summary Measures'!L33-'SCF (cell) Summary Measures'!L33</f>
        <v>0</v>
      </c>
      <c r="M33" s="91">
        <f>'TPM Summary Measures'!M33-'SCF (cell) Summary Measures'!M33</f>
        <v>0</v>
      </c>
      <c r="N33" s="91">
        <f>'TPM Summary Measures'!N33-'SCF (cell) Summary Measures'!N33</f>
        <v>0</v>
      </c>
      <c r="O33" s="91">
        <f>'TPM Summary Measures'!O33-'SCF (cell) Summary Measures'!O33</f>
        <v>0</v>
      </c>
      <c r="P33" s="91">
        <f>'TPM Summary Measures'!P33-'SCF (cell) Summary Measures'!P33</f>
        <v>0</v>
      </c>
      <c r="Q33" s="91">
        <f>'TPM Summary Measures'!Q33-'SCF (cell) Summary Measures'!Q33</f>
        <v>0</v>
      </c>
      <c r="R33" s="91">
        <f>'TPM Summary Measures'!R33-'SCF (cell) Summary Measures'!R33</f>
        <v>0</v>
      </c>
      <c r="S33" s="91">
        <f>'TPM Summary Measures'!S33-'SCF (cell) Summary Measures'!S33</f>
        <v>0</v>
      </c>
      <c r="T33" s="91">
        <f>'TPM Summary Measures'!T33-'SCF (cell) Summary Measures'!T33</f>
        <v>0</v>
      </c>
      <c r="U33" s="91">
        <f>'TPM Summary Measures'!U33-'SCF (cell) Summary Measures'!U33</f>
        <v>0</v>
      </c>
      <c r="V33" s="91">
        <f>'TPM Summary Measures'!V33-'SCF (cell) Summary Measures'!V33</f>
        <v>0</v>
      </c>
    </row>
    <row r="34" spans="1:23" s="64" customFormat="1" x14ac:dyDescent="0.25">
      <c r="A34" s="86"/>
      <c r="B34" s="63" t="s">
        <v>293</v>
      </c>
      <c r="C34" s="91">
        <f>'TPM Summary Measures'!C34-'SCF (cell) Summary Measures'!C34</f>
        <v>0</v>
      </c>
      <c r="D34" s="91">
        <f>'TPM Summary Measures'!D34-'SCF (cell) Summary Measures'!D34</f>
        <v>0</v>
      </c>
      <c r="E34" s="91">
        <f>'TPM Summary Measures'!E34-'SCF (cell) Summary Measures'!E34</f>
        <v>0</v>
      </c>
      <c r="F34" s="91">
        <f>'TPM Summary Measures'!F34-'SCF (cell) Summary Measures'!F34</f>
        <v>0</v>
      </c>
      <c r="G34" s="91">
        <f>'TPM Summary Measures'!G34-'SCF (cell) Summary Measures'!G34</f>
        <v>0</v>
      </c>
      <c r="H34" s="91">
        <f>'TPM Summary Measures'!H34-'SCF (cell) Summary Measures'!H34</f>
        <v>0</v>
      </c>
      <c r="I34" s="91">
        <f>'TPM Summary Measures'!I34-'SCF (cell) Summary Measures'!I34</f>
        <v>0</v>
      </c>
      <c r="J34" s="91">
        <f>'TPM Summary Measures'!J34-'SCF (cell) Summary Measures'!J34</f>
        <v>0</v>
      </c>
      <c r="K34" s="91">
        <f>'TPM Summary Measures'!K34-'SCF (cell) Summary Measures'!K34</f>
        <v>0</v>
      </c>
      <c r="L34" s="140">
        <f>'TPM Summary Measures'!L34-'SCF (cell) Summary Measures'!L34</f>
        <v>0</v>
      </c>
      <c r="M34" s="91">
        <f>'TPM Summary Measures'!M34-'SCF (cell) Summary Measures'!M34</f>
        <v>0</v>
      </c>
      <c r="N34" s="91">
        <f>'TPM Summary Measures'!N34-'SCF (cell) Summary Measures'!N34</f>
        <v>0</v>
      </c>
      <c r="O34" s="91">
        <f>'TPM Summary Measures'!O34-'SCF (cell) Summary Measures'!O34</f>
        <v>0</v>
      </c>
      <c r="P34" s="91">
        <f>'TPM Summary Measures'!P34-'SCF (cell) Summary Measures'!P34</f>
        <v>0</v>
      </c>
      <c r="Q34" s="91">
        <f>'TPM Summary Measures'!Q34-'SCF (cell) Summary Measures'!Q34</f>
        <v>0</v>
      </c>
      <c r="R34" s="91">
        <f>'TPM Summary Measures'!R34-'SCF (cell) Summary Measures'!R34</f>
        <v>0</v>
      </c>
      <c r="S34" s="91">
        <f>'TPM Summary Measures'!S34-'SCF (cell) Summary Measures'!S34</f>
        <v>0</v>
      </c>
      <c r="T34" s="91">
        <f>'TPM Summary Measures'!T34-'SCF (cell) Summary Measures'!T34</f>
        <v>0</v>
      </c>
      <c r="U34" s="91">
        <f>'TPM Summary Measures'!U34-'SCF (cell) Summary Measures'!U34</f>
        <v>0</v>
      </c>
      <c r="V34" s="91">
        <f>'TPM Summary Measures'!V34-'SCF (cell) Summary Measures'!V34</f>
        <v>0</v>
      </c>
    </row>
    <row r="35" spans="1:23" s="64" customFormat="1" x14ac:dyDescent="0.25">
      <c r="A35" s="86"/>
      <c r="B35" s="63" t="s">
        <v>315</v>
      </c>
      <c r="C35" s="91">
        <f>'TPM Summary Measures'!C35-'SCF (cell) Summary Measures'!C35</f>
        <v>0</v>
      </c>
      <c r="D35" s="91">
        <f>'TPM Summary Measures'!D35-'SCF (cell) Summary Measures'!D35</f>
        <v>0</v>
      </c>
      <c r="E35" s="91">
        <f>'TPM Summary Measures'!E35-'SCF (cell) Summary Measures'!E35</f>
        <v>0</v>
      </c>
      <c r="F35" s="91">
        <f>'TPM Summary Measures'!F35-'SCF (cell) Summary Measures'!F35</f>
        <v>0</v>
      </c>
      <c r="G35" s="91">
        <f>'TPM Summary Measures'!G35-'SCF (cell) Summary Measures'!G35</f>
        <v>0</v>
      </c>
      <c r="H35" s="91">
        <f>'TPM Summary Measures'!H35-'SCF (cell) Summary Measures'!H35</f>
        <v>0</v>
      </c>
      <c r="I35" s="91">
        <f>'TPM Summary Measures'!I35-'SCF (cell) Summary Measures'!I35</f>
        <v>0</v>
      </c>
      <c r="J35" s="91">
        <f>'TPM Summary Measures'!J35-'SCF (cell) Summary Measures'!J35</f>
        <v>0</v>
      </c>
      <c r="K35" s="91">
        <f>'TPM Summary Measures'!K35-'SCF (cell) Summary Measures'!K35</f>
        <v>0</v>
      </c>
      <c r="L35" s="140">
        <f>'TPM Summary Measures'!L35-'SCF (cell) Summary Measures'!L35</f>
        <v>0</v>
      </c>
      <c r="M35" s="91">
        <f>'TPM Summary Measures'!M35-'SCF (cell) Summary Measures'!M35</f>
        <v>0</v>
      </c>
      <c r="N35" s="91">
        <f>'TPM Summary Measures'!N35-'SCF (cell) Summary Measures'!N35</f>
        <v>0</v>
      </c>
      <c r="O35" s="91">
        <f>'TPM Summary Measures'!O35-'SCF (cell) Summary Measures'!O35</f>
        <v>0</v>
      </c>
      <c r="P35" s="91">
        <f>'TPM Summary Measures'!P35-'SCF (cell) Summary Measures'!P35</f>
        <v>0</v>
      </c>
      <c r="Q35" s="91">
        <f>'TPM Summary Measures'!Q35-'SCF (cell) Summary Measures'!Q35</f>
        <v>0</v>
      </c>
      <c r="R35" s="91">
        <f>'TPM Summary Measures'!R35-'SCF (cell) Summary Measures'!R35</f>
        <v>0</v>
      </c>
      <c r="S35" s="91">
        <f>'TPM Summary Measures'!S35-'SCF (cell) Summary Measures'!S35</f>
        <v>0</v>
      </c>
      <c r="T35" s="91">
        <f>'TPM Summary Measures'!T35-'SCF (cell) Summary Measures'!T35</f>
        <v>0</v>
      </c>
      <c r="U35" s="91">
        <f>'TPM Summary Measures'!U35-'SCF (cell) Summary Measures'!U35</f>
        <v>0</v>
      </c>
      <c r="V35" s="91">
        <f>'TPM Summary Measures'!V35-'SCF (cell) Summary Measures'!V35</f>
        <v>0</v>
      </c>
    </row>
    <row r="36" spans="1:23" s="64" customFormat="1" x14ac:dyDescent="0.25">
      <c r="A36" s="86"/>
      <c r="B36" s="63" t="s">
        <v>298</v>
      </c>
      <c r="C36" s="91">
        <f>'TPM Summary Measures'!C36-'SCF (cell) Summary Measures'!C36</f>
        <v>0</v>
      </c>
      <c r="D36" s="91">
        <f>'TPM Summary Measures'!D36-'SCF (cell) Summary Measures'!D36</f>
        <v>0</v>
      </c>
      <c r="E36" s="91">
        <f>'TPM Summary Measures'!E36-'SCF (cell) Summary Measures'!E36</f>
        <v>0</v>
      </c>
      <c r="F36" s="91">
        <f>'TPM Summary Measures'!F36-'SCF (cell) Summary Measures'!F36</f>
        <v>0</v>
      </c>
      <c r="G36" s="91">
        <f>'TPM Summary Measures'!G36-'SCF (cell) Summary Measures'!G36</f>
        <v>0</v>
      </c>
      <c r="H36" s="91">
        <f>'TPM Summary Measures'!H36-'SCF (cell) Summary Measures'!H36</f>
        <v>0</v>
      </c>
      <c r="I36" s="91">
        <f>'TPM Summary Measures'!I36-'SCF (cell) Summary Measures'!I36</f>
        <v>0</v>
      </c>
      <c r="J36" s="91">
        <f>'TPM Summary Measures'!J36-'SCF (cell) Summary Measures'!J36</f>
        <v>0</v>
      </c>
      <c r="K36" s="91">
        <f>'TPM Summary Measures'!K36-'SCF (cell) Summary Measures'!K36</f>
        <v>0</v>
      </c>
      <c r="L36" s="140">
        <f>'TPM Summary Measures'!L36-'SCF (cell) Summary Measures'!L36</f>
        <v>0</v>
      </c>
      <c r="M36" s="91">
        <f>'TPM Summary Measures'!M36-'SCF (cell) Summary Measures'!M36</f>
        <v>0</v>
      </c>
      <c r="N36" s="91">
        <f>'TPM Summary Measures'!N36-'SCF (cell) Summary Measures'!N36</f>
        <v>0</v>
      </c>
      <c r="O36" s="91">
        <f>'TPM Summary Measures'!O36-'SCF (cell) Summary Measures'!O36</f>
        <v>0</v>
      </c>
      <c r="P36" s="91">
        <f>'TPM Summary Measures'!P36-'SCF (cell) Summary Measures'!P36</f>
        <v>0</v>
      </c>
      <c r="Q36" s="91">
        <f>'TPM Summary Measures'!Q36-'SCF (cell) Summary Measures'!Q36</f>
        <v>0</v>
      </c>
      <c r="R36" s="91">
        <f>'TPM Summary Measures'!R36-'SCF (cell) Summary Measures'!R36</f>
        <v>0</v>
      </c>
      <c r="S36" s="91">
        <f>'TPM Summary Measures'!S36-'SCF (cell) Summary Measures'!S36</f>
        <v>0</v>
      </c>
      <c r="T36" s="91">
        <f>'TPM Summary Measures'!T36-'SCF (cell) Summary Measures'!T36</f>
        <v>0</v>
      </c>
      <c r="U36" s="91">
        <f>'TPM Summary Measures'!U36-'SCF (cell) Summary Measures'!U36</f>
        <v>0</v>
      </c>
      <c r="V36" s="91">
        <f>'TPM Summary Measures'!V36-'SCF (cell) Summary Measures'!V36</f>
        <v>0</v>
      </c>
    </row>
    <row r="37" spans="1:23" s="64" customFormat="1" x14ac:dyDescent="0.25">
      <c r="A37" s="86"/>
      <c r="B37" s="63" t="s">
        <v>299</v>
      </c>
      <c r="C37" s="91">
        <f>'TPM Summary Measures'!C37-'SCF (cell) Summary Measures'!C37</f>
        <v>0</v>
      </c>
      <c r="D37" s="91">
        <f>'TPM Summary Measures'!D37-'SCF (cell) Summary Measures'!D37</f>
        <v>0</v>
      </c>
      <c r="E37" s="91">
        <f>'TPM Summary Measures'!E37-'SCF (cell) Summary Measures'!E37</f>
        <v>0</v>
      </c>
      <c r="F37" s="91">
        <f>'TPM Summary Measures'!F37-'SCF (cell) Summary Measures'!F37</f>
        <v>0</v>
      </c>
      <c r="G37" s="91">
        <f>'TPM Summary Measures'!G37-'SCF (cell) Summary Measures'!G37</f>
        <v>0</v>
      </c>
      <c r="H37" s="91">
        <f>'TPM Summary Measures'!H37-'SCF (cell) Summary Measures'!H37</f>
        <v>0</v>
      </c>
      <c r="I37" s="91">
        <f>'TPM Summary Measures'!I37-'SCF (cell) Summary Measures'!I37</f>
        <v>0</v>
      </c>
      <c r="J37" s="91">
        <f>'TPM Summary Measures'!J37-'SCF (cell) Summary Measures'!J37</f>
        <v>0</v>
      </c>
      <c r="K37" s="91">
        <f>'TPM Summary Measures'!K37-'SCF (cell) Summary Measures'!K37</f>
        <v>0</v>
      </c>
      <c r="L37" s="140">
        <f>'TPM Summary Measures'!L37-'SCF (cell) Summary Measures'!L37</f>
        <v>0</v>
      </c>
      <c r="M37" s="91">
        <f>'TPM Summary Measures'!M37-'SCF (cell) Summary Measures'!M37</f>
        <v>0</v>
      </c>
      <c r="N37" s="91">
        <f>'TPM Summary Measures'!N37-'SCF (cell) Summary Measures'!N37</f>
        <v>0</v>
      </c>
      <c r="O37" s="91">
        <f>'TPM Summary Measures'!O37-'SCF (cell) Summary Measures'!O37</f>
        <v>0</v>
      </c>
      <c r="P37" s="91">
        <f>'TPM Summary Measures'!P37-'SCF (cell) Summary Measures'!P37</f>
        <v>0</v>
      </c>
      <c r="Q37" s="91">
        <f>'TPM Summary Measures'!Q37-'SCF (cell) Summary Measures'!Q37</f>
        <v>0</v>
      </c>
      <c r="R37" s="91">
        <f>'TPM Summary Measures'!R37-'SCF (cell) Summary Measures'!R37</f>
        <v>0</v>
      </c>
      <c r="S37" s="91">
        <f>'TPM Summary Measures'!S37-'SCF (cell) Summary Measures'!S37</f>
        <v>0</v>
      </c>
      <c r="T37" s="91">
        <f>'TPM Summary Measures'!T37-'SCF (cell) Summary Measures'!T37</f>
        <v>0</v>
      </c>
      <c r="U37" s="91">
        <f>'TPM Summary Measures'!U37-'SCF (cell) Summary Measures'!U37</f>
        <v>0</v>
      </c>
      <c r="V37" s="91">
        <f>'TPM Summary Measures'!V37-'SCF (cell) Summary Measures'!V37</f>
        <v>0</v>
      </c>
    </row>
    <row r="38" spans="1:23" s="64" customFormat="1" x14ac:dyDescent="0.25">
      <c r="A38" s="86"/>
      <c r="B38" s="63" t="s">
        <v>293</v>
      </c>
      <c r="C38" s="91">
        <f>'TPM Summary Measures'!C38-'SCF (cell) Summary Measures'!C38</f>
        <v>0</v>
      </c>
      <c r="D38" s="91">
        <f>'TPM Summary Measures'!D38-'SCF (cell) Summary Measures'!D38</f>
        <v>0</v>
      </c>
      <c r="E38" s="91">
        <f>'TPM Summary Measures'!E38-'SCF (cell) Summary Measures'!E38</f>
        <v>0</v>
      </c>
      <c r="F38" s="91">
        <f>'TPM Summary Measures'!F38-'SCF (cell) Summary Measures'!F38</f>
        <v>0</v>
      </c>
      <c r="G38" s="91">
        <f>'TPM Summary Measures'!G38-'SCF (cell) Summary Measures'!G38</f>
        <v>0</v>
      </c>
      <c r="H38" s="91">
        <f>'TPM Summary Measures'!H38-'SCF (cell) Summary Measures'!H38</f>
        <v>0</v>
      </c>
      <c r="I38" s="91">
        <f>'TPM Summary Measures'!I38-'SCF (cell) Summary Measures'!I38</f>
        <v>0</v>
      </c>
      <c r="J38" s="91">
        <f>'TPM Summary Measures'!J38-'SCF (cell) Summary Measures'!J38</f>
        <v>0</v>
      </c>
      <c r="K38" s="91">
        <f>'TPM Summary Measures'!K38-'SCF (cell) Summary Measures'!K38</f>
        <v>0</v>
      </c>
      <c r="L38" s="140">
        <f>'TPM Summary Measures'!L38-'SCF (cell) Summary Measures'!L38</f>
        <v>0</v>
      </c>
      <c r="M38" s="91">
        <f>'TPM Summary Measures'!M38-'SCF (cell) Summary Measures'!M38</f>
        <v>0</v>
      </c>
      <c r="N38" s="91">
        <f>'TPM Summary Measures'!N38-'SCF (cell) Summary Measures'!N38</f>
        <v>0</v>
      </c>
      <c r="O38" s="91">
        <f>'TPM Summary Measures'!O38-'SCF (cell) Summary Measures'!O38</f>
        <v>0</v>
      </c>
      <c r="P38" s="91">
        <f>'TPM Summary Measures'!P38-'SCF (cell) Summary Measures'!P38</f>
        <v>0</v>
      </c>
      <c r="Q38" s="91">
        <f>'TPM Summary Measures'!Q38-'SCF (cell) Summary Measures'!Q38</f>
        <v>0</v>
      </c>
      <c r="R38" s="91">
        <f>'TPM Summary Measures'!R38-'SCF (cell) Summary Measures'!R38</f>
        <v>0</v>
      </c>
      <c r="S38" s="91">
        <f>'TPM Summary Measures'!S38-'SCF (cell) Summary Measures'!S38</f>
        <v>0</v>
      </c>
      <c r="T38" s="91">
        <f>'TPM Summary Measures'!T38-'SCF (cell) Summary Measures'!T38</f>
        <v>0</v>
      </c>
      <c r="U38" s="91">
        <f>'TPM Summary Measures'!U38-'SCF (cell) Summary Measures'!U38</f>
        <v>0</v>
      </c>
      <c r="V38" s="91">
        <f>'TPM Summary Measures'!V38-'SCF (cell) Summary Measures'!V38</f>
        <v>0</v>
      </c>
    </row>
    <row r="39" spans="1:23" s="64" customFormat="1" x14ac:dyDescent="0.25">
      <c r="A39" s="86"/>
      <c r="B39" s="63" t="s">
        <v>300</v>
      </c>
      <c r="C39" s="91">
        <f>'TPM Summary Measures'!C39-'SCF (cell) Summary Measures'!C39</f>
        <v>0</v>
      </c>
      <c r="D39" s="91">
        <f>'TPM Summary Measures'!D39-'SCF (cell) Summary Measures'!D39</f>
        <v>0</v>
      </c>
      <c r="E39" s="91">
        <f>'TPM Summary Measures'!E39-'SCF (cell) Summary Measures'!E39</f>
        <v>0</v>
      </c>
      <c r="F39" s="91">
        <f>'TPM Summary Measures'!F39-'SCF (cell) Summary Measures'!F39</f>
        <v>0</v>
      </c>
      <c r="G39" s="91">
        <f>'TPM Summary Measures'!G39-'SCF (cell) Summary Measures'!G39</f>
        <v>0</v>
      </c>
      <c r="H39" s="91">
        <f>'TPM Summary Measures'!H39-'SCF (cell) Summary Measures'!H39</f>
        <v>0</v>
      </c>
      <c r="I39" s="91">
        <f>'TPM Summary Measures'!I39-'SCF (cell) Summary Measures'!I39</f>
        <v>0</v>
      </c>
      <c r="J39" s="91">
        <f>'TPM Summary Measures'!J39-'SCF (cell) Summary Measures'!J39</f>
        <v>0</v>
      </c>
      <c r="K39" s="91">
        <f>'TPM Summary Measures'!K39-'SCF (cell) Summary Measures'!K39</f>
        <v>0</v>
      </c>
      <c r="L39" s="140">
        <f>'TPM Summary Measures'!L39-'SCF (cell) Summary Measures'!L39</f>
        <v>0</v>
      </c>
      <c r="M39" s="91">
        <f>'TPM Summary Measures'!M39-'SCF (cell) Summary Measures'!M39</f>
        <v>0</v>
      </c>
      <c r="N39" s="91">
        <f>'TPM Summary Measures'!N39-'SCF (cell) Summary Measures'!N39</f>
        <v>0</v>
      </c>
      <c r="O39" s="91">
        <f>'TPM Summary Measures'!O39-'SCF (cell) Summary Measures'!O39</f>
        <v>0</v>
      </c>
      <c r="P39" s="91">
        <f>'TPM Summary Measures'!P39-'SCF (cell) Summary Measures'!P39</f>
        <v>0</v>
      </c>
      <c r="Q39" s="91">
        <f>'TPM Summary Measures'!Q39-'SCF (cell) Summary Measures'!Q39</f>
        <v>0</v>
      </c>
      <c r="R39" s="91">
        <f>'TPM Summary Measures'!R39-'SCF (cell) Summary Measures'!R39</f>
        <v>0</v>
      </c>
      <c r="S39" s="91">
        <f>'TPM Summary Measures'!S39-'SCF (cell) Summary Measures'!S39</f>
        <v>0</v>
      </c>
      <c r="T39" s="91">
        <f>'TPM Summary Measures'!T39-'SCF (cell) Summary Measures'!T39</f>
        <v>0</v>
      </c>
      <c r="U39" s="91">
        <f>'TPM Summary Measures'!U39-'SCF (cell) Summary Measures'!U39</f>
        <v>0</v>
      </c>
      <c r="V39" s="91">
        <f>'TPM Summary Measures'!V39-'SCF (cell) Summary Measures'!V39</f>
        <v>0</v>
      </c>
    </row>
    <row r="40" spans="1:23" s="64" customFormat="1" x14ac:dyDescent="0.25">
      <c r="A40" s="86"/>
      <c r="B40" s="63" t="s">
        <v>301</v>
      </c>
      <c r="C40" s="91">
        <f>'TPM Summary Measures'!C40-'SCF (cell) Summary Measures'!C40</f>
        <v>0</v>
      </c>
      <c r="D40" s="91">
        <f>'TPM Summary Measures'!D40-'SCF (cell) Summary Measures'!D40</f>
        <v>0</v>
      </c>
      <c r="E40" s="91">
        <f>'TPM Summary Measures'!E40-'SCF (cell) Summary Measures'!E40</f>
        <v>0</v>
      </c>
      <c r="F40" s="91">
        <f>'TPM Summary Measures'!F40-'SCF (cell) Summary Measures'!F40</f>
        <v>0</v>
      </c>
      <c r="G40" s="91">
        <f>'TPM Summary Measures'!G40-'SCF (cell) Summary Measures'!G40</f>
        <v>0</v>
      </c>
      <c r="H40" s="91">
        <f>'TPM Summary Measures'!H40-'SCF (cell) Summary Measures'!H40</f>
        <v>0</v>
      </c>
      <c r="I40" s="91">
        <f>'TPM Summary Measures'!I40-'SCF (cell) Summary Measures'!I40</f>
        <v>0</v>
      </c>
      <c r="J40" s="91">
        <f>'TPM Summary Measures'!J40-'SCF (cell) Summary Measures'!J40</f>
        <v>0</v>
      </c>
      <c r="K40" s="91">
        <f>'TPM Summary Measures'!K40-'SCF (cell) Summary Measures'!K40</f>
        <v>0</v>
      </c>
      <c r="L40" s="140">
        <f>'TPM Summary Measures'!L40-'SCF (cell) Summary Measures'!L40</f>
        <v>0</v>
      </c>
      <c r="M40" s="91">
        <f>'TPM Summary Measures'!M40-'SCF (cell) Summary Measures'!M40</f>
        <v>0</v>
      </c>
      <c r="N40" s="91">
        <f>'TPM Summary Measures'!N40-'SCF (cell) Summary Measures'!N40</f>
        <v>0</v>
      </c>
      <c r="O40" s="91">
        <f>'TPM Summary Measures'!O40-'SCF (cell) Summary Measures'!O40</f>
        <v>0</v>
      </c>
      <c r="P40" s="91">
        <f>'TPM Summary Measures'!P40-'SCF (cell) Summary Measures'!P40</f>
        <v>0</v>
      </c>
      <c r="Q40" s="91">
        <f>'TPM Summary Measures'!Q40-'SCF (cell) Summary Measures'!Q40</f>
        <v>0</v>
      </c>
      <c r="R40" s="91">
        <f>'TPM Summary Measures'!R40-'SCF (cell) Summary Measures'!R40</f>
        <v>0</v>
      </c>
      <c r="S40" s="91">
        <f>'TPM Summary Measures'!S40-'SCF (cell) Summary Measures'!S40</f>
        <v>0</v>
      </c>
      <c r="T40" s="91">
        <f>'TPM Summary Measures'!T40-'SCF (cell) Summary Measures'!T40</f>
        <v>0</v>
      </c>
      <c r="U40" s="91">
        <f>'TPM Summary Measures'!U40-'SCF (cell) Summary Measures'!U40</f>
        <v>0</v>
      </c>
      <c r="V40" s="91">
        <f>'TPM Summary Measures'!V40-'SCF (cell) Summary Measures'!V40</f>
        <v>0</v>
      </c>
    </row>
    <row r="41" spans="1:23" s="64" customFormat="1" x14ac:dyDescent="0.25">
      <c r="A41" s="86"/>
      <c r="B41" s="63" t="s">
        <v>87</v>
      </c>
      <c r="C41" s="100">
        <f>'TPM Summary Measures'!C41-'SCF (cell) Summary Measures'!C41</f>
        <v>0</v>
      </c>
      <c r="D41" s="100">
        <f>'TPM Summary Measures'!D41-'SCF (cell) Summary Measures'!D41</f>
        <v>0</v>
      </c>
      <c r="E41" s="100">
        <f>'TPM Summary Measures'!E41-'SCF (cell) Summary Measures'!E41</f>
        <v>0</v>
      </c>
      <c r="F41" s="100">
        <f>'TPM Summary Measures'!F41-'SCF (cell) Summary Measures'!F41</f>
        <v>0</v>
      </c>
      <c r="G41" s="100">
        <f>'TPM Summary Measures'!G41-'SCF (cell) Summary Measures'!G41</f>
        <v>0</v>
      </c>
      <c r="H41" s="100">
        <f>'TPM Summary Measures'!H41-'SCF (cell) Summary Measures'!H41</f>
        <v>0</v>
      </c>
      <c r="I41" s="100">
        <f>'TPM Summary Measures'!I41-'SCF (cell) Summary Measures'!I41</f>
        <v>0</v>
      </c>
      <c r="J41" s="100">
        <f>'TPM Summary Measures'!J41-'SCF (cell) Summary Measures'!J41</f>
        <v>0</v>
      </c>
      <c r="K41" s="100">
        <f>'TPM Summary Measures'!K41-'SCF (cell) Summary Measures'!K41</f>
        <v>0</v>
      </c>
      <c r="L41" s="142">
        <f>'TPM Summary Measures'!L41-'SCF (cell) Summary Measures'!L41</f>
        <v>0</v>
      </c>
      <c r="M41" s="100">
        <f>'TPM Summary Measures'!M41-'SCF (cell) Summary Measures'!M41</f>
        <v>0</v>
      </c>
      <c r="N41" s="100">
        <f>'TPM Summary Measures'!N41-'SCF (cell) Summary Measures'!N41</f>
        <v>0</v>
      </c>
      <c r="O41" s="100">
        <f>'TPM Summary Measures'!O41-'SCF (cell) Summary Measures'!O41</f>
        <v>0</v>
      </c>
      <c r="P41" s="100">
        <f>'TPM Summary Measures'!P41-'SCF (cell) Summary Measures'!P41</f>
        <v>0</v>
      </c>
      <c r="Q41" s="100">
        <f>'TPM Summary Measures'!Q41-'SCF (cell) Summary Measures'!Q41</f>
        <v>0</v>
      </c>
      <c r="R41" s="100">
        <f>'TPM Summary Measures'!R41-'SCF (cell) Summary Measures'!R41</f>
        <v>0</v>
      </c>
      <c r="S41" s="100">
        <f>'TPM Summary Measures'!S41-'SCF (cell) Summary Measures'!S41</f>
        <v>0</v>
      </c>
      <c r="T41" s="100">
        <f>'TPM Summary Measures'!T41-'SCF (cell) Summary Measures'!T41</f>
        <v>0</v>
      </c>
      <c r="U41" s="100">
        <f>'TPM Summary Measures'!U41-'SCF (cell) Summary Measures'!U41</f>
        <v>0</v>
      </c>
      <c r="V41" s="100">
        <f>'TPM Summary Measures'!V41-'SCF (cell) Summary Measures'!V41</f>
        <v>0</v>
      </c>
      <c r="W41" s="116"/>
    </row>
    <row r="42" spans="1:23" s="88" customFormat="1" x14ac:dyDescent="0.25">
      <c r="A42" s="150" t="s">
        <v>302</v>
      </c>
      <c r="C42" s="91">
        <f>'TPM Summary Measures'!C42-'SCF (cell) Summary Measures'!C42</f>
        <v>0</v>
      </c>
      <c r="D42" s="91">
        <f>'TPM Summary Measures'!D42-'SCF (cell) Summary Measures'!D42</f>
        <v>0</v>
      </c>
      <c r="E42" s="91">
        <f>'TPM Summary Measures'!E42-'SCF (cell) Summary Measures'!E42</f>
        <v>0</v>
      </c>
      <c r="F42" s="91">
        <f>'TPM Summary Measures'!F42-'SCF (cell) Summary Measures'!F42</f>
        <v>0</v>
      </c>
      <c r="G42" s="91">
        <f>'TPM Summary Measures'!G42-'SCF (cell) Summary Measures'!G42</f>
        <v>0</v>
      </c>
      <c r="H42" s="91">
        <f>'TPM Summary Measures'!H42-'SCF (cell) Summary Measures'!H42</f>
        <v>0</v>
      </c>
      <c r="I42" s="91">
        <f>'TPM Summary Measures'!I42-'SCF (cell) Summary Measures'!I42</f>
        <v>0</v>
      </c>
      <c r="J42" s="91">
        <f>'TPM Summary Measures'!J42-'SCF (cell) Summary Measures'!J42</f>
        <v>0</v>
      </c>
      <c r="K42" s="91">
        <f>'TPM Summary Measures'!K42-'SCF (cell) Summary Measures'!K42</f>
        <v>0</v>
      </c>
      <c r="L42" s="140">
        <f>'TPM Summary Measures'!L42-'SCF (cell) Summary Measures'!L42</f>
        <v>0</v>
      </c>
      <c r="M42" s="91">
        <f>'TPM Summary Measures'!M42-'SCF (cell) Summary Measures'!M42</f>
        <v>0</v>
      </c>
      <c r="N42" s="91">
        <f>'TPM Summary Measures'!N42-'SCF (cell) Summary Measures'!N42</f>
        <v>0</v>
      </c>
      <c r="O42" s="91">
        <f>'TPM Summary Measures'!O42-'SCF (cell) Summary Measures'!O42</f>
        <v>0</v>
      </c>
      <c r="P42" s="91">
        <f>'TPM Summary Measures'!P42-'SCF (cell) Summary Measures'!P42</f>
        <v>0</v>
      </c>
      <c r="Q42" s="91">
        <f>'TPM Summary Measures'!Q42-'SCF (cell) Summary Measures'!Q42</f>
        <v>0</v>
      </c>
      <c r="R42" s="91">
        <f>'TPM Summary Measures'!R42-'SCF (cell) Summary Measures'!R42</f>
        <v>0</v>
      </c>
      <c r="S42" s="91">
        <f>'TPM Summary Measures'!S42-'SCF (cell) Summary Measures'!S42</f>
        <v>0</v>
      </c>
      <c r="T42" s="91">
        <f>'TPM Summary Measures'!T42-'SCF (cell) Summary Measures'!T42</f>
        <v>0</v>
      </c>
      <c r="U42" s="91">
        <f>'TPM Summary Measures'!U42-'SCF (cell) Summary Measures'!U42</f>
        <v>0</v>
      </c>
      <c r="V42" s="91">
        <f>'TPM Summary Measures'!V42-'SCF (cell) Summary Measures'!V42</f>
        <v>0</v>
      </c>
      <c r="W42" s="64"/>
    </row>
    <row r="43" spans="1:23" x14ac:dyDescent="0.25">
      <c r="A43" s="86"/>
      <c r="B43" s="64" t="s">
        <v>313</v>
      </c>
      <c r="C43" s="91">
        <f>'TPM Summary Measures'!C43-'SCF (cell) Summary Measures'!C43</f>
        <v>0</v>
      </c>
      <c r="D43" s="91">
        <f>'TPM Summary Measures'!D43-'SCF (cell) Summary Measures'!D43</f>
        <v>0</v>
      </c>
      <c r="E43" s="91">
        <f>'TPM Summary Measures'!E43-'SCF (cell) Summary Measures'!E43</f>
        <v>0</v>
      </c>
      <c r="F43" s="91">
        <f>'TPM Summary Measures'!F43-'SCF (cell) Summary Measures'!F43</f>
        <v>0</v>
      </c>
      <c r="G43" s="91">
        <f>'TPM Summary Measures'!G43-'SCF (cell) Summary Measures'!G43</f>
        <v>0</v>
      </c>
      <c r="H43" s="91">
        <f>'TPM Summary Measures'!H43-'SCF (cell) Summary Measures'!H43</f>
        <v>0</v>
      </c>
      <c r="I43" s="91">
        <f>'TPM Summary Measures'!I43-'SCF (cell) Summary Measures'!I43</f>
        <v>0</v>
      </c>
      <c r="J43" s="91">
        <f>'TPM Summary Measures'!J43-'SCF (cell) Summary Measures'!J43</f>
        <v>0</v>
      </c>
      <c r="K43" s="91">
        <f>'TPM Summary Measures'!K43-'SCF (cell) Summary Measures'!K43</f>
        <v>0</v>
      </c>
      <c r="L43" s="140">
        <f>'TPM Summary Measures'!L43-'SCF (cell) Summary Measures'!L43</f>
        <v>0</v>
      </c>
      <c r="M43" s="91">
        <f>'TPM Summary Measures'!M43-'SCF (cell) Summary Measures'!M43</f>
        <v>0</v>
      </c>
      <c r="N43" s="91">
        <f>'TPM Summary Measures'!N43-'SCF (cell) Summary Measures'!N43</f>
        <v>0</v>
      </c>
      <c r="O43" s="91">
        <f>'TPM Summary Measures'!O43-'SCF (cell) Summary Measures'!O43</f>
        <v>0</v>
      </c>
      <c r="P43" s="91">
        <f>'TPM Summary Measures'!P43-'SCF (cell) Summary Measures'!P43</f>
        <v>0</v>
      </c>
      <c r="Q43" s="91">
        <f>'TPM Summary Measures'!Q43-'SCF (cell) Summary Measures'!Q43</f>
        <v>0</v>
      </c>
      <c r="R43" s="91">
        <f>'TPM Summary Measures'!R43-'SCF (cell) Summary Measures'!R43</f>
        <v>0</v>
      </c>
      <c r="S43" s="91">
        <f>'TPM Summary Measures'!S43-'SCF (cell) Summary Measures'!S43</f>
        <v>0</v>
      </c>
      <c r="T43" s="91">
        <f>'TPM Summary Measures'!T43-'SCF (cell) Summary Measures'!T43</f>
        <v>0</v>
      </c>
      <c r="U43" s="91">
        <f>'TPM Summary Measures'!U43-'SCF (cell) Summary Measures'!U43</f>
        <v>0</v>
      </c>
      <c r="V43" s="91">
        <f>'TPM Summary Measures'!V43-'SCF (cell) Summary Measures'!V43</f>
        <v>0</v>
      </c>
    </row>
    <row r="44" spans="1:23" x14ac:dyDescent="0.25">
      <c r="A44" s="86"/>
      <c r="B44" s="63" t="s">
        <v>128</v>
      </c>
      <c r="C44" s="91">
        <f>'TPM Summary Measures'!C44-'SCF (cell) Summary Measures'!C44</f>
        <v>0</v>
      </c>
      <c r="D44" s="91">
        <f>'TPM Summary Measures'!D44-'SCF (cell) Summary Measures'!D44</f>
        <v>0</v>
      </c>
      <c r="E44" s="91">
        <f>'TPM Summary Measures'!E44-'SCF (cell) Summary Measures'!E44</f>
        <v>0</v>
      </c>
      <c r="F44" s="91">
        <f>'TPM Summary Measures'!F44-'SCF (cell) Summary Measures'!F44</f>
        <v>0</v>
      </c>
      <c r="G44" s="91">
        <f>'TPM Summary Measures'!G44-'SCF (cell) Summary Measures'!G44</f>
        <v>0</v>
      </c>
      <c r="H44" s="91">
        <f>'TPM Summary Measures'!H44-'SCF (cell) Summary Measures'!H44</f>
        <v>0</v>
      </c>
      <c r="I44" s="91">
        <f>'TPM Summary Measures'!I44-'SCF (cell) Summary Measures'!I44</f>
        <v>0</v>
      </c>
      <c r="J44" s="91">
        <f>'TPM Summary Measures'!J44-'SCF (cell) Summary Measures'!J44</f>
        <v>0</v>
      </c>
      <c r="K44" s="91">
        <f>'TPM Summary Measures'!K44-'SCF (cell) Summary Measures'!K44</f>
        <v>0</v>
      </c>
      <c r="L44" s="140">
        <f>'TPM Summary Measures'!L44-'SCF (cell) Summary Measures'!L44</f>
        <v>0</v>
      </c>
      <c r="M44" s="91">
        <f>'TPM Summary Measures'!M44-'SCF (cell) Summary Measures'!M44</f>
        <v>0</v>
      </c>
      <c r="N44" s="91">
        <f>'TPM Summary Measures'!N44-'SCF (cell) Summary Measures'!N44</f>
        <v>0</v>
      </c>
      <c r="O44" s="91">
        <f>'TPM Summary Measures'!O44-'SCF (cell) Summary Measures'!O44</f>
        <v>0</v>
      </c>
      <c r="P44" s="91">
        <f>'TPM Summary Measures'!P44-'SCF (cell) Summary Measures'!P44</f>
        <v>0</v>
      </c>
      <c r="Q44" s="91">
        <f>'TPM Summary Measures'!Q44-'SCF (cell) Summary Measures'!Q44</f>
        <v>0</v>
      </c>
      <c r="R44" s="91">
        <f>'TPM Summary Measures'!R44-'SCF (cell) Summary Measures'!R44</f>
        <v>0</v>
      </c>
      <c r="S44" s="91">
        <f>'TPM Summary Measures'!S44-'SCF (cell) Summary Measures'!S44</f>
        <v>0</v>
      </c>
      <c r="T44" s="91">
        <f>'TPM Summary Measures'!T44-'SCF (cell) Summary Measures'!T44</f>
        <v>0</v>
      </c>
      <c r="U44" s="91">
        <f>'TPM Summary Measures'!U44-'SCF (cell) Summary Measures'!U44</f>
        <v>0</v>
      </c>
      <c r="V44" s="91">
        <f>'TPM Summary Measures'!V44-'SCF (cell) Summary Measures'!V44</f>
        <v>0</v>
      </c>
    </row>
    <row r="45" spans="1:23" x14ac:dyDescent="0.25">
      <c r="A45" s="86"/>
      <c r="B45" s="63" t="s">
        <v>129</v>
      </c>
      <c r="C45" s="91">
        <f>'TPM Summary Measures'!C45-'SCF (cell) Summary Measures'!C45</f>
        <v>0</v>
      </c>
      <c r="D45" s="91">
        <f>'TPM Summary Measures'!D45-'SCF (cell) Summary Measures'!D45</f>
        <v>0</v>
      </c>
      <c r="E45" s="91">
        <f>'TPM Summary Measures'!E45-'SCF (cell) Summary Measures'!E45</f>
        <v>0</v>
      </c>
      <c r="F45" s="91">
        <f>'TPM Summary Measures'!F45-'SCF (cell) Summary Measures'!F45</f>
        <v>0</v>
      </c>
      <c r="G45" s="91">
        <f>'TPM Summary Measures'!G45-'SCF (cell) Summary Measures'!G45</f>
        <v>0</v>
      </c>
      <c r="H45" s="91">
        <f>'TPM Summary Measures'!H45-'SCF (cell) Summary Measures'!H45</f>
        <v>0</v>
      </c>
      <c r="I45" s="91">
        <f>'TPM Summary Measures'!I45-'SCF (cell) Summary Measures'!I45</f>
        <v>0</v>
      </c>
      <c r="J45" s="91">
        <f>'TPM Summary Measures'!J45-'SCF (cell) Summary Measures'!J45</f>
        <v>0</v>
      </c>
      <c r="K45" s="91">
        <f>'TPM Summary Measures'!K45-'SCF (cell) Summary Measures'!K45</f>
        <v>0</v>
      </c>
      <c r="L45" s="140">
        <f>'TPM Summary Measures'!L45-'SCF (cell) Summary Measures'!L45</f>
        <v>0</v>
      </c>
      <c r="M45" s="91">
        <f>'TPM Summary Measures'!M45-'SCF (cell) Summary Measures'!M45</f>
        <v>0</v>
      </c>
      <c r="N45" s="91">
        <f>'TPM Summary Measures'!N45-'SCF (cell) Summary Measures'!N45</f>
        <v>0</v>
      </c>
      <c r="O45" s="91">
        <f>'TPM Summary Measures'!O45-'SCF (cell) Summary Measures'!O45</f>
        <v>0</v>
      </c>
      <c r="P45" s="91">
        <f>'TPM Summary Measures'!P45-'SCF (cell) Summary Measures'!P45</f>
        <v>0</v>
      </c>
      <c r="Q45" s="91">
        <f>'TPM Summary Measures'!Q45-'SCF (cell) Summary Measures'!Q45</f>
        <v>0</v>
      </c>
      <c r="R45" s="91">
        <f>'TPM Summary Measures'!R45-'SCF (cell) Summary Measures'!R45</f>
        <v>0</v>
      </c>
      <c r="S45" s="91">
        <f>'TPM Summary Measures'!S45-'SCF (cell) Summary Measures'!S45</f>
        <v>0</v>
      </c>
      <c r="T45" s="91">
        <f>'TPM Summary Measures'!T45-'SCF (cell) Summary Measures'!T45</f>
        <v>0</v>
      </c>
      <c r="U45" s="91">
        <f>'TPM Summary Measures'!U45-'SCF (cell) Summary Measures'!U45</f>
        <v>0</v>
      </c>
      <c r="V45" s="91">
        <f>'TPM Summary Measures'!V45-'SCF (cell) Summary Measures'!V45</f>
        <v>0</v>
      </c>
    </row>
    <row r="46" spans="1:23" x14ac:dyDescent="0.25">
      <c r="A46" s="86"/>
      <c r="B46" s="63" t="s">
        <v>130</v>
      </c>
      <c r="C46" s="91">
        <f>'TPM Summary Measures'!C46-'SCF (cell) Summary Measures'!C46</f>
        <v>0</v>
      </c>
      <c r="D46" s="91">
        <f>'TPM Summary Measures'!D46-'SCF (cell) Summary Measures'!D46</f>
        <v>0</v>
      </c>
      <c r="E46" s="91">
        <f>'TPM Summary Measures'!E46-'SCF (cell) Summary Measures'!E46</f>
        <v>0</v>
      </c>
      <c r="F46" s="91">
        <f>'TPM Summary Measures'!F46-'SCF (cell) Summary Measures'!F46</f>
        <v>0</v>
      </c>
      <c r="G46" s="91">
        <f>'TPM Summary Measures'!G46-'SCF (cell) Summary Measures'!G46</f>
        <v>0</v>
      </c>
      <c r="H46" s="91">
        <f>'TPM Summary Measures'!H46-'SCF (cell) Summary Measures'!H46</f>
        <v>0</v>
      </c>
      <c r="I46" s="91">
        <f>'TPM Summary Measures'!I46-'SCF (cell) Summary Measures'!I46</f>
        <v>0</v>
      </c>
      <c r="J46" s="91">
        <f>'TPM Summary Measures'!J46-'SCF (cell) Summary Measures'!J46</f>
        <v>0</v>
      </c>
      <c r="K46" s="91">
        <f>'TPM Summary Measures'!K46-'SCF (cell) Summary Measures'!K46</f>
        <v>0</v>
      </c>
      <c r="L46" s="140">
        <f>'TPM Summary Measures'!L46-'SCF (cell) Summary Measures'!L46</f>
        <v>0</v>
      </c>
      <c r="M46" s="91">
        <f>'TPM Summary Measures'!M46-'SCF (cell) Summary Measures'!M46</f>
        <v>0</v>
      </c>
      <c r="N46" s="91">
        <f>'TPM Summary Measures'!N46-'SCF (cell) Summary Measures'!N46</f>
        <v>0</v>
      </c>
      <c r="O46" s="91">
        <f>'TPM Summary Measures'!O46-'SCF (cell) Summary Measures'!O46</f>
        <v>0</v>
      </c>
      <c r="P46" s="91">
        <f>'TPM Summary Measures'!P46-'SCF (cell) Summary Measures'!P46</f>
        <v>0</v>
      </c>
      <c r="Q46" s="91">
        <f>'TPM Summary Measures'!Q46-'SCF (cell) Summary Measures'!Q46</f>
        <v>0</v>
      </c>
      <c r="R46" s="91">
        <f>'TPM Summary Measures'!R46-'SCF (cell) Summary Measures'!R46</f>
        <v>0</v>
      </c>
      <c r="S46" s="91">
        <f>'TPM Summary Measures'!S46-'SCF (cell) Summary Measures'!S46</f>
        <v>0</v>
      </c>
      <c r="T46" s="91">
        <f>'TPM Summary Measures'!T46-'SCF (cell) Summary Measures'!T46</f>
        <v>0</v>
      </c>
      <c r="U46" s="91">
        <f>'TPM Summary Measures'!U46-'SCF (cell) Summary Measures'!U46</f>
        <v>0</v>
      </c>
      <c r="V46" s="91">
        <f>'TPM Summary Measures'!V46-'SCF (cell) Summary Measures'!V46</f>
        <v>0</v>
      </c>
    </row>
    <row r="47" spans="1:23" x14ac:dyDescent="0.25">
      <c r="A47" s="86"/>
      <c r="B47" s="63" t="s">
        <v>131</v>
      </c>
      <c r="C47" s="91">
        <f>'TPM Summary Measures'!C47-'SCF (cell) Summary Measures'!C47</f>
        <v>0</v>
      </c>
      <c r="D47" s="91">
        <f>'TPM Summary Measures'!D47-'SCF (cell) Summary Measures'!D47</f>
        <v>0</v>
      </c>
      <c r="E47" s="91">
        <f>'TPM Summary Measures'!E47-'SCF (cell) Summary Measures'!E47</f>
        <v>0</v>
      </c>
      <c r="F47" s="91">
        <f>'TPM Summary Measures'!F47-'SCF (cell) Summary Measures'!F47</f>
        <v>0</v>
      </c>
      <c r="G47" s="91">
        <f>'TPM Summary Measures'!G47-'SCF (cell) Summary Measures'!G47</f>
        <v>0</v>
      </c>
      <c r="H47" s="91">
        <f>'TPM Summary Measures'!H47-'SCF (cell) Summary Measures'!H47</f>
        <v>0</v>
      </c>
      <c r="I47" s="91">
        <f>'TPM Summary Measures'!I47-'SCF (cell) Summary Measures'!I47</f>
        <v>0</v>
      </c>
      <c r="J47" s="91">
        <f>'TPM Summary Measures'!J47-'SCF (cell) Summary Measures'!J47</f>
        <v>0</v>
      </c>
      <c r="K47" s="91">
        <f>'TPM Summary Measures'!K47-'SCF (cell) Summary Measures'!K47</f>
        <v>0</v>
      </c>
      <c r="L47" s="140">
        <f>'TPM Summary Measures'!L47-'SCF (cell) Summary Measures'!L47</f>
        <v>0</v>
      </c>
      <c r="M47" s="91">
        <f>'TPM Summary Measures'!M47-'SCF (cell) Summary Measures'!M47</f>
        <v>0</v>
      </c>
      <c r="N47" s="91">
        <f>'TPM Summary Measures'!N47-'SCF (cell) Summary Measures'!N47</f>
        <v>0</v>
      </c>
      <c r="O47" s="91">
        <f>'TPM Summary Measures'!O47-'SCF (cell) Summary Measures'!O47</f>
        <v>0</v>
      </c>
      <c r="P47" s="91">
        <f>'TPM Summary Measures'!P47-'SCF (cell) Summary Measures'!P47</f>
        <v>0</v>
      </c>
      <c r="Q47" s="91">
        <f>'TPM Summary Measures'!Q47-'SCF (cell) Summary Measures'!Q47</f>
        <v>0</v>
      </c>
      <c r="R47" s="91">
        <f>'TPM Summary Measures'!R47-'SCF (cell) Summary Measures'!R47</f>
        <v>0</v>
      </c>
      <c r="S47" s="91">
        <f>'TPM Summary Measures'!S47-'SCF (cell) Summary Measures'!S47</f>
        <v>0</v>
      </c>
      <c r="T47" s="91">
        <f>'TPM Summary Measures'!T47-'SCF (cell) Summary Measures'!T47</f>
        <v>0</v>
      </c>
      <c r="U47" s="91">
        <f>'TPM Summary Measures'!U47-'SCF (cell) Summary Measures'!U47</f>
        <v>0</v>
      </c>
      <c r="V47" s="91">
        <f>'TPM Summary Measures'!V47-'SCF (cell) Summary Measures'!V47</f>
        <v>0</v>
      </c>
    </row>
    <row r="48" spans="1:23" x14ac:dyDescent="0.25">
      <c r="A48" s="86"/>
      <c r="B48" s="63" t="s">
        <v>303</v>
      </c>
      <c r="C48" s="91">
        <f>'TPM Summary Measures'!C48-'SCF (cell) Summary Measures'!C48</f>
        <v>0</v>
      </c>
      <c r="D48" s="91">
        <f>'TPM Summary Measures'!D48-'SCF (cell) Summary Measures'!D48</f>
        <v>0</v>
      </c>
      <c r="E48" s="91">
        <f>'TPM Summary Measures'!E48-'SCF (cell) Summary Measures'!E48</f>
        <v>0</v>
      </c>
      <c r="F48" s="91">
        <f>'TPM Summary Measures'!F48-'SCF (cell) Summary Measures'!F48</f>
        <v>0</v>
      </c>
      <c r="G48" s="91">
        <f>'TPM Summary Measures'!G48-'SCF (cell) Summary Measures'!G48</f>
        <v>0</v>
      </c>
      <c r="H48" s="91">
        <f>'TPM Summary Measures'!H48-'SCF (cell) Summary Measures'!H48</f>
        <v>0</v>
      </c>
      <c r="I48" s="91">
        <f>'TPM Summary Measures'!I48-'SCF (cell) Summary Measures'!I48</f>
        <v>0</v>
      </c>
      <c r="J48" s="91">
        <f>'TPM Summary Measures'!J48-'SCF (cell) Summary Measures'!J48</f>
        <v>0</v>
      </c>
      <c r="K48" s="91">
        <f>'TPM Summary Measures'!K48-'SCF (cell) Summary Measures'!K48</f>
        <v>0</v>
      </c>
      <c r="L48" s="140">
        <f>'TPM Summary Measures'!L48-'SCF (cell) Summary Measures'!L48</f>
        <v>0</v>
      </c>
      <c r="M48" s="91">
        <f>'TPM Summary Measures'!M48-'SCF (cell) Summary Measures'!M48</f>
        <v>0</v>
      </c>
      <c r="N48" s="91">
        <f>'TPM Summary Measures'!N48-'SCF (cell) Summary Measures'!N48</f>
        <v>0</v>
      </c>
      <c r="O48" s="91">
        <f>'TPM Summary Measures'!O48-'SCF (cell) Summary Measures'!O48</f>
        <v>0</v>
      </c>
      <c r="P48" s="91">
        <f>'TPM Summary Measures'!P48-'SCF (cell) Summary Measures'!P48</f>
        <v>0</v>
      </c>
      <c r="Q48" s="91">
        <f>'TPM Summary Measures'!Q48-'SCF (cell) Summary Measures'!Q48</f>
        <v>0</v>
      </c>
      <c r="R48" s="91">
        <f>'TPM Summary Measures'!R48-'SCF (cell) Summary Measures'!R48</f>
        <v>0</v>
      </c>
      <c r="S48" s="91">
        <f>'TPM Summary Measures'!S48-'SCF (cell) Summary Measures'!S48</f>
        <v>0</v>
      </c>
      <c r="T48" s="91">
        <f>'TPM Summary Measures'!T48-'SCF (cell) Summary Measures'!T48</f>
        <v>0</v>
      </c>
      <c r="U48" s="91">
        <f>'TPM Summary Measures'!U48-'SCF (cell) Summary Measures'!U48</f>
        <v>0</v>
      </c>
      <c r="V48" s="91">
        <f>'TPM Summary Measures'!V48-'SCF (cell) Summary Measures'!V48</f>
        <v>0</v>
      </c>
    </row>
    <row r="49" spans="1:22" x14ac:dyDescent="0.25">
      <c r="A49" s="86"/>
      <c r="B49" s="63" t="s">
        <v>314</v>
      </c>
      <c r="C49" s="91">
        <f>'TPM Summary Measures'!C49-'SCF (cell) Summary Measures'!C49</f>
        <v>0</v>
      </c>
      <c r="D49" s="91">
        <f>'TPM Summary Measures'!D49-'SCF (cell) Summary Measures'!D49</f>
        <v>0</v>
      </c>
      <c r="E49" s="91">
        <f>'TPM Summary Measures'!E49-'SCF (cell) Summary Measures'!E49</f>
        <v>0</v>
      </c>
      <c r="F49" s="91">
        <f>'TPM Summary Measures'!F49-'SCF (cell) Summary Measures'!F49</f>
        <v>0</v>
      </c>
      <c r="G49" s="91">
        <f>'TPM Summary Measures'!G49-'SCF (cell) Summary Measures'!G49</f>
        <v>0</v>
      </c>
      <c r="H49" s="91">
        <f>'TPM Summary Measures'!H49-'SCF (cell) Summary Measures'!H49</f>
        <v>0</v>
      </c>
      <c r="I49" s="91">
        <f>'TPM Summary Measures'!I49-'SCF (cell) Summary Measures'!I49</f>
        <v>0</v>
      </c>
      <c r="J49" s="91">
        <f>'TPM Summary Measures'!J49-'SCF (cell) Summary Measures'!J49</f>
        <v>0</v>
      </c>
      <c r="K49" s="91">
        <f>'TPM Summary Measures'!K49-'SCF (cell) Summary Measures'!K49</f>
        <v>0</v>
      </c>
      <c r="L49" s="140">
        <f>'TPM Summary Measures'!L49-'SCF (cell) Summary Measures'!L49</f>
        <v>0</v>
      </c>
      <c r="M49" s="91">
        <f>'TPM Summary Measures'!M49-'SCF (cell) Summary Measures'!M49</f>
        <v>0</v>
      </c>
      <c r="N49" s="91">
        <f>'TPM Summary Measures'!N49-'SCF (cell) Summary Measures'!N49</f>
        <v>0</v>
      </c>
      <c r="O49" s="91">
        <f>'TPM Summary Measures'!O49-'SCF (cell) Summary Measures'!O49</f>
        <v>0</v>
      </c>
      <c r="P49" s="91">
        <f>'TPM Summary Measures'!P49-'SCF (cell) Summary Measures'!P49</f>
        <v>0</v>
      </c>
      <c r="Q49" s="91">
        <f>'TPM Summary Measures'!Q49-'SCF (cell) Summary Measures'!Q49</f>
        <v>0</v>
      </c>
      <c r="R49" s="91">
        <f>'TPM Summary Measures'!R49-'SCF (cell) Summary Measures'!R49</f>
        <v>0</v>
      </c>
      <c r="S49" s="91">
        <f>'TPM Summary Measures'!S49-'SCF (cell) Summary Measures'!S49</f>
        <v>0</v>
      </c>
      <c r="T49" s="91">
        <f>'TPM Summary Measures'!T49-'SCF (cell) Summary Measures'!T49</f>
        <v>0</v>
      </c>
      <c r="U49" s="91">
        <f>'TPM Summary Measures'!U49-'SCF (cell) Summary Measures'!U49</f>
        <v>0</v>
      </c>
      <c r="V49" s="91">
        <f>'TPM Summary Measures'!V49-'SCF (cell) Summary Measures'!V49</f>
        <v>0</v>
      </c>
    </row>
    <row r="50" spans="1:22" x14ac:dyDescent="0.25">
      <c r="A50" s="86"/>
      <c r="B50" s="63" t="s">
        <v>128</v>
      </c>
      <c r="C50" s="91">
        <f>'TPM Summary Measures'!C50-'SCF (cell) Summary Measures'!C50</f>
        <v>0</v>
      </c>
      <c r="D50" s="91">
        <f>'TPM Summary Measures'!D50-'SCF (cell) Summary Measures'!D50</f>
        <v>0</v>
      </c>
      <c r="E50" s="91">
        <f>'TPM Summary Measures'!E50-'SCF (cell) Summary Measures'!E50</f>
        <v>0</v>
      </c>
      <c r="F50" s="91">
        <f>'TPM Summary Measures'!F50-'SCF (cell) Summary Measures'!F50</f>
        <v>0</v>
      </c>
      <c r="G50" s="91">
        <f>'TPM Summary Measures'!G50-'SCF (cell) Summary Measures'!G50</f>
        <v>0</v>
      </c>
      <c r="H50" s="91">
        <f>'TPM Summary Measures'!H50-'SCF (cell) Summary Measures'!H50</f>
        <v>0</v>
      </c>
      <c r="I50" s="91">
        <f>'TPM Summary Measures'!I50-'SCF (cell) Summary Measures'!I50</f>
        <v>0</v>
      </c>
      <c r="J50" s="91">
        <f>'TPM Summary Measures'!J50-'SCF (cell) Summary Measures'!J50</f>
        <v>0</v>
      </c>
      <c r="K50" s="91">
        <f>'TPM Summary Measures'!K50-'SCF (cell) Summary Measures'!K50</f>
        <v>0</v>
      </c>
      <c r="L50" s="140">
        <f>'TPM Summary Measures'!L50-'SCF (cell) Summary Measures'!L50</f>
        <v>0</v>
      </c>
      <c r="M50" s="91">
        <f>'TPM Summary Measures'!M50-'SCF (cell) Summary Measures'!M50</f>
        <v>0</v>
      </c>
      <c r="N50" s="91">
        <f>'TPM Summary Measures'!N50-'SCF (cell) Summary Measures'!N50</f>
        <v>0</v>
      </c>
      <c r="O50" s="91">
        <f>'TPM Summary Measures'!O50-'SCF (cell) Summary Measures'!O50</f>
        <v>0</v>
      </c>
      <c r="P50" s="91">
        <f>'TPM Summary Measures'!P50-'SCF (cell) Summary Measures'!P50</f>
        <v>0</v>
      </c>
      <c r="Q50" s="91">
        <f>'TPM Summary Measures'!Q50-'SCF (cell) Summary Measures'!Q50</f>
        <v>0</v>
      </c>
      <c r="R50" s="91">
        <f>'TPM Summary Measures'!R50-'SCF (cell) Summary Measures'!R50</f>
        <v>0</v>
      </c>
      <c r="S50" s="91">
        <f>'TPM Summary Measures'!S50-'SCF (cell) Summary Measures'!S50</f>
        <v>0</v>
      </c>
      <c r="T50" s="91">
        <f>'TPM Summary Measures'!T50-'SCF (cell) Summary Measures'!T50</f>
        <v>0</v>
      </c>
      <c r="U50" s="91">
        <f>'TPM Summary Measures'!U50-'SCF (cell) Summary Measures'!U50</f>
        <v>0</v>
      </c>
      <c r="V50" s="91">
        <f>'TPM Summary Measures'!V50-'SCF (cell) Summary Measures'!V50</f>
        <v>0</v>
      </c>
    </row>
    <row r="51" spans="1:22" x14ac:dyDescent="0.25">
      <c r="A51" s="86"/>
      <c r="B51" s="63" t="s">
        <v>151</v>
      </c>
      <c r="C51" s="91">
        <f>'TPM Summary Measures'!C51-'SCF (cell) Summary Measures'!C51</f>
        <v>0</v>
      </c>
      <c r="D51" s="91">
        <f>'TPM Summary Measures'!D51-'SCF (cell) Summary Measures'!D51</f>
        <v>0</v>
      </c>
      <c r="E51" s="91">
        <f>'TPM Summary Measures'!E51-'SCF (cell) Summary Measures'!E51</f>
        <v>0</v>
      </c>
      <c r="F51" s="91">
        <f>'TPM Summary Measures'!F51-'SCF (cell) Summary Measures'!F51</f>
        <v>0</v>
      </c>
      <c r="G51" s="91">
        <f>'TPM Summary Measures'!G51-'SCF (cell) Summary Measures'!G51</f>
        <v>0</v>
      </c>
      <c r="H51" s="91">
        <f>'TPM Summary Measures'!H51-'SCF (cell) Summary Measures'!H51</f>
        <v>0</v>
      </c>
      <c r="I51" s="91">
        <f>'TPM Summary Measures'!I51-'SCF (cell) Summary Measures'!I51</f>
        <v>0</v>
      </c>
      <c r="J51" s="91">
        <f>'TPM Summary Measures'!J51-'SCF (cell) Summary Measures'!J51</f>
        <v>0</v>
      </c>
      <c r="K51" s="91">
        <f>'TPM Summary Measures'!K51-'SCF (cell) Summary Measures'!K51</f>
        <v>0</v>
      </c>
      <c r="L51" s="140">
        <f>'TPM Summary Measures'!L51-'SCF (cell) Summary Measures'!L51</f>
        <v>0</v>
      </c>
      <c r="M51" s="91">
        <f>'TPM Summary Measures'!M51-'SCF (cell) Summary Measures'!M51</f>
        <v>0</v>
      </c>
      <c r="N51" s="91">
        <f>'TPM Summary Measures'!N51-'SCF (cell) Summary Measures'!N51</f>
        <v>0</v>
      </c>
      <c r="O51" s="91">
        <f>'TPM Summary Measures'!O51-'SCF (cell) Summary Measures'!O51</f>
        <v>0</v>
      </c>
      <c r="P51" s="91">
        <f>'TPM Summary Measures'!P51-'SCF (cell) Summary Measures'!P51</f>
        <v>0</v>
      </c>
      <c r="Q51" s="91">
        <f>'TPM Summary Measures'!Q51-'SCF (cell) Summary Measures'!Q51</f>
        <v>0</v>
      </c>
      <c r="R51" s="91">
        <f>'TPM Summary Measures'!R51-'SCF (cell) Summary Measures'!R51</f>
        <v>0</v>
      </c>
      <c r="S51" s="91">
        <f>'TPM Summary Measures'!S51-'SCF (cell) Summary Measures'!S51</f>
        <v>0</v>
      </c>
      <c r="T51" s="91">
        <f>'TPM Summary Measures'!T51-'SCF (cell) Summary Measures'!T51</f>
        <v>0</v>
      </c>
      <c r="U51" s="91">
        <f>'TPM Summary Measures'!U51-'SCF (cell) Summary Measures'!U51</f>
        <v>0</v>
      </c>
      <c r="V51" s="91">
        <f>'TPM Summary Measures'!V51-'SCF (cell) Summary Measures'!V51</f>
        <v>0</v>
      </c>
    </row>
    <row r="52" spans="1:22" x14ac:dyDescent="0.25">
      <c r="A52" s="86"/>
      <c r="B52" s="63" t="s">
        <v>304</v>
      </c>
      <c r="C52" s="91">
        <f>'TPM Summary Measures'!C52-'SCF (cell) Summary Measures'!C52</f>
        <v>0</v>
      </c>
      <c r="D52" s="91">
        <f>'TPM Summary Measures'!D52-'SCF (cell) Summary Measures'!D52</f>
        <v>0</v>
      </c>
      <c r="E52" s="91">
        <f>'TPM Summary Measures'!E52-'SCF (cell) Summary Measures'!E52</f>
        <v>0</v>
      </c>
      <c r="F52" s="91">
        <f>'TPM Summary Measures'!F52-'SCF (cell) Summary Measures'!F52</f>
        <v>0</v>
      </c>
      <c r="G52" s="91">
        <f>'TPM Summary Measures'!G52-'SCF (cell) Summary Measures'!G52</f>
        <v>0</v>
      </c>
      <c r="H52" s="91">
        <f>'TPM Summary Measures'!H52-'SCF (cell) Summary Measures'!H52</f>
        <v>0</v>
      </c>
      <c r="I52" s="91">
        <f>'TPM Summary Measures'!I52-'SCF (cell) Summary Measures'!I52</f>
        <v>0</v>
      </c>
      <c r="J52" s="91">
        <f>'TPM Summary Measures'!J52-'SCF (cell) Summary Measures'!J52</f>
        <v>0</v>
      </c>
      <c r="K52" s="91">
        <f>'TPM Summary Measures'!K52-'SCF (cell) Summary Measures'!K52</f>
        <v>0</v>
      </c>
      <c r="L52" s="140">
        <f>'TPM Summary Measures'!L52-'SCF (cell) Summary Measures'!L52</f>
        <v>0</v>
      </c>
      <c r="M52" s="91">
        <f>'TPM Summary Measures'!M52-'SCF (cell) Summary Measures'!M52</f>
        <v>0</v>
      </c>
      <c r="N52" s="91">
        <f>'TPM Summary Measures'!N52-'SCF (cell) Summary Measures'!N52</f>
        <v>0</v>
      </c>
      <c r="O52" s="91">
        <f>'TPM Summary Measures'!O52-'SCF (cell) Summary Measures'!O52</f>
        <v>0</v>
      </c>
      <c r="P52" s="91">
        <f>'TPM Summary Measures'!P52-'SCF (cell) Summary Measures'!P52</f>
        <v>0</v>
      </c>
      <c r="Q52" s="91">
        <f>'TPM Summary Measures'!Q52-'SCF (cell) Summary Measures'!Q52</f>
        <v>0</v>
      </c>
      <c r="R52" s="91">
        <f>'TPM Summary Measures'!R52-'SCF (cell) Summary Measures'!R52</f>
        <v>0</v>
      </c>
      <c r="S52" s="91">
        <f>'TPM Summary Measures'!S52-'SCF (cell) Summary Measures'!S52</f>
        <v>0</v>
      </c>
      <c r="T52" s="91">
        <f>'TPM Summary Measures'!T52-'SCF (cell) Summary Measures'!T52</f>
        <v>0</v>
      </c>
      <c r="U52" s="91">
        <f>'TPM Summary Measures'!U52-'SCF (cell) Summary Measures'!U52</f>
        <v>0</v>
      </c>
      <c r="V52" s="91">
        <f>'TPM Summary Measures'!V52-'SCF (cell) Summary Measures'!V52</f>
        <v>0</v>
      </c>
    </row>
    <row r="53" spans="1:22" x14ac:dyDescent="0.25">
      <c r="A53" s="86"/>
      <c r="B53" s="64" t="s">
        <v>130</v>
      </c>
      <c r="C53" s="91">
        <f>'TPM Summary Measures'!C53-'SCF (cell) Summary Measures'!C53</f>
        <v>0</v>
      </c>
      <c r="D53" s="91">
        <f>'TPM Summary Measures'!D53-'SCF (cell) Summary Measures'!D53</f>
        <v>0</v>
      </c>
      <c r="E53" s="91">
        <f>'TPM Summary Measures'!E53-'SCF (cell) Summary Measures'!E53</f>
        <v>0</v>
      </c>
      <c r="F53" s="91">
        <f>'TPM Summary Measures'!F53-'SCF (cell) Summary Measures'!F53</f>
        <v>0</v>
      </c>
      <c r="G53" s="91">
        <f>'TPM Summary Measures'!G53-'SCF (cell) Summary Measures'!G53</f>
        <v>0</v>
      </c>
      <c r="H53" s="91">
        <f>'TPM Summary Measures'!H53-'SCF (cell) Summary Measures'!H53</f>
        <v>0</v>
      </c>
      <c r="I53" s="91">
        <f>'TPM Summary Measures'!I53-'SCF (cell) Summary Measures'!I53</f>
        <v>0</v>
      </c>
      <c r="J53" s="91">
        <f>'TPM Summary Measures'!J53-'SCF (cell) Summary Measures'!J53</f>
        <v>0</v>
      </c>
      <c r="K53" s="91">
        <f>'TPM Summary Measures'!K53-'SCF (cell) Summary Measures'!K53</f>
        <v>0</v>
      </c>
      <c r="L53" s="140">
        <f>'TPM Summary Measures'!L53-'SCF (cell) Summary Measures'!L53</f>
        <v>0</v>
      </c>
      <c r="M53" s="91">
        <f>'TPM Summary Measures'!M53-'SCF (cell) Summary Measures'!M53</f>
        <v>0</v>
      </c>
      <c r="N53" s="91">
        <f>'TPM Summary Measures'!N53-'SCF (cell) Summary Measures'!N53</f>
        <v>0</v>
      </c>
      <c r="O53" s="91">
        <f>'TPM Summary Measures'!O53-'SCF (cell) Summary Measures'!O53</f>
        <v>0</v>
      </c>
      <c r="P53" s="91">
        <f>'TPM Summary Measures'!P53-'SCF (cell) Summary Measures'!P53</f>
        <v>0</v>
      </c>
      <c r="Q53" s="91">
        <f>'TPM Summary Measures'!Q53-'SCF (cell) Summary Measures'!Q53</f>
        <v>0</v>
      </c>
      <c r="R53" s="91">
        <f>'TPM Summary Measures'!R53-'SCF (cell) Summary Measures'!R53</f>
        <v>0</v>
      </c>
      <c r="S53" s="91">
        <f>'TPM Summary Measures'!S53-'SCF (cell) Summary Measures'!S53</f>
        <v>0</v>
      </c>
      <c r="T53" s="91">
        <f>'TPM Summary Measures'!T53-'SCF (cell) Summary Measures'!T53</f>
        <v>0</v>
      </c>
      <c r="U53" s="91">
        <f>'TPM Summary Measures'!U53-'SCF (cell) Summary Measures'!U53</f>
        <v>0</v>
      </c>
      <c r="V53" s="91">
        <f>'TPM Summary Measures'!V53-'SCF (cell) Summary Measures'!V53</f>
        <v>0</v>
      </c>
    </row>
    <row r="54" spans="1:22" x14ac:dyDescent="0.25">
      <c r="A54" s="86"/>
      <c r="B54" s="98" t="s">
        <v>131</v>
      </c>
      <c r="C54" s="91">
        <f>'TPM Summary Measures'!C54-'SCF (cell) Summary Measures'!C54</f>
        <v>0</v>
      </c>
      <c r="D54" s="91">
        <f>'TPM Summary Measures'!D54-'SCF (cell) Summary Measures'!D54</f>
        <v>0</v>
      </c>
      <c r="E54" s="91">
        <f>'TPM Summary Measures'!E54-'SCF (cell) Summary Measures'!E54</f>
        <v>0</v>
      </c>
      <c r="F54" s="91">
        <f>'TPM Summary Measures'!F54-'SCF (cell) Summary Measures'!F54</f>
        <v>0</v>
      </c>
      <c r="G54" s="91">
        <f>'TPM Summary Measures'!G54-'SCF (cell) Summary Measures'!G54</f>
        <v>0</v>
      </c>
      <c r="H54" s="91">
        <f>'TPM Summary Measures'!H54-'SCF (cell) Summary Measures'!H54</f>
        <v>0</v>
      </c>
      <c r="I54" s="91">
        <f>'TPM Summary Measures'!I54-'SCF (cell) Summary Measures'!I54</f>
        <v>0</v>
      </c>
      <c r="J54" s="91">
        <f>'TPM Summary Measures'!J54-'SCF (cell) Summary Measures'!J54</f>
        <v>0</v>
      </c>
      <c r="K54" s="91">
        <f>'TPM Summary Measures'!K54-'SCF (cell) Summary Measures'!K54</f>
        <v>0</v>
      </c>
      <c r="L54" s="140">
        <f>'TPM Summary Measures'!L54-'SCF (cell) Summary Measures'!L54</f>
        <v>0</v>
      </c>
      <c r="M54" s="91">
        <f>'TPM Summary Measures'!M54-'SCF (cell) Summary Measures'!M54</f>
        <v>0</v>
      </c>
      <c r="N54" s="91">
        <f>'TPM Summary Measures'!N54-'SCF (cell) Summary Measures'!N54</f>
        <v>0</v>
      </c>
      <c r="O54" s="91">
        <f>'TPM Summary Measures'!O54-'SCF (cell) Summary Measures'!O54</f>
        <v>0</v>
      </c>
      <c r="P54" s="91">
        <f>'TPM Summary Measures'!P54-'SCF (cell) Summary Measures'!P54</f>
        <v>0</v>
      </c>
      <c r="Q54" s="91">
        <f>'TPM Summary Measures'!Q54-'SCF (cell) Summary Measures'!Q54</f>
        <v>0</v>
      </c>
      <c r="R54" s="91">
        <f>'TPM Summary Measures'!R54-'SCF (cell) Summary Measures'!R54</f>
        <v>0</v>
      </c>
      <c r="S54" s="91">
        <f>'TPM Summary Measures'!S54-'SCF (cell) Summary Measures'!S54</f>
        <v>0</v>
      </c>
      <c r="T54" s="91">
        <f>'TPM Summary Measures'!T54-'SCF (cell) Summary Measures'!T54</f>
        <v>0</v>
      </c>
      <c r="U54" s="91">
        <f>'TPM Summary Measures'!U54-'SCF (cell) Summary Measures'!U54</f>
        <v>0</v>
      </c>
      <c r="V54" s="91">
        <f>'TPM Summary Measures'!V54-'SCF (cell) Summary Measures'!V54</f>
        <v>0</v>
      </c>
    </row>
    <row r="55" spans="1:22" x14ac:dyDescent="0.25">
      <c r="A55" s="86"/>
      <c r="B55" s="63" t="s">
        <v>303</v>
      </c>
      <c r="C55" s="91">
        <f>'TPM Summary Measures'!C55-'SCF (cell) Summary Measures'!C55</f>
        <v>0</v>
      </c>
      <c r="D55" s="91">
        <f>'TPM Summary Measures'!D55-'SCF (cell) Summary Measures'!D55</f>
        <v>0</v>
      </c>
      <c r="E55" s="91">
        <f>'TPM Summary Measures'!E55-'SCF (cell) Summary Measures'!E55</f>
        <v>0</v>
      </c>
      <c r="F55" s="91">
        <f>'TPM Summary Measures'!F55-'SCF (cell) Summary Measures'!F55</f>
        <v>0</v>
      </c>
      <c r="G55" s="91">
        <f>'TPM Summary Measures'!G55-'SCF (cell) Summary Measures'!G55</f>
        <v>0</v>
      </c>
      <c r="H55" s="91">
        <f>'TPM Summary Measures'!H55-'SCF (cell) Summary Measures'!H55</f>
        <v>0</v>
      </c>
      <c r="I55" s="91">
        <f>'TPM Summary Measures'!I55-'SCF (cell) Summary Measures'!I55</f>
        <v>0</v>
      </c>
      <c r="J55" s="91">
        <f>'TPM Summary Measures'!J55-'SCF (cell) Summary Measures'!J55</f>
        <v>0</v>
      </c>
      <c r="K55" s="91">
        <f>'TPM Summary Measures'!K55-'SCF (cell) Summary Measures'!K55</f>
        <v>0</v>
      </c>
      <c r="L55" s="140">
        <f>'TPM Summary Measures'!L55-'SCF (cell) Summary Measures'!L55</f>
        <v>0</v>
      </c>
      <c r="M55" s="91">
        <f>'TPM Summary Measures'!M55-'SCF (cell) Summary Measures'!M55</f>
        <v>0</v>
      </c>
      <c r="N55" s="91">
        <f>'TPM Summary Measures'!N55-'SCF (cell) Summary Measures'!N55</f>
        <v>0</v>
      </c>
      <c r="O55" s="91">
        <f>'TPM Summary Measures'!O55-'SCF (cell) Summary Measures'!O55</f>
        <v>0</v>
      </c>
      <c r="P55" s="91">
        <f>'TPM Summary Measures'!P55-'SCF (cell) Summary Measures'!P55</f>
        <v>0</v>
      </c>
      <c r="Q55" s="91">
        <f>'TPM Summary Measures'!Q55-'SCF (cell) Summary Measures'!Q55</f>
        <v>0</v>
      </c>
      <c r="R55" s="91">
        <f>'TPM Summary Measures'!R55-'SCF (cell) Summary Measures'!R55</f>
        <v>0</v>
      </c>
      <c r="S55" s="91">
        <f>'TPM Summary Measures'!S55-'SCF (cell) Summary Measures'!S55</f>
        <v>0</v>
      </c>
      <c r="T55" s="91">
        <f>'TPM Summary Measures'!T55-'SCF (cell) Summary Measures'!T55</f>
        <v>0</v>
      </c>
      <c r="U55" s="91">
        <f>'TPM Summary Measures'!U55-'SCF (cell) Summary Measures'!U55</f>
        <v>0</v>
      </c>
      <c r="V55" s="91">
        <f>'TPM Summary Measures'!V55-'SCF (cell) Summary Measures'!V55</f>
        <v>0</v>
      </c>
    </row>
    <row r="56" spans="1:22" x14ac:dyDescent="0.25">
      <c r="A56" s="86"/>
      <c r="B56" s="63" t="s">
        <v>315</v>
      </c>
      <c r="C56" s="91">
        <f>'TPM Summary Measures'!C56-'SCF (cell) Summary Measures'!C56</f>
        <v>0</v>
      </c>
      <c r="D56" s="91">
        <f>'TPM Summary Measures'!D56-'SCF (cell) Summary Measures'!D56</f>
        <v>0</v>
      </c>
      <c r="E56" s="91">
        <f>'TPM Summary Measures'!E56-'SCF (cell) Summary Measures'!E56</f>
        <v>0</v>
      </c>
      <c r="F56" s="91">
        <f>'TPM Summary Measures'!F56-'SCF (cell) Summary Measures'!F56</f>
        <v>0</v>
      </c>
      <c r="G56" s="91">
        <f>'TPM Summary Measures'!G56-'SCF (cell) Summary Measures'!G56</f>
        <v>0</v>
      </c>
      <c r="H56" s="91">
        <f>'TPM Summary Measures'!H56-'SCF (cell) Summary Measures'!H56</f>
        <v>0</v>
      </c>
      <c r="I56" s="91">
        <f>'TPM Summary Measures'!I56-'SCF (cell) Summary Measures'!I56</f>
        <v>0</v>
      </c>
      <c r="J56" s="91">
        <f>'TPM Summary Measures'!J56-'SCF (cell) Summary Measures'!J56</f>
        <v>0</v>
      </c>
      <c r="K56" s="91">
        <f>'TPM Summary Measures'!K56-'SCF (cell) Summary Measures'!K56</f>
        <v>0</v>
      </c>
      <c r="L56" s="140">
        <f>'TPM Summary Measures'!L56-'SCF (cell) Summary Measures'!L56</f>
        <v>0</v>
      </c>
      <c r="M56" s="91">
        <f>'TPM Summary Measures'!M56-'SCF (cell) Summary Measures'!M56</f>
        <v>0</v>
      </c>
      <c r="N56" s="91">
        <f>'TPM Summary Measures'!N56-'SCF (cell) Summary Measures'!N56</f>
        <v>0</v>
      </c>
      <c r="O56" s="91">
        <f>'TPM Summary Measures'!O56-'SCF (cell) Summary Measures'!O56</f>
        <v>0</v>
      </c>
      <c r="P56" s="91">
        <f>'TPM Summary Measures'!P56-'SCF (cell) Summary Measures'!P56</f>
        <v>0</v>
      </c>
      <c r="Q56" s="91">
        <f>'TPM Summary Measures'!Q56-'SCF (cell) Summary Measures'!Q56</f>
        <v>0</v>
      </c>
      <c r="R56" s="91">
        <f>'TPM Summary Measures'!R56-'SCF (cell) Summary Measures'!R56</f>
        <v>0</v>
      </c>
      <c r="S56" s="91">
        <f>'TPM Summary Measures'!S56-'SCF (cell) Summary Measures'!S56</f>
        <v>0</v>
      </c>
      <c r="T56" s="91">
        <f>'TPM Summary Measures'!T56-'SCF (cell) Summary Measures'!T56</f>
        <v>0</v>
      </c>
      <c r="U56" s="91">
        <f>'TPM Summary Measures'!U56-'SCF (cell) Summary Measures'!U56</f>
        <v>0</v>
      </c>
      <c r="V56" s="91">
        <f>'TPM Summary Measures'!V56-'SCF (cell) Summary Measures'!V56</f>
        <v>0</v>
      </c>
    </row>
    <row r="57" spans="1:22" x14ac:dyDescent="0.25">
      <c r="A57" s="86"/>
      <c r="B57" s="63" t="s">
        <v>128</v>
      </c>
      <c r="C57" s="91">
        <f>'TPM Summary Measures'!C57-'SCF (cell) Summary Measures'!C57</f>
        <v>0</v>
      </c>
      <c r="D57" s="91">
        <f>'TPM Summary Measures'!D57-'SCF (cell) Summary Measures'!D57</f>
        <v>0</v>
      </c>
      <c r="E57" s="91">
        <f>'TPM Summary Measures'!E57-'SCF (cell) Summary Measures'!E57</f>
        <v>0</v>
      </c>
      <c r="F57" s="91">
        <f>'TPM Summary Measures'!F57-'SCF (cell) Summary Measures'!F57</f>
        <v>0</v>
      </c>
      <c r="G57" s="91">
        <f>'TPM Summary Measures'!G57-'SCF (cell) Summary Measures'!G57</f>
        <v>0</v>
      </c>
      <c r="H57" s="91">
        <f>'TPM Summary Measures'!H57-'SCF (cell) Summary Measures'!H57</f>
        <v>0</v>
      </c>
      <c r="I57" s="91">
        <f>'TPM Summary Measures'!I57-'SCF (cell) Summary Measures'!I57</f>
        <v>0</v>
      </c>
      <c r="J57" s="91">
        <f>'TPM Summary Measures'!J57-'SCF (cell) Summary Measures'!J57</f>
        <v>0</v>
      </c>
      <c r="K57" s="91">
        <f>'TPM Summary Measures'!K57-'SCF (cell) Summary Measures'!K57</f>
        <v>0</v>
      </c>
      <c r="L57" s="140">
        <f>'TPM Summary Measures'!L57-'SCF (cell) Summary Measures'!L57</f>
        <v>0</v>
      </c>
      <c r="M57" s="91">
        <f>'TPM Summary Measures'!M57-'SCF (cell) Summary Measures'!M57</f>
        <v>0</v>
      </c>
      <c r="N57" s="91">
        <f>'TPM Summary Measures'!N57-'SCF (cell) Summary Measures'!N57</f>
        <v>0</v>
      </c>
      <c r="O57" s="91">
        <f>'TPM Summary Measures'!O57-'SCF (cell) Summary Measures'!O57</f>
        <v>0</v>
      </c>
      <c r="P57" s="91">
        <f>'TPM Summary Measures'!P57-'SCF (cell) Summary Measures'!P57</f>
        <v>0</v>
      </c>
      <c r="Q57" s="91">
        <f>'TPM Summary Measures'!Q57-'SCF (cell) Summary Measures'!Q57</f>
        <v>0</v>
      </c>
      <c r="R57" s="91">
        <f>'TPM Summary Measures'!R57-'SCF (cell) Summary Measures'!R57</f>
        <v>0</v>
      </c>
      <c r="S57" s="91">
        <f>'TPM Summary Measures'!S57-'SCF (cell) Summary Measures'!S57</f>
        <v>0</v>
      </c>
      <c r="T57" s="91">
        <f>'TPM Summary Measures'!T57-'SCF (cell) Summary Measures'!T57</f>
        <v>0</v>
      </c>
      <c r="U57" s="91">
        <f>'TPM Summary Measures'!U57-'SCF (cell) Summary Measures'!U57</f>
        <v>0</v>
      </c>
      <c r="V57" s="91">
        <f>'TPM Summary Measures'!V57-'SCF (cell) Summary Measures'!V57</f>
        <v>0</v>
      </c>
    </row>
    <row r="58" spans="1:22" x14ac:dyDescent="0.25">
      <c r="A58" s="86"/>
      <c r="B58" s="63" t="s">
        <v>151</v>
      </c>
      <c r="C58" s="91">
        <f>'TPM Summary Measures'!C58-'SCF (cell) Summary Measures'!C58</f>
        <v>0</v>
      </c>
      <c r="D58" s="91">
        <f>'TPM Summary Measures'!D58-'SCF (cell) Summary Measures'!D58</f>
        <v>0</v>
      </c>
      <c r="E58" s="91">
        <f>'TPM Summary Measures'!E58-'SCF (cell) Summary Measures'!E58</f>
        <v>0</v>
      </c>
      <c r="F58" s="91">
        <f>'TPM Summary Measures'!F58-'SCF (cell) Summary Measures'!F58</f>
        <v>0</v>
      </c>
      <c r="G58" s="91">
        <f>'TPM Summary Measures'!G58-'SCF (cell) Summary Measures'!G58</f>
        <v>0</v>
      </c>
      <c r="H58" s="91">
        <f>'TPM Summary Measures'!H58-'SCF (cell) Summary Measures'!H58</f>
        <v>0</v>
      </c>
      <c r="I58" s="91">
        <f>'TPM Summary Measures'!I58-'SCF (cell) Summary Measures'!I58</f>
        <v>0</v>
      </c>
      <c r="J58" s="91">
        <f>'TPM Summary Measures'!J58-'SCF (cell) Summary Measures'!J58</f>
        <v>0</v>
      </c>
      <c r="K58" s="91">
        <f>'TPM Summary Measures'!K58-'SCF (cell) Summary Measures'!K58</f>
        <v>0</v>
      </c>
      <c r="L58" s="140">
        <f>'TPM Summary Measures'!L58-'SCF (cell) Summary Measures'!L58</f>
        <v>0</v>
      </c>
      <c r="M58" s="91">
        <f>'TPM Summary Measures'!M58-'SCF (cell) Summary Measures'!M58</f>
        <v>0</v>
      </c>
      <c r="N58" s="91">
        <f>'TPM Summary Measures'!N58-'SCF (cell) Summary Measures'!N58</f>
        <v>0</v>
      </c>
      <c r="O58" s="91">
        <f>'TPM Summary Measures'!O58-'SCF (cell) Summary Measures'!O58</f>
        <v>0</v>
      </c>
      <c r="P58" s="91">
        <f>'TPM Summary Measures'!P58-'SCF (cell) Summary Measures'!P58</f>
        <v>0</v>
      </c>
      <c r="Q58" s="91">
        <f>'TPM Summary Measures'!Q58-'SCF (cell) Summary Measures'!Q58</f>
        <v>0</v>
      </c>
      <c r="R58" s="91">
        <f>'TPM Summary Measures'!R58-'SCF (cell) Summary Measures'!R58</f>
        <v>0</v>
      </c>
      <c r="S58" s="91">
        <f>'TPM Summary Measures'!S58-'SCF (cell) Summary Measures'!S58</f>
        <v>0</v>
      </c>
      <c r="T58" s="91">
        <f>'TPM Summary Measures'!T58-'SCF (cell) Summary Measures'!T58</f>
        <v>0</v>
      </c>
      <c r="U58" s="91">
        <f>'TPM Summary Measures'!U58-'SCF (cell) Summary Measures'!U58</f>
        <v>0</v>
      </c>
      <c r="V58" s="91">
        <f>'TPM Summary Measures'!V58-'SCF (cell) Summary Measures'!V58</f>
        <v>0</v>
      </c>
    </row>
    <row r="59" spans="1:22" x14ac:dyDescent="0.25">
      <c r="A59" s="86"/>
      <c r="B59" s="63" t="s">
        <v>152</v>
      </c>
      <c r="C59" s="91">
        <f>'TPM Summary Measures'!C59-'SCF (cell) Summary Measures'!C59</f>
        <v>0</v>
      </c>
      <c r="D59" s="91">
        <f>'TPM Summary Measures'!D59-'SCF (cell) Summary Measures'!D59</f>
        <v>0</v>
      </c>
      <c r="E59" s="91">
        <f>'TPM Summary Measures'!E59-'SCF (cell) Summary Measures'!E59</f>
        <v>0</v>
      </c>
      <c r="F59" s="91">
        <f>'TPM Summary Measures'!F59-'SCF (cell) Summary Measures'!F59</f>
        <v>0</v>
      </c>
      <c r="G59" s="91">
        <f>'TPM Summary Measures'!G59-'SCF (cell) Summary Measures'!G59</f>
        <v>0</v>
      </c>
      <c r="H59" s="91">
        <f>'TPM Summary Measures'!H59-'SCF (cell) Summary Measures'!H59</f>
        <v>0</v>
      </c>
      <c r="I59" s="91">
        <f>'TPM Summary Measures'!I59-'SCF (cell) Summary Measures'!I59</f>
        <v>0</v>
      </c>
      <c r="J59" s="91">
        <f>'TPM Summary Measures'!J59-'SCF (cell) Summary Measures'!J59</f>
        <v>0</v>
      </c>
      <c r="K59" s="91">
        <f>'TPM Summary Measures'!K59-'SCF (cell) Summary Measures'!K59</f>
        <v>0</v>
      </c>
      <c r="L59" s="140">
        <f>'TPM Summary Measures'!L59-'SCF (cell) Summary Measures'!L59</f>
        <v>0</v>
      </c>
      <c r="M59" s="91">
        <f>'TPM Summary Measures'!M59-'SCF (cell) Summary Measures'!M59</f>
        <v>0</v>
      </c>
      <c r="N59" s="91">
        <f>'TPM Summary Measures'!N59-'SCF (cell) Summary Measures'!N59</f>
        <v>0</v>
      </c>
      <c r="O59" s="91">
        <f>'TPM Summary Measures'!O59-'SCF (cell) Summary Measures'!O59</f>
        <v>0</v>
      </c>
      <c r="P59" s="91">
        <f>'TPM Summary Measures'!P59-'SCF (cell) Summary Measures'!P59</f>
        <v>0</v>
      </c>
      <c r="Q59" s="91">
        <f>'TPM Summary Measures'!Q59-'SCF (cell) Summary Measures'!Q59</f>
        <v>0</v>
      </c>
      <c r="R59" s="91">
        <f>'TPM Summary Measures'!R59-'SCF (cell) Summary Measures'!R59</f>
        <v>0</v>
      </c>
      <c r="S59" s="91">
        <f>'TPM Summary Measures'!S59-'SCF (cell) Summary Measures'!S59</f>
        <v>0</v>
      </c>
      <c r="T59" s="91">
        <f>'TPM Summary Measures'!T59-'SCF (cell) Summary Measures'!T59</f>
        <v>0</v>
      </c>
      <c r="U59" s="91">
        <f>'TPM Summary Measures'!U59-'SCF (cell) Summary Measures'!U59</f>
        <v>0</v>
      </c>
      <c r="V59" s="91">
        <f>'TPM Summary Measures'!V59-'SCF (cell) Summary Measures'!V59</f>
        <v>0</v>
      </c>
    </row>
    <row r="60" spans="1:22" x14ac:dyDescent="0.25">
      <c r="A60" s="86"/>
      <c r="B60" s="63" t="s">
        <v>153</v>
      </c>
      <c r="C60" s="91">
        <f>'TPM Summary Measures'!C60-'SCF (cell) Summary Measures'!C60</f>
        <v>0</v>
      </c>
      <c r="D60" s="91">
        <f>'TPM Summary Measures'!D60-'SCF (cell) Summary Measures'!D60</f>
        <v>0</v>
      </c>
      <c r="E60" s="91">
        <f>'TPM Summary Measures'!E60-'SCF (cell) Summary Measures'!E60</f>
        <v>0</v>
      </c>
      <c r="F60" s="91">
        <f>'TPM Summary Measures'!F60-'SCF (cell) Summary Measures'!F60</f>
        <v>0</v>
      </c>
      <c r="G60" s="91">
        <f>'TPM Summary Measures'!G60-'SCF (cell) Summary Measures'!G60</f>
        <v>0</v>
      </c>
      <c r="H60" s="91">
        <f>'TPM Summary Measures'!H60-'SCF (cell) Summary Measures'!H60</f>
        <v>0</v>
      </c>
      <c r="I60" s="91">
        <f>'TPM Summary Measures'!I60-'SCF (cell) Summary Measures'!I60</f>
        <v>0</v>
      </c>
      <c r="J60" s="91">
        <f>'TPM Summary Measures'!J60-'SCF (cell) Summary Measures'!J60</f>
        <v>0</v>
      </c>
      <c r="K60" s="91">
        <f>'TPM Summary Measures'!K60-'SCF (cell) Summary Measures'!K60</f>
        <v>0</v>
      </c>
      <c r="L60" s="140">
        <f>'TPM Summary Measures'!L60-'SCF (cell) Summary Measures'!L60</f>
        <v>0</v>
      </c>
      <c r="M60" s="91">
        <f>'TPM Summary Measures'!M60-'SCF (cell) Summary Measures'!M60</f>
        <v>0</v>
      </c>
      <c r="N60" s="91">
        <f>'TPM Summary Measures'!N60-'SCF (cell) Summary Measures'!N60</f>
        <v>0</v>
      </c>
      <c r="O60" s="91">
        <f>'TPM Summary Measures'!O60-'SCF (cell) Summary Measures'!O60</f>
        <v>0</v>
      </c>
      <c r="P60" s="91">
        <f>'TPM Summary Measures'!P60-'SCF (cell) Summary Measures'!P60</f>
        <v>0</v>
      </c>
      <c r="Q60" s="91">
        <f>'TPM Summary Measures'!Q60-'SCF (cell) Summary Measures'!Q60</f>
        <v>0</v>
      </c>
      <c r="R60" s="91">
        <f>'TPM Summary Measures'!R60-'SCF (cell) Summary Measures'!R60</f>
        <v>0</v>
      </c>
      <c r="S60" s="91">
        <f>'TPM Summary Measures'!S60-'SCF (cell) Summary Measures'!S60</f>
        <v>0</v>
      </c>
      <c r="T60" s="91">
        <f>'TPM Summary Measures'!T60-'SCF (cell) Summary Measures'!T60</f>
        <v>0</v>
      </c>
      <c r="U60" s="91">
        <f>'TPM Summary Measures'!U60-'SCF (cell) Summary Measures'!U60</f>
        <v>0</v>
      </c>
      <c r="V60" s="91">
        <f>'TPM Summary Measures'!V60-'SCF (cell) Summary Measures'!V60</f>
        <v>0</v>
      </c>
    </row>
    <row r="61" spans="1:22" x14ac:dyDescent="0.25">
      <c r="A61" s="82"/>
      <c r="B61" s="153" t="s">
        <v>142</v>
      </c>
      <c r="C61" s="91">
        <f>'TPM Summary Measures'!C61-'SCF (cell) Summary Measures'!C61</f>
        <v>0</v>
      </c>
      <c r="D61" s="91">
        <f>'TPM Summary Measures'!D61-'SCF (cell) Summary Measures'!D61</f>
        <v>0</v>
      </c>
      <c r="E61" s="91">
        <f>'TPM Summary Measures'!E61-'SCF (cell) Summary Measures'!E61</f>
        <v>0</v>
      </c>
      <c r="F61" s="91">
        <f>'TPM Summary Measures'!F61-'SCF (cell) Summary Measures'!F61</f>
        <v>0</v>
      </c>
      <c r="G61" s="91">
        <f>'TPM Summary Measures'!G61-'SCF (cell) Summary Measures'!G61</f>
        <v>0</v>
      </c>
      <c r="H61" s="91">
        <f>'TPM Summary Measures'!H61-'SCF (cell) Summary Measures'!H61</f>
        <v>0</v>
      </c>
      <c r="I61" s="91">
        <f>'TPM Summary Measures'!I61-'SCF (cell) Summary Measures'!I61</f>
        <v>0</v>
      </c>
      <c r="J61" s="91">
        <f>'TPM Summary Measures'!J61-'SCF (cell) Summary Measures'!J61</f>
        <v>0</v>
      </c>
      <c r="K61" s="91">
        <f>'TPM Summary Measures'!K61-'SCF (cell) Summary Measures'!K61</f>
        <v>0</v>
      </c>
      <c r="L61" s="140">
        <f>'TPM Summary Measures'!L61-'SCF (cell) Summary Measures'!L61</f>
        <v>0</v>
      </c>
      <c r="M61" s="91">
        <f>'TPM Summary Measures'!M61-'SCF (cell) Summary Measures'!M61</f>
        <v>0</v>
      </c>
      <c r="N61" s="91">
        <f>'TPM Summary Measures'!N61-'SCF (cell) Summary Measures'!N61</f>
        <v>0</v>
      </c>
      <c r="O61" s="91">
        <f>'TPM Summary Measures'!O61-'SCF (cell) Summary Measures'!O61</f>
        <v>0</v>
      </c>
      <c r="P61" s="91">
        <f>'TPM Summary Measures'!P61-'SCF (cell) Summary Measures'!P61</f>
        <v>0</v>
      </c>
      <c r="Q61" s="91">
        <f>'TPM Summary Measures'!Q61-'SCF (cell) Summary Measures'!Q61</f>
        <v>0</v>
      </c>
      <c r="R61" s="91">
        <f>'TPM Summary Measures'!R61-'SCF (cell) Summary Measures'!R61</f>
        <v>0</v>
      </c>
      <c r="S61" s="91">
        <f>'TPM Summary Measures'!S61-'SCF (cell) Summary Measures'!S61</f>
        <v>0</v>
      </c>
      <c r="T61" s="91">
        <f>'TPM Summary Measures'!T61-'SCF (cell) Summary Measures'!T61</f>
        <v>0</v>
      </c>
      <c r="U61" s="91">
        <f>'TPM Summary Measures'!U61-'SCF (cell) Summary Measures'!U61</f>
        <v>0</v>
      </c>
      <c r="V61" s="91">
        <f>'TPM Summary Measures'!V61-'SCF (cell) Summary Measures'!V61</f>
        <v>0</v>
      </c>
    </row>
    <row r="62" spans="1:22" x14ac:dyDescent="0.25">
      <c r="A62" s="82"/>
      <c r="B62" s="64" t="s">
        <v>130</v>
      </c>
      <c r="C62" s="91">
        <f>'TPM Summary Measures'!C62-'SCF (cell) Summary Measures'!C62</f>
        <v>0</v>
      </c>
      <c r="D62" s="91">
        <f>'TPM Summary Measures'!D62-'SCF (cell) Summary Measures'!D62</f>
        <v>0</v>
      </c>
      <c r="E62" s="91">
        <f>'TPM Summary Measures'!E62-'SCF (cell) Summary Measures'!E62</f>
        <v>0</v>
      </c>
      <c r="F62" s="91">
        <f>'TPM Summary Measures'!F62-'SCF (cell) Summary Measures'!F62</f>
        <v>0</v>
      </c>
      <c r="G62" s="91">
        <f>'TPM Summary Measures'!G62-'SCF (cell) Summary Measures'!G62</f>
        <v>0</v>
      </c>
      <c r="H62" s="91">
        <f>'TPM Summary Measures'!H62-'SCF (cell) Summary Measures'!H62</f>
        <v>0</v>
      </c>
      <c r="I62" s="91">
        <f>'TPM Summary Measures'!I62-'SCF (cell) Summary Measures'!I62</f>
        <v>0</v>
      </c>
      <c r="J62" s="91">
        <f>'TPM Summary Measures'!J62-'SCF (cell) Summary Measures'!J62</f>
        <v>0</v>
      </c>
      <c r="K62" s="91">
        <f>'TPM Summary Measures'!K62-'SCF (cell) Summary Measures'!K62</f>
        <v>0</v>
      </c>
      <c r="L62" s="140">
        <f>'TPM Summary Measures'!L62-'SCF (cell) Summary Measures'!L62</f>
        <v>0</v>
      </c>
      <c r="M62" s="91">
        <f>'TPM Summary Measures'!M62-'SCF (cell) Summary Measures'!M62</f>
        <v>0</v>
      </c>
      <c r="N62" s="91">
        <f>'TPM Summary Measures'!N62-'SCF (cell) Summary Measures'!N62</f>
        <v>0</v>
      </c>
      <c r="O62" s="91">
        <f>'TPM Summary Measures'!O62-'SCF (cell) Summary Measures'!O62</f>
        <v>0</v>
      </c>
      <c r="P62" s="91">
        <f>'TPM Summary Measures'!P62-'SCF (cell) Summary Measures'!P62</f>
        <v>0</v>
      </c>
      <c r="Q62" s="91">
        <f>'TPM Summary Measures'!Q62-'SCF (cell) Summary Measures'!Q62</f>
        <v>0</v>
      </c>
      <c r="R62" s="91">
        <f>'TPM Summary Measures'!R62-'SCF (cell) Summary Measures'!R62</f>
        <v>0</v>
      </c>
      <c r="S62" s="91">
        <f>'TPM Summary Measures'!S62-'SCF (cell) Summary Measures'!S62</f>
        <v>0</v>
      </c>
      <c r="T62" s="91">
        <f>'TPM Summary Measures'!T62-'SCF (cell) Summary Measures'!T62</f>
        <v>0</v>
      </c>
      <c r="U62" s="91">
        <f>'TPM Summary Measures'!U62-'SCF (cell) Summary Measures'!U62</f>
        <v>0</v>
      </c>
      <c r="V62" s="91">
        <f>'TPM Summary Measures'!V62-'SCF (cell) Summary Measures'!V62</f>
        <v>0</v>
      </c>
    </row>
    <row r="63" spans="1:22" x14ac:dyDescent="0.25">
      <c r="A63" s="82"/>
      <c r="B63" s="153" t="s">
        <v>131</v>
      </c>
      <c r="C63" s="91">
        <f>'TPM Summary Measures'!C63-'SCF (cell) Summary Measures'!C63</f>
        <v>0</v>
      </c>
      <c r="D63" s="91">
        <f>'TPM Summary Measures'!D63-'SCF (cell) Summary Measures'!D63</f>
        <v>0</v>
      </c>
      <c r="E63" s="91">
        <f>'TPM Summary Measures'!E63-'SCF (cell) Summary Measures'!E63</f>
        <v>0</v>
      </c>
      <c r="F63" s="91">
        <f>'TPM Summary Measures'!F63-'SCF (cell) Summary Measures'!F63</f>
        <v>0</v>
      </c>
      <c r="G63" s="91">
        <f>'TPM Summary Measures'!G63-'SCF (cell) Summary Measures'!G63</f>
        <v>0</v>
      </c>
      <c r="H63" s="91">
        <f>'TPM Summary Measures'!H63-'SCF (cell) Summary Measures'!H63</f>
        <v>0</v>
      </c>
      <c r="I63" s="91">
        <f>'TPM Summary Measures'!I63-'SCF (cell) Summary Measures'!I63</f>
        <v>0</v>
      </c>
      <c r="J63" s="91">
        <f>'TPM Summary Measures'!J63-'SCF (cell) Summary Measures'!J63</f>
        <v>0</v>
      </c>
      <c r="K63" s="91">
        <f>'TPM Summary Measures'!K63-'SCF (cell) Summary Measures'!K63</f>
        <v>0</v>
      </c>
      <c r="L63" s="140">
        <f>'TPM Summary Measures'!L63-'SCF (cell) Summary Measures'!L63</f>
        <v>0</v>
      </c>
      <c r="M63" s="91">
        <f>'TPM Summary Measures'!M63-'SCF (cell) Summary Measures'!M63</f>
        <v>0</v>
      </c>
      <c r="N63" s="91">
        <f>'TPM Summary Measures'!N63-'SCF (cell) Summary Measures'!N63</f>
        <v>0</v>
      </c>
      <c r="O63" s="91">
        <f>'TPM Summary Measures'!O63-'SCF (cell) Summary Measures'!O63</f>
        <v>0</v>
      </c>
      <c r="P63" s="91">
        <f>'TPM Summary Measures'!P63-'SCF (cell) Summary Measures'!P63</f>
        <v>0</v>
      </c>
      <c r="Q63" s="91">
        <f>'TPM Summary Measures'!Q63-'SCF (cell) Summary Measures'!Q63</f>
        <v>0</v>
      </c>
      <c r="R63" s="91">
        <f>'TPM Summary Measures'!R63-'SCF (cell) Summary Measures'!R63</f>
        <v>0</v>
      </c>
      <c r="S63" s="91">
        <f>'TPM Summary Measures'!S63-'SCF (cell) Summary Measures'!S63</f>
        <v>0</v>
      </c>
      <c r="T63" s="91">
        <f>'TPM Summary Measures'!T63-'SCF (cell) Summary Measures'!T63</f>
        <v>0</v>
      </c>
      <c r="U63" s="91">
        <f>'TPM Summary Measures'!U63-'SCF (cell) Summary Measures'!U63</f>
        <v>0</v>
      </c>
      <c r="V63" s="91">
        <f>'TPM Summary Measures'!V63-'SCF (cell) Summary Measures'!V63</f>
        <v>0</v>
      </c>
    </row>
    <row r="64" spans="1:22" x14ac:dyDescent="0.25">
      <c r="A64" s="82"/>
      <c r="B64" s="153" t="s">
        <v>303</v>
      </c>
      <c r="C64" s="91">
        <f>'TPM Summary Measures'!C64-'SCF (cell) Summary Measures'!C64</f>
        <v>0</v>
      </c>
      <c r="D64" s="91">
        <f>'TPM Summary Measures'!D64-'SCF (cell) Summary Measures'!D64</f>
        <v>0</v>
      </c>
      <c r="E64" s="91">
        <f>'TPM Summary Measures'!E64-'SCF (cell) Summary Measures'!E64</f>
        <v>0</v>
      </c>
      <c r="F64" s="91">
        <f>'TPM Summary Measures'!F64-'SCF (cell) Summary Measures'!F64</f>
        <v>0</v>
      </c>
      <c r="G64" s="91">
        <f>'TPM Summary Measures'!G64-'SCF (cell) Summary Measures'!G64</f>
        <v>0</v>
      </c>
      <c r="H64" s="91">
        <f>'TPM Summary Measures'!H64-'SCF (cell) Summary Measures'!H64</f>
        <v>0</v>
      </c>
      <c r="I64" s="91">
        <f>'TPM Summary Measures'!I64-'SCF (cell) Summary Measures'!I64</f>
        <v>0</v>
      </c>
      <c r="J64" s="91">
        <f>'TPM Summary Measures'!J64-'SCF (cell) Summary Measures'!J64</f>
        <v>0</v>
      </c>
      <c r="K64" s="91">
        <f>'TPM Summary Measures'!K64-'SCF (cell) Summary Measures'!K64</f>
        <v>0</v>
      </c>
      <c r="L64" s="140">
        <f>'TPM Summary Measures'!L64-'SCF (cell) Summary Measures'!L64</f>
        <v>0</v>
      </c>
      <c r="M64" s="91">
        <f>'TPM Summary Measures'!M64-'SCF (cell) Summary Measures'!M64</f>
        <v>0</v>
      </c>
      <c r="N64" s="91">
        <f>'TPM Summary Measures'!N64-'SCF (cell) Summary Measures'!N64</f>
        <v>0</v>
      </c>
      <c r="O64" s="91">
        <f>'TPM Summary Measures'!O64-'SCF (cell) Summary Measures'!O64</f>
        <v>0</v>
      </c>
      <c r="P64" s="91">
        <f>'TPM Summary Measures'!P64-'SCF (cell) Summary Measures'!P64</f>
        <v>0</v>
      </c>
      <c r="Q64" s="91">
        <f>'TPM Summary Measures'!Q64-'SCF (cell) Summary Measures'!Q64</f>
        <v>0</v>
      </c>
      <c r="R64" s="91">
        <f>'TPM Summary Measures'!R64-'SCF (cell) Summary Measures'!R64</f>
        <v>0</v>
      </c>
      <c r="S64" s="91">
        <f>'TPM Summary Measures'!S64-'SCF (cell) Summary Measures'!S64</f>
        <v>0</v>
      </c>
      <c r="T64" s="91">
        <f>'TPM Summary Measures'!T64-'SCF (cell) Summary Measures'!T64</f>
        <v>0</v>
      </c>
      <c r="U64" s="91">
        <f>'TPM Summary Measures'!U64-'SCF (cell) Summary Measures'!U64</f>
        <v>0</v>
      </c>
      <c r="V64" s="91">
        <f>'TPM Summary Measures'!V64-'SCF (cell) Summary Measures'!V64</f>
        <v>0</v>
      </c>
    </row>
    <row r="65" spans="1:23" s="64" customFormat="1" x14ac:dyDescent="0.25">
      <c r="A65" s="82"/>
      <c r="B65" s="153" t="s">
        <v>305</v>
      </c>
      <c r="C65" s="91">
        <f>'TPM Summary Measures'!C65-'SCF (cell) Summary Measures'!C65</f>
        <v>0</v>
      </c>
      <c r="D65" s="91">
        <f>'TPM Summary Measures'!D65-'SCF (cell) Summary Measures'!D65</f>
        <v>0</v>
      </c>
      <c r="E65" s="91">
        <f>'TPM Summary Measures'!E65-'SCF (cell) Summary Measures'!E65</f>
        <v>0</v>
      </c>
      <c r="F65" s="91">
        <f>'TPM Summary Measures'!F65-'SCF (cell) Summary Measures'!F65</f>
        <v>0</v>
      </c>
      <c r="G65" s="91">
        <f>'TPM Summary Measures'!G65-'SCF (cell) Summary Measures'!G65</f>
        <v>0</v>
      </c>
      <c r="H65" s="91">
        <f>'TPM Summary Measures'!H65-'SCF (cell) Summary Measures'!H65</f>
        <v>0</v>
      </c>
      <c r="I65" s="91">
        <f>'TPM Summary Measures'!I65-'SCF (cell) Summary Measures'!I65</f>
        <v>0</v>
      </c>
      <c r="J65" s="91">
        <f>'TPM Summary Measures'!J65-'SCF (cell) Summary Measures'!J65</f>
        <v>0</v>
      </c>
      <c r="K65" s="91">
        <f>'TPM Summary Measures'!K65-'SCF (cell) Summary Measures'!K65</f>
        <v>0</v>
      </c>
      <c r="L65" s="140">
        <f>'TPM Summary Measures'!L65-'SCF (cell) Summary Measures'!L65</f>
        <v>0</v>
      </c>
      <c r="M65" s="91">
        <f>'TPM Summary Measures'!M65-'SCF (cell) Summary Measures'!M65</f>
        <v>0</v>
      </c>
      <c r="N65" s="91">
        <f>'TPM Summary Measures'!N65-'SCF (cell) Summary Measures'!N65</f>
        <v>0</v>
      </c>
      <c r="O65" s="91">
        <f>'TPM Summary Measures'!O65-'SCF (cell) Summary Measures'!O65</f>
        <v>0</v>
      </c>
      <c r="P65" s="91">
        <f>'TPM Summary Measures'!P65-'SCF (cell) Summary Measures'!P65</f>
        <v>0</v>
      </c>
      <c r="Q65" s="91">
        <f>'TPM Summary Measures'!Q65-'SCF (cell) Summary Measures'!Q65</f>
        <v>0</v>
      </c>
      <c r="R65" s="91">
        <f>'TPM Summary Measures'!R65-'SCF (cell) Summary Measures'!R65</f>
        <v>0</v>
      </c>
      <c r="S65" s="91">
        <f>'TPM Summary Measures'!S65-'SCF (cell) Summary Measures'!S65</f>
        <v>0</v>
      </c>
      <c r="T65" s="91">
        <f>'TPM Summary Measures'!T65-'SCF (cell) Summary Measures'!T65</f>
        <v>0</v>
      </c>
      <c r="U65" s="91">
        <f>'TPM Summary Measures'!U65-'SCF (cell) Summary Measures'!U65</f>
        <v>0</v>
      </c>
      <c r="V65" s="91">
        <f>'TPM Summary Measures'!V65-'SCF (cell) Summary Measures'!V65</f>
        <v>0</v>
      </c>
    </row>
    <row r="66" spans="1:23" x14ac:dyDescent="0.25">
      <c r="A66" s="82"/>
      <c r="B66" s="153" t="s">
        <v>306</v>
      </c>
      <c r="C66" s="91">
        <f>'TPM Summary Measures'!C66-'SCF (cell) Summary Measures'!C66</f>
        <v>0</v>
      </c>
      <c r="D66" s="91">
        <f>'TPM Summary Measures'!D66-'SCF (cell) Summary Measures'!D66</f>
        <v>0</v>
      </c>
      <c r="E66" s="91">
        <f>'TPM Summary Measures'!E66-'SCF (cell) Summary Measures'!E66</f>
        <v>0</v>
      </c>
      <c r="F66" s="91">
        <f>'TPM Summary Measures'!F66-'SCF (cell) Summary Measures'!F66</f>
        <v>0</v>
      </c>
      <c r="G66" s="91">
        <f>'TPM Summary Measures'!G66-'SCF (cell) Summary Measures'!G66</f>
        <v>0</v>
      </c>
      <c r="H66" s="91">
        <f>'TPM Summary Measures'!H66-'SCF (cell) Summary Measures'!H66</f>
        <v>0</v>
      </c>
      <c r="I66" s="91">
        <f>'TPM Summary Measures'!I66-'SCF (cell) Summary Measures'!I66</f>
        <v>0</v>
      </c>
      <c r="J66" s="91">
        <f>'TPM Summary Measures'!J66-'SCF (cell) Summary Measures'!J66</f>
        <v>0</v>
      </c>
      <c r="K66" s="91">
        <f>'TPM Summary Measures'!K66-'SCF (cell) Summary Measures'!K66</f>
        <v>0</v>
      </c>
      <c r="L66" s="140">
        <f>'TPM Summary Measures'!L66-'SCF (cell) Summary Measures'!L66</f>
        <v>0</v>
      </c>
      <c r="M66" s="91">
        <f>'TPM Summary Measures'!M66-'SCF (cell) Summary Measures'!M66</f>
        <v>0</v>
      </c>
      <c r="N66" s="91">
        <f>'TPM Summary Measures'!N66-'SCF (cell) Summary Measures'!N66</f>
        <v>0</v>
      </c>
      <c r="O66" s="91">
        <f>'TPM Summary Measures'!O66-'SCF (cell) Summary Measures'!O66</f>
        <v>0</v>
      </c>
      <c r="P66" s="91">
        <f>'TPM Summary Measures'!P66-'SCF (cell) Summary Measures'!P66</f>
        <v>0</v>
      </c>
      <c r="Q66" s="91">
        <f>'TPM Summary Measures'!Q66-'SCF (cell) Summary Measures'!Q66</f>
        <v>0</v>
      </c>
      <c r="R66" s="91">
        <f>'TPM Summary Measures'!R66-'SCF (cell) Summary Measures'!R66</f>
        <v>0</v>
      </c>
      <c r="S66" s="91">
        <f>'TPM Summary Measures'!S66-'SCF (cell) Summary Measures'!S66</f>
        <v>0</v>
      </c>
      <c r="T66" s="91">
        <f>'TPM Summary Measures'!T66-'SCF (cell) Summary Measures'!T66</f>
        <v>0</v>
      </c>
      <c r="U66" s="91">
        <f>'TPM Summary Measures'!U66-'SCF (cell) Summary Measures'!U66</f>
        <v>0</v>
      </c>
      <c r="V66" s="91">
        <f>'TPM Summary Measures'!V66-'SCF (cell) Summary Measures'!V66</f>
        <v>0</v>
      </c>
    </row>
    <row r="67" spans="1:23" x14ac:dyDescent="0.25">
      <c r="A67" s="112"/>
      <c r="B67" s="154" t="s">
        <v>307</v>
      </c>
      <c r="C67" s="100">
        <f>'TPM Summary Measures'!C67-'SCF (cell) Summary Measures'!C67</f>
        <v>0</v>
      </c>
      <c r="D67" s="100">
        <f>'TPM Summary Measures'!D67-'SCF (cell) Summary Measures'!D67</f>
        <v>0</v>
      </c>
      <c r="E67" s="100">
        <f>'TPM Summary Measures'!E67-'SCF (cell) Summary Measures'!E67</f>
        <v>0</v>
      </c>
      <c r="F67" s="100">
        <f>'TPM Summary Measures'!F67-'SCF (cell) Summary Measures'!F67</f>
        <v>0</v>
      </c>
      <c r="G67" s="100">
        <f>'TPM Summary Measures'!G67-'SCF (cell) Summary Measures'!G67</f>
        <v>0</v>
      </c>
      <c r="H67" s="100">
        <f>'TPM Summary Measures'!H67-'SCF (cell) Summary Measures'!H67</f>
        <v>0</v>
      </c>
      <c r="I67" s="100">
        <f>'TPM Summary Measures'!I67-'SCF (cell) Summary Measures'!I67</f>
        <v>0</v>
      </c>
      <c r="J67" s="100">
        <f>'TPM Summary Measures'!J67-'SCF (cell) Summary Measures'!J67</f>
        <v>0</v>
      </c>
      <c r="K67" s="100">
        <f>'TPM Summary Measures'!K67-'SCF (cell) Summary Measures'!K67</f>
        <v>0</v>
      </c>
      <c r="L67" s="142">
        <f>'TPM Summary Measures'!L67-'SCF (cell) Summary Measures'!L67</f>
        <v>0</v>
      </c>
      <c r="M67" s="100">
        <f>'TPM Summary Measures'!M67-'SCF (cell) Summary Measures'!M67</f>
        <v>0</v>
      </c>
      <c r="N67" s="100">
        <f>'TPM Summary Measures'!N67-'SCF (cell) Summary Measures'!N67</f>
        <v>0</v>
      </c>
      <c r="O67" s="100">
        <f>'TPM Summary Measures'!O67-'SCF (cell) Summary Measures'!O67</f>
        <v>0</v>
      </c>
      <c r="P67" s="100">
        <f>'TPM Summary Measures'!P67-'SCF (cell) Summary Measures'!P67</f>
        <v>0</v>
      </c>
      <c r="Q67" s="100">
        <f>'TPM Summary Measures'!Q67-'SCF (cell) Summary Measures'!Q67</f>
        <v>0</v>
      </c>
      <c r="R67" s="100">
        <f>'TPM Summary Measures'!R67-'SCF (cell) Summary Measures'!R67</f>
        <v>0</v>
      </c>
      <c r="S67" s="100">
        <f>'TPM Summary Measures'!S67-'SCF (cell) Summary Measures'!S67</f>
        <v>0</v>
      </c>
      <c r="T67" s="100">
        <f>'TPM Summary Measures'!T67-'SCF (cell) Summary Measures'!T67</f>
        <v>0</v>
      </c>
      <c r="U67" s="100">
        <f>'TPM Summary Measures'!U67-'SCF (cell) Summary Measures'!U67</f>
        <v>0</v>
      </c>
      <c r="V67" s="100">
        <f>'TPM Summary Measures'!V67-'SCF (cell) Summary Measures'!V67</f>
        <v>0</v>
      </c>
      <c r="W67" s="116"/>
    </row>
    <row r="68" spans="1:23" s="88" customFormat="1" x14ac:dyDescent="0.25">
      <c r="B68" s="64"/>
      <c r="C68" s="306"/>
      <c r="D68" s="306"/>
      <c r="E68" s="306"/>
      <c r="F68" s="306"/>
      <c r="G68" s="306"/>
      <c r="H68" s="306"/>
      <c r="I68" s="176"/>
      <c r="J68" s="64"/>
      <c r="K68" s="64"/>
      <c r="L68" s="191"/>
      <c r="M68" s="64"/>
      <c r="N68" s="64"/>
      <c r="O68" s="64"/>
      <c r="P68" s="64"/>
      <c r="Q68" s="64"/>
      <c r="R68" s="64"/>
      <c r="S68" s="64"/>
      <c r="T68" s="64"/>
      <c r="U68" s="64"/>
      <c r="V68" s="64"/>
      <c r="W68" s="64"/>
    </row>
    <row r="69" spans="1:23" x14ac:dyDescent="0.25">
      <c r="C69" s="158"/>
      <c r="D69" s="158"/>
      <c r="E69" s="158"/>
      <c r="F69" s="158"/>
      <c r="G69" s="158"/>
      <c r="H69" s="210"/>
    </row>
    <row r="70" spans="1:23" x14ac:dyDescent="0.25">
      <c r="C70" s="159"/>
      <c r="D70" s="160"/>
      <c r="E70" s="305"/>
      <c r="F70" s="305"/>
      <c r="G70" s="305"/>
      <c r="H70" s="176"/>
    </row>
    <row r="71" spans="1:23" x14ac:dyDescent="0.25">
      <c r="C71" s="159"/>
      <c r="D71" s="160"/>
      <c r="E71" s="305"/>
      <c r="F71" s="305"/>
      <c r="G71" s="305"/>
      <c r="H71" s="176"/>
    </row>
    <row r="72" spans="1:23" x14ac:dyDescent="0.25">
      <c r="A72" s="13"/>
      <c r="B72" s="13"/>
      <c r="C72" s="28"/>
      <c r="D72" s="28"/>
      <c r="E72" s="28"/>
      <c r="F72" s="28"/>
      <c r="G72" s="28"/>
      <c r="H72" s="211"/>
    </row>
    <row r="73" spans="1:23" x14ac:dyDescent="0.25">
      <c r="A73" s="13"/>
      <c r="B73" s="13"/>
      <c r="C73" s="27"/>
      <c r="D73" s="27"/>
      <c r="E73" s="27"/>
      <c r="F73" s="27"/>
      <c r="G73" s="27"/>
      <c r="H73" s="202"/>
    </row>
    <row r="74" spans="1:23" x14ac:dyDescent="0.25">
      <c r="A74" s="13"/>
      <c r="B74" s="13"/>
      <c r="C74" s="24"/>
      <c r="D74" s="24"/>
      <c r="E74" s="24"/>
      <c r="F74" s="24"/>
      <c r="G74" s="24"/>
      <c r="H74" s="306"/>
    </row>
    <row r="75" spans="1:23" x14ac:dyDescent="0.25">
      <c r="A75" s="13"/>
      <c r="B75" s="13"/>
      <c r="C75" s="24"/>
      <c r="D75" s="24"/>
      <c r="E75" s="24"/>
      <c r="F75" s="24"/>
      <c r="G75" s="24"/>
      <c r="H75" s="306"/>
    </row>
    <row r="76" spans="1:23" x14ac:dyDescent="0.25">
      <c r="A76" s="161"/>
      <c r="B76" s="161"/>
      <c r="C76" s="162"/>
      <c r="D76" s="24"/>
      <c r="E76" s="24"/>
      <c r="F76" s="24"/>
      <c r="G76" s="24"/>
      <c r="H76" s="306"/>
    </row>
    <row r="77" spans="1:23" x14ac:dyDescent="0.25">
      <c r="A77" s="13"/>
      <c r="B77" s="13"/>
      <c r="C77" s="24"/>
      <c r="D77" s="24"/>
      <c r="E77" s="24"/>
      <c r="F77" s="24"/>
      <c r="G77" s="24"/>
      <c r="H77" s="306"/>
    </row>
    <row r="78" spans="1:23" x14ac:dyDescent="0.25">
      <c r="A78" s="13"/>
      <c r="B78" s="13"/>
      <c r="C78" s="24"/>
      <c r="D78" s="13"/>
      <c r="E78" s="13"/>
      <c r="F78" s="13"/>
      <c r="G78" s="13"/>
      <c r="H78" s="63"/>
    </row>
    <row r="79" spans="1:23" x14ac:dyDescent="0.25">
      <c r="A79" s="13"/>
      <c r="B79" s="13"/>
      <c r="C79" s="24"/>
      <c r="D79" s="13"/>
      <c r="E79" s="13"/>
      <c r="F79" s="13"/>
      <c r="G79" s="13"/>
      <c r="H79" s="63"/>
    </row>
  </sheetData>
  <mergeCells count="2">
    <mergeCell ref="C3:H3"/>
    <mergeCell ref="M3:V3"/>
  </mergeCells>
  <printOptions horizontalCentered="1"/>
  <pageMargins left="0.5" right="0.5" top="0.75" bottom="0.75" header="0.3" footer="0.3"/>
  <pageSetup scale="8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X79"/>
  <sheetViews>
    <sheetView zoomScaleNormal="100" workbookViewId="0">
      <pane xSplit="2" ySplit="5" topLeftCell="C6" activePane="bottomRight" state="frozen"/>
      <selection activeCell="E71" sqref="E71"/>
      <selection pane="topRight" activeCell="E71" sqref="E71"/>
      <selection pane="bottomLeft" activeCell="E71" sqref="E71"/>
      <selection pane="bottomRight" activeCell="E71" sqref="E71"/>
    </sheetView>
  </sheetViews>
  <sheetFormatPr defaultColWidth="9.140625" defaultRowHeight="15" x14ac:dyDescent="0.25"/>
  <cols>
    <col min="1" max="1" width="2.85546875" style="127" customWidth="1"/>
    <col min="2" max="2" width="23.42578125" style="127" customWidth="1"/>
    <col min="3" max="3" width="9.140625" style="305" customWidth="1"/>
    <col min="4" max="5" width="9.140625" style="127" customWidth="1"/>
    <col min="6" max="7" width="9.140625" style="127"/>
    <col min="8" max="8" width="9.140625" style="64"/>
    <col min="9" max="9" width="12.28515625" style="176" customWidth="1"/>
    <col min="10" max="11" width="9.140625" style="127"/>
    <col min="12" max="12" width="12.85546875" style="191" customWidth="1"/>
    <col min="13" max="14" width="9.140625" style="64"/>
    <col min="15" max="17" width="9.140625" style="127"/>
    <col min="18" max="19" width="9.140625" style="64"/>
    <col min="20" max="16384" width="9.140625" style="127"/>
  </cols>
  <sheetData>
    <row r="1" spans="1:24" s="5" customFormat="1" x14ac:dyDescent="0.25">
      <c r="A1" s="74" t="s">
        <v>288</v>
      </c>
      <c r="B1" s="143"/>
      <c r="C1" s="76"/>
      <c r="D1" s="75"/>
      <c r="E1" s="75"/>
      <c r="F1" s="75"/>
      <c r="G1" s="75"/>
      <c r="H1" s="75"/>
      <c r="I1" s="144"/>
      <c r="J1" s="75"/>
      <c r="K1" s="75"/>
      <c r="L1" s="206"/>
      <c r="M1" s="75"/>
      <c r="N1" s="75"/>
      <c r="O1" s="75"/>
      <c r="P1" s="75"/>
      <c r="Q1" s="75"/>
      <c r="R1" s="77"/>
      <c r="S1" s="77"/>
    </row>
    <row r="2" spans="1:24" s="5" customFormat="1" x14ac:dyDescent="0.25">
      <c r="A2" s="145"/>
      <c r="B2" s="146"/>
      <c r="C2" s="144"/>
      <c r="D2" s="77"/>
      <c r="E2" s="77"/>
      <c r="F2" s="77"/>
      <c r="G2" s="77"/>
      <c r="H2" s="77"/>
      <c r="I2" s="144"/>
      <c r="J2" s="77"/>
      <c r="K2" s="77"/>
      <c r="L2" s="207"/>
      <c r="M2" s="77"/>
      <c r="N2" s="77"/>
      <c r="O2" s="77"/>
      <c r="P2" s="77"/>
      <c r="Q2" s="77"/>
      <c r="R2" s="77"/>
      <c r="S2" s="77"/>
    </row>
    <row r="3" spans="1:24" s="13" customFormat="1" x14ac:dyDescent="0.25">
      <c r="A3" s="78"/>
      <c r="B3" s="123"/>
      <c r="C3" s="352" t="s">
        <v>105</v>
      </c>
      <c r="D3" s="354"/>
      <c r="E3" s="354"/>
      <c r="F3" s="354"/>
      <c r="G3" s="354"/>
      <c r="H3" s="354"/>
      <c r="I3" s="306"/>
      <c r="J3" s="306"/>
      <c r="K3" s="306"/>
      <c r="L3" s="133" t="s">
        <v>21</v>
      </c>
      <c r="M3" s="352" t="s">
        <v>106</v>
      </c>
      <c r="N3" s="355"/>
      <c r="O3" s="355"/>
      <c r="P3" s="355"/>
      <c r="Q3" s="355"/>
      <c r="R3" s="355"/>
      <c r="S3" s="355"/>
      <c r="T3" s="355"/>
      <c r="U3" s="355"/>
      <c r="V3" s="355"/>
    </row>
    <row r="4" spans="1:24" s="13" customFormat="1" x14ac:dyDescent="0.25">
      <c r="A4" s="78"/>
      <c r="B4" s="123"/>
      <c r="C4" s="79">
        <v>2004</v>
      </c>
      <c r="D4" s="80">
        <v>2005</v>
      </c>
      <c r="E4" s="80">
        <v>2006</v>
      </c>
      <c r="F4" s="80">
        <v>2007</v>
      </c>
      <c r="G4" s="80">
        <v>2008</v>
      </c>
      <c r="H4" s="80">
        <v>2009</v>
      </c>
      <c r="I4" s="80">
        <v>2010</v>
      </c>
      <c r="J4" s="80">
        <v>2011</v>
      </c>
      <c r="K4" s="80">
        <v>2012</v>
      </c>
      <c r="L4" s="136">
        <v>2013</v>
      </c>
      <c r="M4" s="80">
        <v>2014</v>
      </c>
      <c r="N4" s="81">
        <v>2015</v>
      </c>
      <c r="O4" s="80">
        <v>2016</v>
      </c>
      <c r="P4" s="80">
        <v>2017</v>
      </c>
      <c r="Q4" s="80">
        <v>2018</v>
      </c>
      <c r="R4" s="80">
        <v>2019</v>
      </c>
      <c r="S4" s="80">
        <v>2020</v>
      </c>
      <c r="T4" s="80">
        <v>2021</v>
      </c>
      <c r="U4" s="80">
        <v>2022</v>
      </c>
      <c r="V4" s="80">
        <v>2023</v>
      </c>
    </row>
    <row r="5" spans="1:24" x14ac:dyDescent="0.25">
      <c r="A5" s="82"/>
      <c r="B5" s="64"/>
      <c r="C5" s="83" t="s">
        <v>107</v>
      </c>
      <c r="D5" s="84" t="s">
        <v>108</v>
      </c>
      <c r="E5" s="84" t="s">
        <v>109</v>
      </c>
      <c r="F5" s="84" t="s">
        <v>110</v>
      </c>
      <c r="G5" s="84" t="s">
        <v>111</v>
      </c>
      <c r="H5" s="84" t="s">
        <v>112</v>
      </c>
      <c r="I5" s="84" t="s">
        <v>113</v>
      </c>
      <c r="J5" s="84" t="s">
        <v>114</v>
      </c>
      <c r="K5" s="84" t="s">
        <v>115</v>
      </c>
      <c r="L5" s="138" t="s">
        <v>116</v>
      </c>
      <c r="M5" s="84" t="s">
        <v>117</v>
      </c>
      <c r="N5" s="85" t="s">
        <v>118</v>
      </c>
      <c r="O5" s="84" t="s">
        <v>119</v>
      </c>
      <c r="P5" s="84" t="s">
        <v>120</v>
      </c>
      <c r="Q5" s="84" t="s">
        <v>121</v>
      </c>
      <c r="R5" s="84" t="s">
        <v>122</v>
      </c>
      <c r="S5" s="84" t="s">
        <v>123</v>
      </c>
      <c r="T5" s="84" t="s">
        <v>450</v>
      </c>
      <c r="U5" s="84" t="s">
        <v>451</v>
      </c>
      <c r="V5" s="84" t="s">
        <v>452</v>
      </c>
    </row>
    <row r="6" spans="1:24" x14ac:dyDescent="0.25">
      <c r="A6" s="86" t="s">
        <v>289</v>
      </c>
      <c r="B6" s="116"/>
      <c r="C6" s="100">
        <f>'SCF (name) Summary Measures'!C6-'TPM Summary Measures'!C6</f>
        <v>0</v>
      </c>
      <c r="D6" s="100">
        <f>'SCF (name) Summary Measures'!D6-'TPM Summary Measures'!D6</f>
        <v>0</v>
      </c>
      <c r="E6" s="100">
        <f>'SCF (name) Summary Measures'!E6-'TPM Summary Measures'!E6</f>
        <v>0</v>
      </c>
      <c r="F6" s="100">
        <f>'SCF (name) Summary Measures'!F6-'TPM Summary Measures'!F6</f>
        <v>0</v>
      </c>
      <c r="G6" s="100">
        <f>'SCF (name) Summary Measures'!G6-'TPM Summary Measures'!G6</f>
        <v>0</v>
      </c>
      <c r="H6" s="100">
        <f>'SCF (name) Summary Measures'!H6-'TPM Summary Measures'!H6</f>
        <v>0</v>
      </c>
      <c r="I6" s="100">
        <f>'SCF (name) Summary Measures'!I6-'TPM Summary Measures'!I6</f>
        <v>0</v>
      </c>
      <c r="J6" s="100">
        <f>'SCF (name) Summary Measures'!J6-'TPM Summary Measures'!J6</f>
        <v>0</v>
      </c>
      <c r="K6" s="100">
        <f>'SCF (name) Summary Measures'!K6-'TPM Summary Measures'!K6</f>
        <v>0</v>
      </c>
      <c r="L6" s="142">
        <f>'SCF (name) Summary Measures'!L6-'TPM Summary Measures'!L6</f>
        <v>-64.238711735626566</v>
      </c>
      <c r="M6" s="100">
        <f>'SCF (name) Summary Measures'!M6-'TPM Summary Measures'!M6</f>
        <v>-113.1427108937205</v>
      </c>
      <c r="N6" s="100">
        <f>'SCF (name) Summary Measures'!N6-'TPM Summary Measures'!N6</f>
        <v>-158.0652227216051</v>
      </c>
      <c r="O6" s="100">
        <f>'SCF (name) Summary Measures'!O6-'TPM Summary Measures'!O6</f>
        <v>-200.38089779084839</v>
      </c>
      <c r="P6" s="100">
        <f>'SCF (name) Summary Measures'!P6-'TPM Summary Measures'!P6</f>
        <v>-240.71508333171369</v>
      </c>
      <c r="Q6" s="100">
        <f>'SCF (name) Summary Measures'!Q6-'TPM Summary Measures'!Q6</f>
        <v>-279.40983731967572</v>
      </c>
      <c r="R6" s="100">
        <f>'SCF (name) Summary Measures'!R6-'TPM Summary Measures'!R6</f>
        <v>-316.68494867545087</v>
      </c>
      <c r="S6" s="100">
        <f>'SCF (name) Summary Measures'!S6-'TPM Summary Measures'!S6</f>
        <v>-352.68919664323039</v>
      </c>
      <c r="T6" s="100">
        <f>'SCF (name) Summary Measures'!T6-'TPM Summary Measures'!T6</f>
        <v>-387.52512652141741</v>
      </c>
      <c r="U6" s="100">
        <f>'SCF (name) Summary Measures'!U6-'TPM Summary Measures'!U6</f>
        <v>-421.2642255192477</v>
      </c>
      <c r="V6" s="100">
        <f>'SCF (name) Summary Measures'!V6-'TPM Summary Measures'!V6</f>
        <v>-453.95723142320639</v>
      </c>
      <c r="W6" s="116"/>
    </row>
    <row r="7" spans="1:24" s="88" customFormat="1" x14ac:dyDescent="0.25">
      <c r="A7" s="150" t="s">
        <v>290</v>
      </c>
      <c r="B7" s="64"/>
      <c r="C7" s="91">
        <f>'SCF (name) Summary Measures'!C7-'TPM Summary Measures'!C7</f>
        <v>0</v>
      </c>
      <c r="D7" s="91">
        <f>'SCF (name) Summary Measures'!D7-'TPM Summary Measures'!D7</f>
        <v>0</v>
      </c>
      <c r="E7" s="91">
        <f>'SCF (name) Summary Measures'!E7-'TPM Summary Measures'!E7</f>
        <v>0</v>
      </c>
      <c r="F7" s="91">
        <f>'SCF (name) Summary Measures'!F7-'TPM Summary Measures'!F7</f>
        <v>0</v>
      </c>
      <c r="G7" s="91">
        <f>'SCF (name) Summary Measures'!G7-'TPM Summary Measures'!G7</f>
        <v>0</v>
      </c>
      <c r="H7" s="91">
        <f>'SCF (name) Summary Measures'!H7-'TPM Summary Measures'!H7</f>
        <v>0</v>
      </c>
      <c r="I7" s="91">
        <f>'SCF (name) Summary Measures'!I7-'TPM Summary Measures'!I7</f>
        <v>0</v>
      </c>
      <c r="J7" s="91">
        <f>'SCF (name) Summary Measures'!J7-'TPM Summary Measures'!J7</f>
        <v>0</v>
      </c>
      <c r="K7" s="91">
        <f>'SCF (name) Summary Measures'!K7-'TPM Summary Measures'!K7</f>
        <v>0</v>
      </c>
      <c r="L7" s="140">
        <f>'SCF (name) Summary Measures'!L7-'TPM Summary Measures'!L7</f>
        <v>0</v>
      </c>
      <c r="M7" s="91">
        <f>'SCF (name) Summary Measures'!M7-'TPM Summary Measures'!M7</f>
        <v>0</v>
      </c>
      <c r="N7" s="91">
        <f>'SCF (name) Summary Measures'!N7-'TPM Summary Measures'!N7</f>
        <v>0</v>
      </c>
      <c r="O7" s="91">
        <f>'SCF (name) Summary Measures'!O7-'TPM Summary Measures'!O7</f>
        <v>0</v>
      </c>
      <c r="P7" s="91">
        <f>'SCF (name) Summary Measures'!P7-'TPM Summary Measures'!P7</f>
        <v>0</v>
      </c>
      <c r="Q7" s="91">
        <f>'SCF (name) Summary Measures'!Q7-'TPM Summary Measures'!Q7</f>
        <v>0</v>
      </c>
      <c r="R7" s="91">
        <f>'SCF (name) Summary Measures'!R7-'TPM Summary Measures'!R7</f>
        <v>0</v>
      </c>
      <c r="S7" s="91">
        <f>'SCF (name) Summary Measures'!S7-'TPM Summary Measures'!S7</f>
        <v>0</v>
      </c>
      <c r="T7" s="91">
        <f>'SCF (name) Summary Measures'!T7-'TPM Summary Measures'!T7</f>
        <v>0</v>
      </c>
      <c r="U7" s="91">
        <f>'SCF (name) Summary Measures'!U7-'TPM Summary Measures'!U7</f>
        <v>0</v>
      </c>
      <c r="V7" s="91">
        <f>'SCF (name) Summary Measures'!V7-'TPM Summary Measures'!V7</f>
        <v>0</v>
      </c>
      <c r="W7" s="64"/>
    </row>
    <row r="8" spans="1:24" s="64" customFormat="1" x14ac:dyDescent="0.25">
      <c r="A8" s="86"/>
      <c r="B8" s="64" t="s">
        <v>313</v>
      </c>
      <c r="C8" s="91">
        <f>'SCF (name) Summary Measures'!C8-'TPM Summary Measures'!C8</f>
        <v>0</v>
      </c>
      <c r="D8" s="91">
        <f>'SCF (name) Summary Measures'!D8-'TPM Summary Measures'!D8</f>
        <v>0</v>
      </c>
      <c r="E8" s="91">
        <f>'SCF (name) Summary Measures'!E8-'TPM Summary Measures'!E8</f>
        <v>0</v>
      </c>
      <c r="F8" s="91">
        <f>'SCF (name) Summary Measures'!F8-'TPM Summary Measures'!F8</f>
        <v>0</v>
      </c>
      <c r="G8" s="91">
        <f>'SCF (name) Summary Measures'!G8-'TPM Summary Measures'!G8</f>
        <v>0</v>
      </c>
      <c r="H8" s="91">
        <f>'SCF (name) Summary Measures'!H8-'TPM Summary Measures'!H8</f>
        <v>0</v>
      </c>
      <c r="I8" s="91">
        <f>'SCF (name) Summary Measures'!I8-'TPM Summary Measures'!I8</f>
        <v>0</v>
      </c>
      <c r="J8" s="91">
        <f>'SCF (name) Summary Measures'!J8-'TPM Summary Measures'!J8</f>
        <v>0</v>
      </c>
      <c r="K8" s="91">
        <f>'SCF (name) Summary Measures'!K8-'TPM Summary Measures'!K8</f>
        <v>0</v>
      </c>
      <c r="L8" s="140">
        <f>'SCF (name) Summary Measures'!L8-'TPM Summary Measures'!L8</f>
        <v>0</v>
      </c>
      <c r="M8" s="91">
        <f>'SCF (name) Summary Measures'!M8-'TPM Summary Measures'!M8</f>
        <v>0</v>
      </c>
      <c r="N8" s="91">
        <f>'SCF (name) Summary Measures'!N8-'TPM Summary Measures'!N8</f>
        <v>0</v>
      </c>
      <c r="O8" s="91">
        <f>'SCF (name) Summary Measures'!O8-'TPM Summary Measures'!O8</f>
        <v>0</v>
      </c>
      <c r="P8" s="91">
        <f>'SCF (name) Summary Measures'!P8-'TPM Summary Measures'!P8</f>
        <v>0</v>
      </c>
      <c r="Q8" s="91">
        <f>'SCF (name) Summary Measures'!Q8-'TPM Summary Measures'!Q8</f>
        <v>0</v>
      </c>
      <c r="R8" s="91">
        <f>'SCF (name) Summary Measures'!R8-'TPM Summary Measures'!R8</f>
        <v>0</v>
      </c>
      <c r="S8" s="91">
        <f>'SCF (name) Summary Measures'!S8-'TPM Summary Measures'!S8</f>
        <v>0</v>
      </c>
      <c r="T8" s="91">
        <f>'SCF (name) Summary Measures'!T8-'TPM Summary Measures'!T8</f>
        <v>0</v>
      </c>
      <c r="U8" s="91">
        <f>'SCF (name) Summary Measures'!U8-'TPM Summary Measures'!U8</f>
        <v>0</v>
      </c>
      <c r="V8" s="91">
        <f>'SCF (name) Summary Measures'!V8-'TPM Summary Measures'!V8</f>
        <v>0</v>
      </c>
    </row>
    <row r="9" spans="1:24" s="64" customFormat="1" x14ac:dyDescent="0.25">
      <c r="A9" s="86"/>
      <c r="B9" s="64" t="s">
        <v>314</v>
      </c>
      <c r="C9" s="91">
        <f>'SCF (name) Summary Measures'!C9-'TPM Summary Measures'!C9</f>
        <v>0</v>
      </c>
      <c r="D9" s="91">
        <f>'SCF (name) Summary Measures'!D9-'TPM Summary Measures'!D9</f>
        <v>0</v>
      </c>
      <c r="E9" s="91">
        <f>'SCF (name) Summary Measures'!E9-'TPM Summary Measures'!E9</f>
        <v>0</v>
      </c>
      <c r="F9" s="91">
        <f>'SCF (name) Summary Measures'!F9-'TPM Summary Measures'!F9</f>
        <v>0</v>
      </c>
      <c r="G9" s="91">
        <f>'SCF (name) Summary Measures'!G9-'TPM Summary Measures'!G9</f>
        <v>0</v>
      </c>
      <c r="H9" s="91">
        <f>'SCF (name) Summary Measures'!H9-'TPM Summary Measures'!H9</f>
        <v>0</v>
      </c>
      <c r="I9" s="91">
        <f>'SCF (name) Summary Measures'!I9-'TPM Summary Measures'!I9</f>
        <v>0</v>
      </c>
      <c r="J9" s="91">
        <f>'SCF (name) Summary Measures'!J9-'TPM Summary Measures'!J9</f>
        <v>0</v>
      </c>
      <c r="K9" s="91">
        <f>'SCF (name) Summary Measures'!K9-'TPM Summary Measures'!K9</f>
        <v>0</v>
      </c>
      <c r="L9" s="140">
        <f>'SCF (name) Summary Measures'!L9-'TPM Summary Measures'!L9</f>
        <v>0</v>
      </c>
      <c r="M9" s="91">
        <f>'SCF (name) Summary Measures'!M9-'TPM Summary Measures'!M9</f>
        <v>0</v>
      </c>
      <c r="N9" s="91">
        <f>'SCF (name) Summary Measures'!N9-'TPM Summary Measures'!N9</f>
        <v>0</v>
      </c>
      <c r="O9" s="91">
        <f>'SCF (name) Summary Measures'!O9-'TPM Summary Measures'!O9</f>
        <v>0</v>
      </c>
      <c r="P9" s="91">
        <f>'SCF (name) Summary Measures'!P9-'TPM Summary Measures'!P9</f>
        <v>0</v>
      </c>
      <c r="Q9" s="91">
        <f>'SCF (name) Summary Measures'!Q9-'TPM Summary Measures'!Q9</f>
        <v>0</v>
      </c>
      <c r="R9" s="91">
        <f>'SCF (name) Summary Measures'!R9-'TPM Summary Measures'!R9</f>
        <v>0</v>
      </c>
      <c r="S9" s="91">
        <f>'SCF (name) Summary Measures'!S9-'TPM Summary Measures'!S9</f>
        <v>0</v>
      </c>
      <c r="T9" s="91">
        <f>'SCF (name) Summary Measures'!T9-'TPM Summary Measures'!T9</f>
        <v>0</v>
      </c>
      <c r="U9" s="91">
        <f>'SCF (name) Summary Measures'!U9-'TPM Summary Measures'!U9</f>
        <v>0</v>
      </c>
      <c r="V9" s="91">
        <f>'SCF (name) Summary Measures'!V9-'TPM Summary Measures'!V9</f>
        <v>0</v>
      </c>
    </row>
    <row r="10" spans="1:24" s="64" customFormat="1" x14ac:dyDescent="0.25">
      <c r="A10" s="86"/>
      <c r="B10" s="64" t="s">
        <v>315</v>
      </c>
      <c r="C10" s="91">
        <f>'SCF (name) Summary Measures'!C10-'TPM Summary Measures'!C10</f>
        <v>0</v>
      </c>
      <c r="D10" s="91">
        <f>'SCF (name) Summary Measures'!D10-'TPM Summary Measures'!D10</f>
        <v>0</v>
      </c>
      <c r="E10" s="91">
        <f>'SCF (name) Summary Measures'!E10-'TPM Summary Measures'!E10</f>
        <v>0</v>
      </c>
      <c r="F10" s="91">
        <f>'SCF (name) Summary Measures'!F10-'TPM Summary Measures'!F10</f>
        <v>0</v>
      </c>
      <c r="G10" s="91">
        <f>'SCF (name) Summary Measures'!G10-'TPM Summary Measures'!G10</f>
        <v>0</v>
      </c>
      <c r="H10" s="91">
        <f>'SCF (name) Summary Measures'!H10-'TPM Summary Measures'!H10</f>
        <v>0</v>
      </c>
      <c r="I10" s="91">
        <f>'SCF (name) Summary Measures'!I10-'TPM Summary Measures'!I10</f>
        <v>0</v>
      </c>
      <c r="J10" s="91">
        <f>'SCF (name) Summary Measures'!J10-'TPM Summary Measures'!J10</f>
        <v>0</v>
      </c>
      <c r="K10" s="91">
        <f>'SCF (name) Summary Measures'!K10-'TPM Summary Measures'!K10</f>
        <v>0</v>
      </c>
      <c r="L10" s="140">
        <f>'SCF (name) Summary Measures'!L10-'TPM Summary Measures'!L10</f>
        <v>0</v>
      </c>
      <c r="M10" s="91">
        <f>'SCF (name) Summary Measures'!M10-'TPM Summary Measures'!M10</f>
        <v>0</v>
      </c>
      <c r="N10" s="91">
        <f>'SCF (name) Summary Measures'!N10-'TPM Summary Measures'!N10</f>
        <v>0</v>
      </c>
      <c r="O10" s="91">
        <f>'SCF (name) Summary Measures'!O10-'TPM Summary Measures'!O10</f>
        <v>0</v>
      </c>
      <c r="P10" s="91">
        <f>'SCF (name) Summary Measures'!P10-'TPM Summary Measures'!P10</f>
        <v>0</v>
      </c>
      <c r="Q10" s="91">
        <f>'SCF (name) Summary Measures'!Q10-'TPM Summary Measures'!Q10</f>
        <v>0</v>
      </c>
      <c r="R10" s="91">
        <f>'SCF (name) Summary Measures'!R10-'TPM Summary Measures'!R10</f>
        <v>0</v>
      </c>
      <c r="S10" s="91">
        <f>'SCF (name) Summary Measures'!S10-'TPM Summary Measures'!S10</f>
        <v>0</v>
      </c>
      <c r="T10" s="91">
        <f>'SCF (name) Summary Measures'!T10-'TPM Summary Measures'!T10</f>
        <v>0</v>
      </c>
      <c r="U10" s="91">
        <f>'SCF (name) Summary Measures'!U10-'TPM Summary Measures'!U10</f>
        <v>0</v>
      </c>
      <c r="V10" s="91">
        <f>'SCF (name) Summary Measures'!V10-'TPM Summary Measures'!V10</f>
        <v>0</v>
      </c>
    </row>
    <row r="11" spans="1:24" s="116" customFormat="1" x14ac:dyDescent="0.25">
      <c r="A11" s="151"/>
      <c r="B11" s="152" t="s">
        <v>22</v>
      </c>
      <c r="C11" s="100">
        <f>'SCF (name) Summary Measures'!C11-'TPM Summary Measures'!C11</f>
        <v>0</v>
      </c>
      <c r="D11" s="100">
        <f>'SCF (name) Summary Measures'!D11-'TPM Summary Measures'!D11</f>
        <v>0</v>
      </c>
      <c r="E11" s="100">
        <f>'SCF (name) Summary Measures'!E11-'TPM Summary Measures'!E11</f>
        <v>0</v>
      </c>
      <c r="F11" s="100">
        <f>'SCF (name) Summary Measures'!F11-'TPM Summary Measures'!F11</f>
        <v>0</v>
      </c>
      <c r="G11" s="100">
        <f>'SCF (name) Summary Measures'!G11-'TPM Summary Measures'!G11</f>
        <v>0</v>
      </c>
      <c r="H11" s="100">
        <f>'SCF (name) Summary Measures'!H11-'TPM Summary Measures'!H11</f>
        <v>0</v>
      </c>
      <c r="I11" s="100">
        <f>'SCF (name) Summary Measures'!I11-'TPM Summary Measures'!I11</f>
        <v>0</v>
      </c>
      <c r="J11" s="100">
        <f>'SCF (name) Summary Measures'!J11-'TPM Summary Measures'!J11</f>
        <v>0</v>
      </c>
      <c r="K11" s="100">
        <f>'SCF (name) Summary Measures'!K11-'TPM Summary Measures'!K11</f>
        <v>0</v>
      </c>
      <c r="L11" s="142">
        <f>'SCF (name) Summary Measures'!L11-'TPM Summary Measures'!L11</f>
        <v>0</v>
      </c>
      <c r="M11" s="100">
        <f>'SCF (name) Summary Measures'!M11-'TPM Summary Measures'!M11</f>
        <v>0</v>
      </c>
      <c r="N11" s="100">
        <f>'SCF (name) Summary Measures'!N11-'TPM Summary Measures'!N11</f>
        <v>0</v>
      </c>
      <c r="O11" s="100">
        <f>'SCF (name) Summary Measures'!O11-'TPM Summary Measures'!O11</f>
        <v>0</v>
      </c>
      <c r="P11" s="100">
        <f>'SCF (name) Summary Measures'!P11-'TPM Summary Measures'!P11</f>
        <v>0</v>
      </c>
      <c r="Q11" s="100">
        <f>'SCF (name) Summary Measures'!Q11-'TPM Summary Measures'!Q11</f>
        <v>0</v>
      </c>
      <c r="R11" s="100">
        <f>'SCF (name) Summary Measures'!R11-'TPM Summary Measures'!R11</f>
        <v>0</v>
      </c>
      <c r="S11" s="100">
        <f>'SCF (name) Summary Measures'!S11-'TPM Summary Measures'!S11</f>
        <v>0</v>
      </c>
      <c r="T11" s="100">
        <f>'SCF (name) Summary Measures'!T11-'TPM Summary Measures'!T11</f>
        <v>0</v>
      </c>
      <c r="U11" s="100">
        <f>'SCF (name) Summary Measures'!U11-'TPM Summary Measures'!U11</f>
        <v>0</v>
      </c>
      <c r="V11" s="100">
        <f>'SCF (name) Summary Measures'!V11-'TPM Summary Measures'!V11</f>
        <v>0</v>
      </c>
    </row>
    <row r="12" spans="1:24" s="88" customFormat="1" x14ac:dyDescent="0.25">
      <c r="A12" s="150" t="s">
        <v>291</v>
      </c>
      <c r="C12" s="91">
        <f>'SCF (name) Summary Measures'!C12-'TPM Summary Measures'!C12</f>
        <v>0</v>
      </c>
      <c r="D12" s="91">
        <f>'SCF (name) Summary Measures'!D12-'TPM Summary Measures'!D12</f>
        <v>0</v>
      </c>
      <c r="E12" s="91">
        <f>'SCF (name) Summary Measures'!E12-'TPM Summary Measures'!E12</f>
        <v>0</v>
      </c>
      <c r="F12" s="91">
        <f>'SCF (name) Summary Measures'!F12-'TPM Summary Measures'!F12</f>
        <v>0</v>
      </c>
      <c r="G12" s="91">
        <f>'SCF (name) Summary Measures'!G12-'TPM Summary Measures'!G12</f>
        <v>0</v>
      </c>
      <c r="H12" s="91">
        <f>'SCF (name) Summary Measures'!H12-'TPM Summary Measures'!H12</f>
        <v>0</v>
      </c>
      <c r="I12" s="91">
        <f>'SCF (name) Summary Measures'!I12-'TPM Summary Measures'!I12</f>
        <v>0</v>
      </c>
      <c r="J12" s="91">
        <f>'SCF (name) Summary Measures'!J12-'TPM Summary Measures'!J12</f>
        <v>0</v>
      </c>
      <c r="K12" s="91">
        <f>'SCF (name) Summary Measures'!K12-'TPM Summary Measures'!K12</f>
        <v>0</v>
      </c>
      <c r="L12" s="140">
        <f>'SCF (name) Summary Measures'!L12-'TPM Summary Measures'!L12</f>
        <v>0</v>
      </c>
      <c r="M12" s="91">
        <f>'SCF (name) Summary Measures'!M12-'TPM Summary Measures'!M12</f>
        <v>0</v>
      </c>
      <c r="N12" s="91">
        <f>'SCF (name) Summary Measures'!N12-'TPM Summary Measures'!N12</f>
        <v>0</v>
      </c>
      <c r="O12" s="91">
        <f>'SCF (name) Summary Measures'!O12-'TPM Summary Measures'!O12</f>
        <v>0</v>
      </c>
      <c r="P12" s="91">
        <f>'SCF (name) Summary Measures'!P12-'TPM Summary Measures'!P12</f>
        <v>0</v>
      </c>
      <c r="Q12" s="91">
        <f>'SCF (name) Summary Measures'!Q12-'TPM Summary Measures'!Q12</f>
        <v>0</v>
      </c>
      <c r="R12" s="91">
        <f>'SCF (name) Summary Measures'!R12-'TPM Summary Measures'!R12</f>
        <v>0</v>
      </c>
      <c r="S12" s="91">
        <f>'SCF (name) Summary Measures'!S12-'TPM Summary Measures'!S12</f>
        <v>0</v>
      </c>
      <c r="T12" s="91">
        <f>'SCF (name) Summary Measures'!T12-'TPM Summary Measures'!T12</f>
        <v>0</v>
      </c>
      <c r="U12" s="91">
        <f>'SCF (name) Summary Measures'!U12-'TPM Summary Measures'!U12</f>
        <v>0</v>
      </c>
      <c r="V12" s="91">
        <f>'SCF (name) Summary Measures'!V12-'TPM Summary Measures'!V12</f>
        <v>0</v>
      </c>
      <c r="W12" s="64"/>
      <c r="X12" s="64"/>
    </row>
    <row r="13" spans="1:24" s="64" customFormat="1" x14ac:dyDescent="0.25">
      <c r="A13" s="86"/>
      <c r="B13" s="64" t="s">
        <v>313</v>
      </c>
      <c r="C13" s="91">
        <f>'SCF (name) Summary Measures'!C13-'TPM Summary Measures'!C13</f>
        <v>0</v>
      </c>
      <c r="D13" s="91">
        <f>'SCF (name) Summary Measures'!D13-'TPM Summary Measures'!D13</f>
        <v>0</v>
      </c>
      <c r="E13" s="91">
        <f>'SCF (name) Summary Measures'!E13-'TPM Summary Measures'!E13</f>
        <v>0</v>
      </c>
      <c r="F13" s="91">
        <f>'SCF (name) Summary Measures'!F13-'TPM Summary Measures'!F13</f>
        <v>0</v>
      </c>
      <c r="G13" s="91">
        <f>'SCF (name) Summary Measures'!G13-'TPM Summary Measures'!G13</f>
        <v>0</v>
      </c>
      <c r="H13" s="91">
        <f>'SCF (name) Summary Measures'!H13-'TPM Summary Measures'!H13</f>
        <v>0</v>
      </c>
      <c r="I13" s="91">
        <f>'SCF (name) Summary Measures'!I13-'TPM Summary Measures'!I13</f>
        <v>0</v>
      </c>
      <c r="J13" s="91">
        <f>'SCF (name) Summary Measures'!J13-'TPM Summary Measures'!J13</f>
        <v>0</v>
      </c>
      <c r="K13" s="91">
        <f>'SCF (name) Summary Measures'!K13-'TPM Summary Measures'!K13</f>
        <v>0</v>
      </c>
      <c r="L13" s="140">
        <f>'SCF (name) Summary Measures'!L13-'TPM Summary Measures'!L13</f>
        <v>0</v>
      </c>
      <c r="M13" s="91">
        <f>'SCF (name) Summary Measures'!M13-'TPM Summary Measures'!M13</f>
        <v>0</v>
      </c>
      <c r="N13" s="91">
        <f>'SCF (name) Summary Measures'!N13-'TPM Summary Measures'!N13</f>
        <v>0</v>
      </c>
      <c r="O13" s="91">
        <f>'SCF (name) Summary Measures'!O13-'TPM Summary Measures'!O13</f>
        <v>0</v>
      </c>
      <c r="P13" s="91">
        <f>'SCF (name) Summary Measures'!P13-'TPM Summary Measures'!P13</f>
        <v>0</v>
      </c>
      <c r="Q13" s="91">
        <f>'SCF (name) Summary Measures'!Q13-'TPM Summary Measures'!Q13</f>
        <v>0</v>
      </c>
      <c r="R13" s="91">
        <f>'SCF (name) Summary Measures'!R13-'TPM Summary Measures'!R13</f>
        <v>0</v>
      </c>
      <c r="S13" s="91">
        <f>'SCF (name) Summary Measures'!S13-'TPM Summary Measures'!S13</f>
        <v>0</v>
      </c>
      <c r="T13" s="91">
        <f>'SCF (name) Summary Measures'!T13-'TPM Summary Measures'!T13</f>
        <v>0</v>
      </c>
      <c r="U13" s="91">
        <f>'SCF (name) Summary Measures'!U13-'TPM Summary Measures'!U13</f>
        <v>0</v>
      </c>
      <c r="V13" s="91">
        <f>'SCF (name) Summary Measures'!V13-'TPM Summary Measures'!V13</f>
        <v>0</v>
      </c>
    </row>
    <row r="14" spans="1:24" s="64" customFormat="1" x14ac:dyDescent="0.25">
      <c r="A14" s="86"/>
      <c r="B14" s="64" t="s">
        <v>314</v>
      </c>
      <c r="C14" s="91">
        <f>'SCF (name) Summary Measures'!C14-'TPM Summary Measures'!C14</f>
        <v>0</v>
      </c>
      <c r="D14" s="91">
        <f>'SCF (name) Summary Measures'!D14-'TPM Summary Measures'!D14</f>
        <v>0</v>
      </c>
      <c r="E14" s="91">
        <f>'SCF (name) Summary Measures'!E14-'TPM Summary Measures'!E14</f>
        <v>0</v>
      </c>
      <c r="F14" s="91">
        <f>'SCF (name) Summary Measures'!F14-'TPM Summary Measures'!F14</f>
        <v>0</v>
      </c>
      <c r="G14" s="91">
        <f>'SCF (name) Summary Measures'!G14-'TPM Summary Measures'!G14</f>
        <v>0</v>
      </c>
      <c r="H14" s="91">
        <f>'SCF (name) Summary Measures'!H14-'TPM Summary Measures'!H14</f>
        <v>0</v>
      </c>
      <c r="I14" s="91">
        <f>'SCF (name) Summary Measures'!I14-'TPM Summary Measures'!I14</f>
        <v>0</v>
      </c>
      <c r="J14" s="91">
        <f>'SCF (name) Summary Measures'!J14-'TPM Summary Measures'!J14</f>
        <v>0</v>
      </c>
      <c r="K14" s="91">
        <f>'SCF (name) Summary Measures'!K14-'TPM Summary Measures'!K14</f>
        <v>0</v>
      </c>
      <c r="L14" s="140">
        <f>'SCF (name) Summary Measures'!L14-'TPM Summary Measures'!L14</f>
        <v>0</v>
      </c>
      <c r="M14" s="91">
        <f>'SCF (name) Summary Measures'!M14-'TPM Summary Measures'!M14</f>
        <v>0</v>
      </c>
      <c r="N14" s="91">
        <f>'SCF (name) Summary Measures'!N14-'TPM Summary Measures'!N14</f>
        <v>0</v>
      </c>
      <c r="O14" s="91">
        <f>'SCF (name) Summary Measures'!O14-'TPM Summary Measures'!O14</f>
        <v>0</v>
      </c>
      <c r="P14" s="91">
        <f>'SCF (name) Summary Measures'!P14-'TPM Summary Measures'!P14</f>
        <v>0</v>
      </c>
      <c r="Q14" s="91">
        <f>'SCF (name) Summary Measures'!Q14-'TPM Summary Measures'!Q14</f>
        <v>0</v>
      </c>
      <c r="R14" s="91">
        <f>'SCF (name) Summary Measures'!R14-'TPM Summary Measures'!R14</f>
        <v>0</v>
      </c>
      <c r="S14" s="91">
        <f>'SCF (name) Summary Measures'!S14-'TPM Summary Measures'!S14</f>
        <v>0</v>
      </c>
      <c r="T14" s="91">
        <f>'SCF (name) Summary Measures'!T14-'TPM Summary Measures'!T14</f>
        <v>0</v>
      </c>
      <c r="U14" s="91">
        <f>'SCF (name) Summary Measures'!U14-'TPM Summary Measures'!U14</f>
        <v>0</v>
      </c>
      <c r="V14" s="91">
        <f>'SCF (name) Summary Measures'!V14-'TPM Summary Measures'!V14</f>
        <v>0</v>
      </c>
    </row>
    <row r="15" spans="1:24" s="64" customFormat="1" x14ac:dyDescent="0.25">
      <c r="A15" s="86"/>
      <c r="B15" s="64" t="s">
        <v>315</v>
      </c>
      <c r="C15" s="91">
        <f>'SCF (name) Summary Measures'!C15-'TPM Summary Measures'!C15</f>
        <v>0</v>
      </c>
      <c r="D15" s="91">
        <f>'SCF (name) Summary Measures'!D15-'TPM Summary Measures'!D15</f>
        <v>0</v>
      </c>
      <c r="E15" s="91">
        <f>'SCF (name) Summary Measures'!E15-'TPM Summary Measures'!E15</f>
        <v>0</v>
      </c>
      <c r="F15" s="91">
        <f>'SCF (name) Summary Measures'!F15-'TPM Summary Measures'!F15</f>
        <v>0</v>
      </c>
      <c r="G15" s="91">
        <f>'SCF (name) Summary Measures'!G15-'TPM Summary Measures'!G15</f>
        <v>0</v>
      </c>
      <c r="H15" s="91">
        <f>'SCF (name) Summary Measures'!H15-'TPM Summary Measures'!H15</f>
        <v>0</v>
      </c>
      <c r="I15" s="91">
        <f>'SCF (name) Summary Measures'!I15-'TPM Summary Measures'!I15</f>
        <v>0</v>
      </c>
      <c r="J15" s="91">
        <f>'SCF (name) Summary Measures'!J15-'TPM Summary Measures'!J15</f>
        <v>0</v>
      </c>
      <c r="K15" s="91">
        <f>'SCF (name) Summary Measures'!K15-'TPM Summary Measures'!K15</f>
        <v>0</v>
      </c>
      <c r="L15" s="140">
        <f>'SCF (name) Summary Measures'!L15-'TPM Summary Measures'!L15</f>
        <v>0</v>
      </c>
      <c r="M15" s="91">
        <f>'SCF (name) Summary Measures'!M15-'TPM Summary Measures'!M15</f>
        <v>0</v>
      </c>
      <c r="N15" s="91">
        <f>'SCF (name) Summary Measures'!N15-'TPM Summary Measures'!N15</f>
        <v>0</v>
      </c>
      <c r="O15" s="91">
        <f>'SCF (name) Summary Measures'!O15-'TPM Summary Measures'!O15</f>
        <v>0</v>
      </c>
      <c r="P15" s="91">
        <f>'SCF (name) Summary Measures'!P15-'TPM Summary Measures'!P15</f>
        <v>0</v>
      </c>
      <c r="Q15" s="91">
        <f>'SCF (name) Summary Measures'!Q15-'TPM Summary Measures'!Q15</f>
        <v>0</v>
      </c>
      <c r="R15" s="91">
        <f>'SCF (name) Summary Measures'!R15-'TPM Summary Measures'!R15</f>
        <v>0</v>
      </c>
      <c r="S15" s="91">
        <f>'SCF (name) Summary Measures'!S15-'TPM Summary Measures'!S15</f>
        <v>0</v>
      </c>
      <c r="T15" s="91">
        <f>'SCF (name) Summary Measures'!T15-'TPM Summary Measures'!T15</f>
        <v>0</v>
      </c>
      <c r="U15" s="91">
        <f>'SCF (name) Summary Measures'!U15-'TPM Summary Measures'!U15</f>
        <v>0</v>
      </c>
      <c r="V15" s="91">
        <f>'SCF (name) Summary Measures'!V15-'TPM Summary Measures'!V15</f>
        <v>0</v>
      </c>
    </row>
    <row r="16" spans="1:24" s="116" customFormat="1" x14ac:dyDescent="0.25">
      <c r="A16" s="151"/>
      <c r="B16" s="152" t="s">
        <v>22</v>
      </c>
      <c r="C16" s="100">
        <f>'SCF (name) Summary Measures'!C16-'TPM Summary Measures'!C16</f>
        <v>0</v>
      </c>
      <c r="D16" s="100">
        <f>'SCF (name) Summary Measures'!D16-'TPM Summary Measures'!D16</f>
        <v>0</v>
      </c>
      <c r="E16" s="100">
        <f>'SCF (name) Summary Measures'!E16-'TPM Summary Measures'!E16</f>
        <v>0</v>
      </c>
      <c r="F16" s="100">
        <f>'SCF (name) Summary Measures'!F16-'TPM Summary Measures'!F16</f>
        <v>0</v>
      </c>
      <c r="G16" s="100">
        <f>'SCF (name) Summary Measures'!G16-'TPM Summary Measures'!G16</f>
        <v>0</v>
      </c>
      <c r="H16" s="100">
        <f>'SCF (name) Summary Measures'!H16-'TPM Summary Measures'!H16</f>
        <v>0</v>
      </c>
      <c r="I16" s="100">
        <f>'SCF (name) Summary Measures'!I16-'TPM Summary Measures'!I16</f>
        <v>0</v>
      </c>
      <c r="J16" s="100">
        <f>'SCF (name) Summary Measures'!J16-'TPM Summary Measures'!J16</f>
        <v>0</v>
      </c>
      <c r="K16" s="100">
        <f>'SCF (name) Summary Measures'!K16-'TPM Summary Measures'!K16</f>
        <v>0</v>
      </c>
      <c r="L16" s="142">
        <f>'SCF (name) Summary Measures'!L16-'TPM Summary Measures'!L16</f>
        <v>0</v>
      </c>
      <c r="M16" s="100">
        <f>'SCF (name) Summary Measures'!M16-'TPM Summary Measures'!M16</f>
        <v>0</v>
      </c>
      <c r="N16" s="100">
        <f>'SCF (name) Summary Measures'!N16-'TPM Summary Measures'!N16</f>
        <v>0</v>
      </c>
      <c r="O16" s="100">
        <f>'SCF (name) Summary Measures'!O16-'TPM Summary Measures'!O16</f>
        <v>0</v>
      </c>
      <c r="P16" s="100">
        <f>'SCF (name) Summary Measures'!P16-'TPM Summary Measures'!P16</f>
        <v>0</v>
      </c>
      <c r="Q16" s="100">
        <f>'SCF (name) Summary Measures'!Q16-'TPM Summary Measures'!Q16</f>
        <v>0</v>
      </c>
      <c r="R16" s="100">
        <f>'SCF (name) Summary Measures'!R16-'TPM Summary Measures'!R16</f>
        <v>0</v>
      </c>
      <c r="S16" s="100">
        <f>'SCF (name) Summary Measures'!S16-'TPM Summary Measures'!S16</f>
        <v>0</v>
      </c>
      <c r="T16" s="100">
        <f>'SCF (name) Summary Measures'!T16-'TPM Summary Measures'!T16</f>
        <v>0</v>
      </c>
      <c r="U16" s="100">
        <f>'SCF (name) Summary Measures'!U16-'TPM Summary Measures'!U16</f>
        <v>0</v>
      </c>
      <c r="V16" s="100">
        <f>'SCF (name) Summary Measures'!V16-'TPM Summary Measures'!V16</f>
        <v>0</v>
      </c>
    </row>
    <row r="17" spans="1:24" s="88" customFormat="1" x14ac:dyDescent="0.25">
      <c r="A17" s="150" t="s">
        <v>25</v>
      </c>
      <c r="B17" s="64"/>
      <c r="C17" s="91">
        <f>'SCF (name) Summary Measures'!C17-'TPM Summary Measures'!C17</f>
        <v>0</v>
      </c>
      <c r="D17" s="91">
        <f>'SCF (name) Summary Measures'!D17-'TPM Summary Measures'!D17</f>
        <v>0</v>
      </c>
      <c r="E17" s="91">
        <f>'SCF (name) Summary Measures'!E17-'TPM Summary Measures'!E17</f>
        <v>0</v>
      </c>
      <c r="F17" s="91">
        <f>'SCF (name) Summary Measures'!F17-'TPM Summary Measures'!F17</f>
        <v>0</v>
      </c>
      <c r="G17" s="91">
        <f>'SCF (name) Summary Measures'!G17-'TPM Summary Measures'!G17</f>
        <v>0</v>
      </c>
      <c r="H17" s="91">
        <f>'SCF (name) Summary Measures'!H17-'TPM Summary Measures'!H17</f>
        <v>0</v>
      </c>
      <c r="I17" s="91">
        <f>'SCF (name) Summary Measures'!I17-'TPM Summary Measures'!I17</f>
        <v>0</v>
      </c>
      <c r="J17" s="91">
        <f>'SCF (name) Summary Measures'!J17-'TPM Summary Measures'!J17</f>
        <v>0</v>
      </c>
      <c r="K17" s="91">
        <f>'SCF (name) Summary Measures'!K17-'TPM Summary Measures'!K17</f>
        <v>0</v>
      </c>
      <c r="L17" s="140">
        <f>'SCF (name) Summary Measures'!L17-'TPM Summary Measures'!L17</f>
        <v>0</v>
      </c>
      <c r="M17" s="91">
        <f>'SCF (name) Summary Measures'!M17-'TPM Summary Measures'!M17</f>
        <v>0</v>
      </c>
      <c r="N17" s="91">
        <f>'SCF (name) Summary Measures'!N17-'TPM Summary Measures'!N17</f>
        <v>0</v>
      </c>
      <c r="O17" s="91">
        <f>'SCF (name) Summary Measures'!O17-'TPM Summary Measures'!O17</f>
        <v>0</v>
      </c>
      <c r="P17" s="91">
        <f>'SCF (name) Summary Measures'!P17-'TPM Summary Measures'!P17</f>
        <v>0</v>
      </c>
      <c r="Q17" s="91">
        <f>'SCF (name) Summary Measures'!Q17-'TPM Summary Measures'!Q17</f>
        <v>0</v>
      </c>
      <c r="R17" s="91">
        <f>'SCF (name) Summary Measures'!R17-'TPM Summary Measures'!R17</f>
        <v>0</v>
      </c>
      <c r="S17" s="91">
        <f>'SCF (name) Summary Measures'!S17-'TPM Summary Measures'!S17</f>
        <v>0</v>
      </c>
      <c r="T17" s="91">
        <f>'SCF (name) Summary Measures'!T17-'TPM Summary Measures'!T17</f>
        <v>0</v>
      </c>
      <c r="U17" s="91">
        <f>'SCF (name) Summary Measures'!U17-'TPM Summary Measures'!U17</f>
        <v>0</v>
      </c>
      <c r="V17" s="91">
        <f>'SCF (name) Summary Measures'!V17-'TPM Summary Measures'!V17</f>
        <v>0</v>
      </c>
      <c r="W17" s="64"/>
      <c r="X17" s="64"/>
    </row>
    <row r="18" spans="1:24" s="64" customFormat="1" x14ac:dyDescent="0.25">
      <c r="A18" s="86"/>
      <c r="B18" s="64" t="s">
        <v>292</v>
      </c>
      <c r="C18" s="91">
        <f>'SCF (name) Summary Measures'!C18-'TPM Summary Measures'!C18</f>
        <v>0</v>
      </c>
      <c r="D18" s="91">
        <f>'SCF (name) Summary Measures'!D18-'TPM Summary Measures'!D18</f>
        <v>0</v>
      </c>
      <c r="E18" s="91">
        <f>'SCF (name) Summary Measures'!E18-'TPM Summary Measures'!E18</f>
        <v>0</v>
      </c>
      <c r="F18" s="91">
        <f>'SCF (name) Summary Measures'!F18-'TPM Summary Measures'!F18</f>
        <v>0</v>
      </c>
      <c r="G18" s="91">
        <f>'SCF (name) Summary Measures'!G18-'TPM Summary Measures'!G18</f>
        <v>0</v>
      </c>
      <c r="H18" s="91">
        <f>'SCF (name) Summary Measures'!H18-'TPM Summary Measures'!H18</f>
        <v>0</v>
      </c>
      <c r="I18" s="91">
        <f>'SCF (name) Summary Measures'!I18-'TPM Summary Measures'!I18</f>
        <v>0</v>
      </c>
      <c r="J18" s="91">
        <f>'SCF (name) Summary Measures'!J18-'TPM Summary Measures'!J18</f>
        <v>0</v>
      </c>
      <c r="K18" s="91">
        <f>'SCF (name) Summary Measures'!K18-'TPM Summary Measures'!K18</f>
        <v>0</v>
      </c>
      <c r="L18" s="140">
        <f>'SCF (name) Summary Measures'!L18-'TPM Summary Measures'!L18</f>
        <v>0</v>
      </c>
      <c r="M18" s="91">
        <f>'SCF (name) Summary Measures'!M18-'TPM Summary Measures'!M18</f>
        <v>0</v>
      </c>
      <c r="N18" s="91">
        <f>'SCF (name) Summary Measures'!N18-'TPM Summary Measures'!N18</f>
        <v>0</v>
      </c>
      <c r="O18" s="91">
        <f>'SCF (name) Summary Measures'!O18-'TPM Summary Measures'!O18</f>
        <v>0</v>
      </c>
      <c r="P18" s="91">
        <f>'SCF (name) Summary Measures'!P18-'TPM Summary Measures'!P18</f>
        <v>0</v>
      </c>
      <c r="Q18" s="91">
        <f>'SCF (name) Summary Measures'!Q18-'TPM Summary Measures'!Q18</f>
        <v>0</v>
      </c>
      <c r="R18" s="91">
        <f>'SCF (name) Summary Measures'!R18-'TPM Summary Measures'!R18</f>
        <v>0</v>
      </c>
      <c r="S18" s="91">
        <f>'SCF (name) Summary Measures'!S18-'TPM Summary Measures'!S18</f>
        <v>0</v>
      </c>
      <c r="T18" s="91">
        <f>'SCF (name) Summary Measures'!T18-'TPM Summary Measures'!T18</f>
        <v>0</v>
      </c>
      <c r="U18" s="91">
        <f>'SCF (name) Summary Measures'!U18-'TPM Summary Measures'!U18</f>
        <v>0</v>
      </c>
      <c r="V18" s="91">
        <f>'SCF (name) Summary Measures'!V18-'TPM Summary Measures'!V18</f>
        <v>0</v>
      </c>
    </row>
    <row r="19" spans="1:24" s="64" customFormat="1" x14ac:dyDescent="0.25">
      <c r="A19" s="86"/>
      <c r="B19" s="64" t="s">
        <v>141</v>
      </c>
      <c r="C19" s="91">
        <f>'SCF (name) Summary Measures'!C19-'TPM Summary Measures'!C19</f>
        <v>0</v>
      </c>
      <c r="D19" s="91">
        <f>'SCF (name) Summary Measures'!D19-'TPM Summary Measures'!D19</f>
        <v>0</v>
      </c>
      <c r="E19" s="91">
        <f>'SCF (name) Summary Measures'!E19-'TPM Summary Measures'!E19</f>
        <v>0</v>
      </c>
      <c r="F19" s="91">
        <f>'SCF (name) Summary Measures'!F19-'TPM Summary Measures'!F19</f>
        <v>0</v>
      </c>
      <c r="G19" s="91">
        <f>'SCF (name) Summary Measures'!G19-'TPM Summary Measures'!G19</f>
        <v>0</v>
      </c>
      <c r="H19" s="91">
        <f>'SCF (name) Summary Measures'!H19-'TPM Summary Measures'!H19</f>
        <v>0</v>
      </c>
      <c r="I19" s="91">
        <f>'SCF (name) Summary Measures'!I19-'TPM Summary Measures'!I19</f>
        <v>0</v>
      </c>
      <c r="J19" s="91">
        <f>'SCF (name) Summary Measures'!J19-'TPM Summary Measures'!J19</f>
        <v>0</v>
      </c>
      <c r="K19" s="91">
        <f>'SCF (name) Summary Measures'!K19-'TPM Summary Measures'!K19</f>
        <v>0</v>
      </c>
      <c r="L19" s="140">
        <f>'SCF (name) Summary Measures'!L19-'TPM Summary Measures'!L19</f>
        <v>0</v>
      </c>
      <c r="M19" s="91">
        <f>'SCF (name) Summary Measures'!M19-'TPM Summary Measures'!M19</f>
        <v>0</v>
      </c>
      <c r="N19" s="91">
        <f>'SCF (name) Summary Measures'!N19-'TPM Summary Measures'!N19</f>
        <v>0</v>
      </c>
      <c r="O19" s="91">
        <f>'SCF (name) Summary Measures'!O19-'TPM Summary Measures'!O19</f>
        <v>0</v>
      </c>
      <c r="P19" s="91">
        <f>'SCF (name) Summary Measures'!P19-'TPM Summary Measures'!P19</f>
        <v>0</v>
      </c>
      <c r="Q19" s="91">
        <f>'SCF (name) Summary Measures'!Q19-'TPM Summary Measures'!Q19</f>
        <v>0</v>
      </c>
      <c r="R19" s="91">
        <f>'SCF (name) Summary Measures'!R19-'TPM Summary Measures'!R19</f>
        <v>0</v>
      </c>
      <c r="S19" s="91">
        <f>'SCF (name) Summary Measures'!S19-'TPM Summary Measures'!S19</f>
        <v>0</v>
      </c>
      <c r="T19" s="91">
        <f>'SCF (name) Summary Measures'!T19-'TPM Summary Measures'!T19</f>
        <v>0</v>
      </c>
      <c r="U19" s="91">
        <f>'SCF (name) Summary Measures'!U19-'TPM Summary Measures'!U19</f>
        <v>0</v>
      </c>
      <c r="V19" s="91">
        <f>'SCF (name) Summary Measures'!V19-'TPM Summary Measures'!V19</f>
        <v>0</v>
      </c>
    </row>
    <row r="20" spans="1:24" s="64" customFormat="1" x14ac:dyDescent="0.25">
      <c r="A20" s="86"/>
      <c r="B20" s="64" t="s">
        <v>142</v>
      </c>
      <c r="C20" s="91">
        <f>'SCF (name) Summary Measures'!C20-'TPM Summary Measures'!C20</f>
        <v>0</v>
      </c>
      <c r="D20" s="91">
        <f>'SCF (name) Summary Measures'!D20-'TPM Summary Measures'!D20</f>
        <v>0</v>
      </c>
      <c r="E20" s="91">
        <f>'SCF (name) Summary Measures'!E20-'TPM Summary Measures'!E20</f>
        <v>0</v>
      </c>
      <c r="F20" s="91">
        <f>'SCF (name) Summary Measures'!F20-'TPM Summary Measures'!F20</f>
        <v>0</v>
      </c>
      <c r="G20" s="91">
        <f>'SCF (name) Summary Measures'!G20-'TPM Summary Measures'!G20</f>
        <v>0</v>
      </c>
      <c r="H20" s="91">
        <f>'SCF (name) Summary Measures'!H20-'TPM Summary Measures'!H20</f>
        <v>0</v>
      </c>
      <c r="I20" s="91">
        <f>'SCF (name) Summary Measures'!I20-'TPM Summary Measures'!I20</f>
        <v>0</v>
      </c>
      <c r="J20" s="91">
        <f>'SCF (name) Summary Measures'!J20-'TPM Summary Measures'!J20</f>
        <v>0</v>
      </c>
      <c r="K20" s="91">
        <f>'SCF (name) Summary Measures'!K20-'TPM Summary Measures'!K20</f>
        <v>0</v>
      </c>
      <c r="L20" s="140">
        <f>'SCF (name) Summary Measures'!L20-'TPM Summary Measures'!L20</f>
        <v>0</v>
      </c>
      <c r="M20" s="91">
        <f>'SCF (name) Summary Measures'!M20-'TPM Summary Measures'!M20</f>
        <v>0</v>
      </c>
      <c r="N20" s="91">
        <f>'SCF (name) Summary Measures'!N20-'TPM Summary Measures'!N20</f>
        <v>0</v>
      </c>
      <c r="O20" s="91">
        <f>'SCF (name) Summary Measures'!O20-'TPM Summary Measures'!O20</f>
        <v>0</v>
      </c>
      <c r="P20" s="91">
        <f>'SCF (name) Summary Measures'!P20-'TPM Summary Measures'!P20</f>
        <v>0</v>
      </c>
      <c r="Q20" s="91">
        <f>'SCF (name) Summary Measures'!Q20-'TPM Summary Measures'!Q20</f>
        <v>0</v>
      </c>
      <c r="R20" s="91">
        <f>'SCF (name) Summary Measures'!R20-'TPM Summary Measures'!R20</f>
        <v>0</v>
      </c>
      <c r="S20" s="91">
        <f>'SCF (name) Summary Measures'!S20-'TPM Summary Measures'!S20</f>
        <v>0</v>
      </c>
      <c r="T20" s="91">
        <f>'SCF (name) Summary Measures'!T20-'TPM Summary Measures'!T20</f>
        <v>0</v>
      </c>
      <c r="U20" s="91">
        <f>'SCF (name) Summary Measures'!U20-'TPM Summary Measures'!U20</f>
        <v>0</v>
      </c>
      <c r="V20" s="91">
        <f>'SCF (name) Summary Measures'!V20-'TPM Summary Measures'!V20</f>
        <v>0</v>
      </c>
    </row>
    <row r="21" spans="1:24" s="64" customFormat="1" x14ac:dyDescent="0.25">
      <c r="A21" s="86"/>
      <c r="B21" s="63" t="s">
        <v>293</v>
      </c>
      <c r="C21" s="91">
        <f>'SCF (name) Summary Measures'!C21-'TPM Summary Measures'!C21</f>
        <v>0</v>
      </c>
      <c r="D21" s="91">
        <f>'SCF (name) Summary Measures'!D21-'TPM Summary Measures'!D21</f>
        <v>0</v>
      </c>
      <c r="E21" s="91">
        <f>'SCF (name) Summary Measures'!E21-'TPM Summary Measures'!E21</f>
        <v>0</v>
      </c>
      <c r="F21" s="91">
        <f>'SCF (name) Summary Measures'!F21-'TPM Summary Measures'!F21</f>
        <v>0</v>
      </c>
      <c r="G21" s="91">
        <f>'SCF (name) Summary Measures'!G21-'TPM Summary Measures'!G21</f>
        <v>0</v>
      </c>
      <c r="H21" s="91">
        <f>'SCF (name) Summary Measures'!H21-'TPM Summary Measures'!H21</f>
        <v>0</v>
      </c>
      <c r="I21" s="91">
        <f>'SCF (name) Summary Measures'!I21-'TPM Summary Measures'!I21</f>
        <v>0</v>
      </c>
      <c r="J21" s="91">
        <f>'SCF (name) Summary Measures'!J21-'TPM Summary Measures'!J21</f>
        <v>0</v>
      </c>
      <c r="K21" s="91">
        <f>'SCF (name) Summary Measures'!K21-'TPM Summary Measures'!K21</f>
        <v>0</v>
      </c>
      <c r="L21" s="140">
        <f>'SCF (name) Summary Measures'!L21-'TPM Summary Measures'!L21</f>
        <v>0</v>
      </c>
      <c r="M21" s="91">
        <f>'SCF (name) Summary Measures'!M21-'TPM Summary Measures'!M21</f>
        <v>0</v>
      </c>
      <c r="N21" s="91">
        <f>'SCF (name) Summary Measures'!N21-'TPM Summary Measures'!N21</f>
        <v>0</v>
      </c>
      <c r="O21" s="91">
        <f>'SCF (name) Summary Measures'!O21-'TPM Summary Measures'!O21</f>
        <v>0</v>
      </c>
      <c r="P21" s="91">
        <f>'SCF (name) Summary Measures'!P21-'TPM Summary Measures'!P21</f>
        <v>0</v>
      </c>
      <c r="Q21" s="91">
        <f>'SCF (name) Summary Measures'!Q21-'TPM Summary Measures'!Q21</f>
        <v>0</v>
      </c>
      <c r="R21" s="91">
        <f>'SCF (name) Summary Measures'!R21-'TPM Summary Measures'!R21</f>
        <v>0</v>
      </c>
      <c r="S21" s="91">
        <f>'SCF (name) Summary Measures'!S21-'TPM Summary Measures'!S21</f>
        <v>0</v>
      </c>
      <c r="T21" s="91">
        <f>'SCF (name) Summary Measures'!T21-'TPM Summary Measures'!T21</f>
        <v>0</v>
      </c>
      <c r="U21" s="91">
        <f>'SCF (name) Summary Measures'!U21-'TPM Summary Measures'!U21</f>
        <v>0</v>
      </c>
      <c r="V21" s="91">
        <f>'SCF (name) Summary Measures'!V21-'TPM Summary Measures'!V21</f>
        <v>0</v>
      </c>
    </row>
    <row r="22" spans="1:24" s="64" customFormat="1" x14ac:dyDescent="0.25">
      <c r="A22" s="86"/>
      <c r="B22" s="64" t="s">
        <v>294</v>
      </c>
      <c r="C22" s="91">
        <f>'SCF (name) Summary Measures'!C22-'TPM Summary Measures'!C22</f>
        <v>0</v>
      </c>
      <c r="D22" s="91">
        <f>'SCF (name) Summary Measures'!D22-'TPM Summary Measures'!D22</f>
        <v>0</v>
      </c>
      <c r="E22" s="91">
        <f>'SCF (name) Summary Measures'!E22-'TPM Summary Measures'!E22</f>
        <v>0</v>
      </c>
      <c r="F22" s="91">
        <f>'SCF (name) Summary Measures'!F22-'TPM Summary Measures'!F22</f>
        <v>0</v>
      </c>
      <c r="G22" s="91">
        <f>'SCF (name) Summary Measures'!G22-'TPM Summary Measures'!G22</f>
        <v>0</v>
      </c>
      <c r="H22" s="91">
        <f>'SCF (name) Summary Measures'!H22-'TPM Summary Measures'!H22</f>
        <v>0</v>
      </c>
      <c r="I22" s="91">
        <f>'SCF (name) Summary Measures'!I22-'TPM Summary Measures'!I22</f>
        <v>0</v>
      </c>
      <c r="J22" s="91">
        <f>'SCF (name) Summary Measures'!J22-'TPM Summary Measures'!J22</f>
        <v>0</v>
      </c>
      <c r="K22" s="91">
        <f>'SCF (name) Summary Measures'!K22-'TPM Summary Measures'!K22</f>
        <v>0</v>
      </c>
      <c r="L22" s="140">
        <f>'SCF (name) Summary Measures'!L22-'TPM Summary Measures'!L22</f>
        <v>0</v>
      </c>
      <c r="M22" s="91">
        <f>'SCF (name) Summary Measures'!M22-'TPM Summary Measures'!M22</f>
        <v>0</v>
      </c>
      <c r="N22" s="91">
        <f>'SCF (name) Summary Measures'!N22-'TPM Summary Measures'!N22</f>
        <v>0</v>
      </c>
      <c r="O22" s="91">
        <f>'SCF (name) Summary Measures'!O22-'TPM Summary Measures'!O22</f>
        <v>0</v>
      </c>
      <c r="P22" s="91">
        <f>'SCF (name) Summary Measures'!P22-'TPM Summary Measures'!P22</f>
        <v>0</v>
      </c>
      <c r="Q22" s="91">
        <f>'SCF (name) Summary Measures'!Q22-'TPM Summary Measures'!Q22</f>
        <v>0</v>
      </c>
      <c r="R22" s="91">
        <f>'SCF (name) Summary Measures'!R22-'TPM Summary Measures'!R22</f>
        <v>0</v>
      </c>
      <c r="S22" s="91">
        <f>'SCF (name) Summary Measures'!S22-'TPM Summary Measures'!S22</f>
        <v>0</v>
      </c>
      <c r="T22" s="91">
        <f>'SCF (name) Summary Measures'!T22-'TPM Summary Measures'!T22</f>
        <v>0</v>
      </c>
      <c r="U22" s="91">
        <f>'SCF (name) Summary Measures'!U22-'TPM Summary Measures'!U22</f>
        <v>0</v>
      </c>
      <c r="V22" s="91">
        <f>'SCF (name) Summary Measures'!V22-'TPM Summary Measures'!V22</f>
        <v>0</v>
      </c>
    </row>
    <row r="23" spans="1:24" s="64" customFormat="1" x14ac:dyDescent="0.25">
      <c r="A23" s="86"/>
      <c r="B23" s="64" t="s">
        <v>141</v>
      </c>
      <c r="C23" s="91">
        <f>'SCF (name) Summary Measures'!C23-'TPM Summary Measures'!C23</f>
        <v>0</v>
      </c>
      <c r="D23" s="91">
        <f>'SCF (name) Summary Measures'!D23-'TPM Summary Measures'!D23</f>
        <v>0</v>
      </c>
      <c r="E23" s="91">
        <f>'SCF (name) Summary Measures'!E23-'TPM Summary Measures'!E23</f>
        <v>0</v>
      </c>
      <c r="F23" s="91">
        <f>'SCF (name) Summary Measures'!F23-'TPM Summary Measures'!F23</f>
        <v>0</v>
      </c>
      <c r="G23" s="91">
        <f>'SCF (name) Summary Measures'!G23-'TPM Summary Measures'!G23</f>
        <v>0</v>
      </c>
      <c r="H23" s="91">
        <f>'SCF (name) Summary Measures'!H23-'TPM Summary Measures'!H23</f>
        <v>0</v>
      </c>
      <c r="I23" s="91">
        <f>'SCF (name) Summary Measures'!I23-'TPM Summary Measures'!I23</f>
        <v>0</v>
      </c>
      <c r="J23" s="91">
        <f>'SCF (name) Summary Measures'!J23-'TPM Summary Measures'!J23</f>
        <v>0</v>
      </c>
      <c r="K23" s="91">
        <f>'SCF (name) Summary Measures'!K23-'TPM Summary Measures'!K23</f>
        <v>0</v>
      </c>
      <c r="L23" s="140">
        <f>'SCF (name) Summary Measures'!L23-'TPM Summary Measures'!L23</f>
        <v>-64.238711735630204</v>
      </c>
      <c r="M23" s="91">
        <f>'SCF (name) Summary Measures'!M23-'TPM Summary Measures'!M23</f>
        <v>-111.10600321432139</v>
      </c>
      <c r="N23" s="91">
        <f>'SCF (name) Summary Measures'!N23-'TPM Summary Measures'!N23</f>
        <v>-153.2634135060398</v>
      </c>
      <c r="O23" s="91">
        <f>'SCF (name) Summary Measures'!O23-'TPM Summary Measures'!O23</f>
        <v>-191.66706233284276</v>
      </c>
      <c r="P23" s="91">
        <f>'SCF (name) Summary Measures'!P23-'TPM Summary Measures'!P23</f>
        <v>-227.15518905399585</v>
      </c>
      <c r="Q23" s="91">
        <f>'SCF (name) Summary Measures'!Q23-'TPM Summary Measures'!Q23</f>
        <v>-260.28498638220844</v>
      </c>
      <c r="R23" s="91">
        <f>'SCF (name) Summary Measures'!R23-'TPM Summary Measures'!R23</f>
        <v>-291.45049859976643</v>
      </c>
      <c r="S23" s="91">
        <f>'SCF (name) Summary Measures'!S23-'TPM Summary Measures'!S23</f>
        <v>-320.93826751748202</v>
      </c>
      <c r="T23" s="91">
        <f>'SCF (name) Summary Measures'!T23-'TPM Summary Measures'!T23</f>
        <v>-348.96054675916093</v>
      </c>
      <c r="U23" s="91">
        <f>'SCF (name) Summary Measures'!U23-'TPM Summary Measures'!U23</f>
        <v>-375.67705291666061</v>
      </c>
      <c r="V23" s="91">
        <f>'SCF (name) Summary Measures'!V23-'TPM Summary Measures'!V23</f>
        <v>-401.21007469588221</v>
      </c>
    </row>
    <row r="24" spans="1:24" s="64" customFormat="1" x14ac:dyDescent="0.25">
      <c r="A24" s="86"/>
      <c r="B24" s="64" t="s">
        <v>142</v>
      </c>
      <c r="C24" s="91">
        <f>'SCF (name) Summary Measures'!C24-'TPM Summary Measures'!C24</f>
        <v>0</v>
      </c>
      <c r="D24" s="91">
        <f>'SCF (name) Summary Measures'!D24-'TPM Summary Measures'!D24</f>
        <v>0</v>
      </c>
      <c r="E24" s="91">
        <f>'SCF (name) Summary Measures'!E24-'TPM Summary Measures'!E24</f>
        <v>0</v>
      </c>
      <c r="F24" s="91">
        <f>'SCF (name) Summary Measures'!F24-'TPM Summary Measures'!F24</f>
        <v>0</v>
      </c>
      <c r="G24" s="91">
        <f>'SCF (name) Summary Measures'!G24-'TPM Summary Measures'!G24</f>
        <v>0</v>
      </c>
      <c r="H24" s="91">
        <f>'SCF (name) Summary Measures'!H24-'TPM Summary Measures'!H24</f>
        <v>0</v>
      </c>
      <c r="I24" s="91">
        <f>'SCF (name) Summary Measures'!I24-'TPM Summary Measures'!I24</f>
        <v>0</v>
      </c>
      <c r="J24" s="91">
        <f>'SCF (name) Summary Measures'!J24-'TPM Summary Measures'!J24</f>
        <v>0</v>
      </c>
      <c r="K24" s="91">
        <f>'SCF (name) Summary Measures'!K24-'TPM Summary Measures'!K24</f>
        <v>0</v>
      </c>
      <c r="L24" s="140">
        <f>'SCF (name) Summary Measures'!L24-'TPM Summary Measures'!L24</f>
        <v>0</v>
      </c>
      <c r="M24" s="91">
        <f>'SCF (name) Summary Measures'!M24-'TPM Summary Measures'!M24</f>
        <v>0</v>
      </c>
      <c r="N24" s="91">
        <f>'SCF (name) Summary Measures'!N24-'TPM Summary Measures'!N24</f>
        <v>-2.0856473466783427</v>
      </c>
      <c r="O24" s="91">
        <f>'SCF (name) Summary Measures'!O24-'TPM Summary Measures'!O24</f>
        <v>-5.4330467210438655</v>
      </c>
      <c r="P24" s="91">
        <f>'SCF (name) Summary Measures'!P24-'TPM Summary Measures'!P24</f>
        <v>-9.7151557586857962</v>
      </c>
      <c r="Q24" s="91">
        <f>'SCF (name) Summary Measures'!Q24-'TPM Summary Measures'!Q24</f>
        <v>-14.707372786027008</v>
      </c>
      <c r="R24" s="91">
        <f>'SCF (name) Summary Measures'!R24-'TPM Summary Measures'!R24</f>
        <v>-20.239721820806153</v>
      </c>
      <c r="S24" s="91">
        <f>'SCF (name) Summary Measures'!S24-'TPM Summary Measures'!S24</f>
        <v>-26.178718949448921</v>
      </c>
      <c r="T24" s="91">
        <f>'SCF (name) Summary Measures'!T24-'TPM Summary Measures'!T24</f>
        <v>-32.41790556234173</v>
      </c>
      <c r="U24" s="91">
        <f>'SCF (name) Summary Measures'!U24-'TPM Summary Measures'!U24</f>
        <v>-38.871536104337792</v>
      </c>
      <c r="V24" s="91">
        <f>'SCF (name) Summary Measures'!V24-'TPM Summary Measures'!V24</f>
        <v>-45.470004605009308</v>
      </c>
    </row>
    <row r="25" spans="1:24" s="64" customFormat="1" x14ac:dyDescent="0.25">
      <c r="A25" s="86"/>
      <c r="B25" s="64" t="s">
        <v>293</v>
      </c>
      <c r="C25" s="91">
        <f>'SCF (name) Summary Measures'!C25-'TPM Summary Measures'!C25</f>
        <v>0</v>
      </c>
      <c r="D25" s="91">
        <f>'SCF (name) Summary Measures'!D25-'TPM Summary Measures'!D25</f>
        <v>0</v>
      </c>
      <c r="E25" s="91">
        <f>'SCF (name) Summary Measures'!E25-'TPM Summary Measures'!E25</f>
        <v>0</v>
      </c>
      <c r="F25" s="91">
        <f>'SCF (name) Summary Measures'!F25-'TPM Summary Measures'!F25</f>
        <v>0</v>
      </c>
      <c r="G25" s="91">
        <f>'SCF (name) Summary Measures'!G25-'TPM Summary Measures'!G25</f>
        <v>0</v>
      </c>
      <c r="H25" s="91">
        <f>'SCF (name) Summary Measures'!H25-'TPM Summary Measures'!H25</f>
        <v>0</v>
      </c>
      <c r="I25" s="91">
        <f>'SCF (name) Summary Measures'!I25-'TPM Summary Measures'!I25</f>
        <v>0</v>
      </c>
      <c r="J25" s="91">
        <f>'SCF (name) Summary Measures'!J25-'TPM Summary Measures'!J25</f>
        <v>0</v>
      </c>
      <c r="K25" s="91">
        <f>'SCF (name) Summary Measures'!K25-'TPM Summary Measures'!K25</f>
        <v>0</v>
      </c>
      <c r="L25" s="140">
        <f>'SCF (name) Summary Measures'!L25-'TPM Summary Measures'!L25</f>
        <v>-64.238711735633842</v>
      </c>
      <c r="M25" s="91">
        <f>'SCF (name) Summary Measures'!M25-'TPM Summary Measures'!M25</f>
        <v>-111.10600321432503</v>
      </c>
      <c r="N25" s="91">
        <f>'SCF (name) Summary Measures'!N25-'TPM Summary Measures'!N25</f>
        <v>-155.34906085271723</v>
      </c>
      <c r="O25" s="91">
        <f>'SCF (name) Summary Measures'!O25-'TPM Summary Measures'!O25</f>
        <v>-197.10010905388481</v>
      </c>
      <c r="P25" s="91">
        <f>'SCF (name) Summary Measures'!P25-'TPM Summary Measures'!P25</f>
        <v>-236.87034481267619</v>
      </c>
      <c r="Q25" s="91">
        <f>'SCF (name) Summary Measures'!Q25-'TPM Summary Measures'!Q25</f>
        <v>-274.99235916823818</v>
      </c>
      <c r="R25" s="91">
        <f>'SCF (name) Summary Measures'!R25-'TPM Summary Measures'!R25</f>
        <v>-311.69022042057622</v>
      </c>
      <c r="S25" s="91">
        <f>'SCF (name) Summary Measures'!S25-'TPM Summary Measures'!S25</f>
        <v>-347.11698646692821</v>
      </c>
      <c r="T25" s="91">
        <f>'SCF (name) Summary Measures'!T25-'TPM Summary Measures'!T25</f>
        <v>-381.37845232150721</v>
      </c>
      <c r="U25" s="91">
        <f>'SCF (name) Summary Measures'!U25-'TPM Summary Measures'!U25</f>
        <v>-414.54858902099659</v>
      </c>
      <c r="V25" s="91">
        <f>'SCF (name) Summary Measures'!V25-'TPM Summary Measures'!V25</f>
        <v>-446.68007930089516</v>
      </c>
    </row>
    <row r="26" spans="1:24" s="64" customFormat="1" x14ac:dyDescent="0.25">
      <c r="A26" s="86"/>
      <c r="B26" s="63" t="s">
        <v>295</v>
      </c>
      <c r="C26" s="91">
        <f>'SCF (name) Summary Measures'!C26-'TPM Summary Measures'!C26</f>
        <v>0</v>
      </c>
      <c r="D26" s="91">
        <f>'SCF (name) Summary Measures'!D26-'TPM Summary Measures'!D26</f>
        <v>0</v>
      </c>
      <c r="E26" s="91">
        <f>'SCF (name) Summary Measures'!E26-'TPM Summary Measures'!E26</f>
        <v>0</v>
      </c>
      <c r="F26" s="91">
        <f>'SCF (name) Summary Measures'!F26-'TPM Summary Measures'!F26</f>
        <v>0</v>
      </c>
      <c r="G26" s="91">
        <f>'SCF (name) Summary Measures'!G26-'TPM Summary Measures'!G26</f>
        <v>0</v>
      </c>
      <c r="H26" s="91">
        <f>'SCF (name) Summary Measures'!H26-'TPM Summary Measures'!H26</f>
        <v>0</v>
      </c>
      <c r="I26" s="91">
        <f>'SCF (name) Summary Measures'!I26-'TPM Summary Measures'!I26</f>
        <v>0</v>
      </c>
      <c r="J26" s="91">
        <f>'SCF (name) Summary Measures'!J26-'TPM Summary Measures'!J26</f>
        <v>0</v>
      </c>
      <c r="K26" s="91">
        <f>'SCF (name) Summary Measures'!K26-'TPM Summary Measures'!K26</f>
        <v>0</v>
      </c>
      <c r="L26" s="140">
        <f>'SCF (name) Summary Measures'!L26-'TPM Summary Measures'!L26</f>
        <v>-64.238711735641118</v>
      </c>
      <c r="M26" s="91">
        <f>'SCF (name) Summary Measures'!M26-'TPM Summary Measures'!M26</f>
        <v>-111.10600321432867</v>
      </c>
      <c r="N26" s="91">
        <f>'SCF (name) Summary Measures'!N26-'TPM Summary Measures'!N26</f>
        <v>-153.26341350604343</v>
      </c>
      <c r="O26" s="91">
        <f>'SCF (name) Summary Measures'!O26-'TPM Summary Measures'!O26</f>
        <v>-191.66706233285367</v>
      </c>
      <c r="P26" s="91">
        <f>'SCF (name) Summary Measures'!P26-'TPM Summary Measures'!P26</f>
        <v>-227.15518905399949</v>
      </c>
      <c r="Q26" s="91">
        <f>'SCF (name) Summary Measures'!Q26-'TPM Summary Measures'!Q26</f>
        <v>-260.28498638220481</v>
      </c>
      <c r="R26" s="91">
        <f>'SCF (name) Summary Measures'!R26-'TPM Summary Measures'!R26</f>
        <v>-291.4504985997628</v>
      </c>
      <c r="S26" s="91">
        <f>'SCF (name) Summary Measures'!S26-'TPM Summary Measures'!S26</f>
        <v>-320.93826751747838</v>
      </c>
      <c r="T26" s="91">
        <f>'SCF (name) Summary Measures'!T26-'TPM Summary Measures'!T26</f>
        <v>-348.96054675916093</v>
      </c>
      <c r="U26" s="91">
        <f>'SCF (name) Summary Measures'!U26-'TPM Summary Measures'!U26</f>
        <v>-375.67705291665334</v>
      </c>
      <c r="V26" s="91">
        <f>'SCF (name) Summary Measures'!V26-'TPM Summary Measures'!V26</f>
        <v>-401.21007469588221</v>
      </c>
    </row>
    <row r="27" spans="1:24" s="64" customFormat="1" x14ac:dyDescent="0.25">
      <c r="A27" s="86"/>
      <c r="B27" s="63" t="s">
        <v>296</v>
      </c>
      <c r="C27" s="91">
        <f>'SCF (name) Summary Measures'!C27-'TPM Summary Measures'!C27</f>
        <v>0</v>
      </c>
      <c r="D27" s="91">
        <f>'SCF (name) Summary Measures'!D27-'TPM Summary Measures'!D27</f>
        <v>0</v>
      </c>
      <c r="E27" s="91">
        <f>'SCF (name) Summary Measures'!E27-'TPM Summary Measures'!E27</f>
        <v>0</v>
      </c>
      <c r="F27" s="91">
        <f>'SCF (name) Summary Measures'!F27-'TPM Summary Measures'!F27</f>
        <v>0</v>
      </c>
      <c r="G27" s="91">
        <f>'SCF (name) Summary Measures'!G27-'TPM Summary Measures'!G27</f>
        <v>0</v>
      </c>
      <c r="H27" s="91">
        <f>'SCF (name) Summary Measures'!H27-'TPM Summary Measures'!H27</f>
        <v>0</v>
      </c>
      <c r="I27" s="91">
        <f>'SCF (name) Summary Measures'!I27-'TPM Summary Measures'!I27</f>
        <v>0</v>
      </c>
      <c r="J27" s="91">
        <f>'SCF (name) Summary Measures'!J27-'TPM Summary Measures'!J27</f>
        <v>0</v>
      </c>
      <c r="K27" s="91">
        <f>'SCF (name) Summary Measures'!K27-'TPM Summary Measures'!K27</f>
        <v>0</v>
      </c>
      <c r="L27" s="140">
        <f>'SCF (name) Summary Measures'!L27-'TPM Summary Measures'!L27</f>
        <v>0</v>
      </c>
      <c r="M27" s="91">
        <f>'SCF (name) Summary Measures'!M27-'TPM Summary Measures'!M27</f>
        <v>0</v>
      </c>
      <c r="N27" s="91">
        <f>'SCF (name) Summary Measures'!N27-'TPM Summary Measures'!N27</f>
        <v>-2.0856473466774332</v>
      </c>
      <c r="O27" s="91">
        <f>'SCF (name) Summary Measures'!O27-'TPM Summary Measures'!O27</f>
        <v>-5.4330467210438655</v>
      </c>
      <c r="P27" s="91">
        <f>'SCF (name) Summary Measures'!P27-'TPM Summary Measures'!P27</f>
        <v>-9.7151557586839772</v>
      </c>
      <c r="Q27" s="91">
        <f>'SCF (name) Summary Measures'!Q27-'TPM Summary Measures'!Q27</f>
        <v>-14.707372786026099</v>
      </c>
      <c r="R27" s="91">
        <f>'SCF (name) Summary Measures'!R27-'TPM Summary Measures'!R27</f>
        <v>-20.239721820804334</v>
      </c>
      <c r="S27" s="91">
        <f>'SCF (name) Summary Measures'!S27-'TPM Summary Measures'!S27</f>
        <v>-26.178718949449831</v>
      </c>
      <c r="T27" s="91">
        <f>'SCF (name) Summary Measures'!T27-'TPM Summary Measures'!T27</f>
        <v>-32.417905562339001</v>
      </c>
      <c r="U27" s="91">
        <f>'SCF (name) Summary Measures'!U27-'TPM Summary Measures'!U27</f>
        <v>-38.871536104332336</v>
      </c>
      <c r="V27" s="91">
        <f>'SCF (name) Summary Measures'!V27-'TPM Summary Measures'!V27</f>
        <v>-45.470004605002032</v>
      </c>
    </row>
    <row r="28" spans="1:24" s="116" customFormat="1" x14ac:dyDescent="0.25">
      <c r="A28" s="151"/>
      <c r="B28" s="116" t="s">
        <v>87</v>
      </c>
      <c r="C28" s="100">
        <f>'SCF (name) Summary Measures'!C28-'TPM Summary Measures'!C28</f>
        <v>0</v>
      </c>
      <c r="D28" s="100">
        <f>'SCF (name) Summary Measures'!D28-'TPM Summary Measures'!D28</f>
        <v>0</v>
      </c>
      <c r="E28" s="100">
        <f>'SCF (name) Summary Measures'!E28-'TPM Summary Measures'!E28</f>
        <v>0</v>
      </c>
      <c r="F28" s="100">
        <f>'SCF (name) Summary Measures'!F28-'TPM Summary Measures'!F28</f>
        <v>0</v>
      </c>
      <c r="G28" s="100">
        <f>'SCF (name) Summary Measures'!G28-'TPM Summary Measures'!G28</f>
        <v>0</v>
      </c>
      <c r="H28" s="100">
        <f>'SCF (name) Summary Measures'!H28-'TPM Summary Measures'!H28</f>
        <v>0</v>
      </c>
      <c r="I28" s="100">
        <f>'SCF (name) Summary Measures'!I28-'TPM Summary Measures'!I28</f>
        <v>0</v>
      </c>
      <c r="J28" s="100">
        <f>'SCF (name) Summary Measures'!J28-'TPM Summary Measures'!J28</f>
        <v>0</v>
      </c>
      <c r="K28" s="100">
        <f>'SCF (name) Summary Measures'!K28-'TPM Summary Measures'!K28</f>
        <v>0</v>
      </c>
      <c r="L28" s="142">
        <f>'SCF (name) Summary Measures'!L28-'TPM Summary Measures'!L28</f>
        <v>-64.238711735641118</v>
      </c>
      <c r="M28" s="100">
        <f>'SCF (name) Summary Measures'!M28-'TPM Summary Measures'!M28</f>
        <v>-111.10600321432867</v>
      </c>
      <c r="N28" s="100">
        <f>'SCF (name) Summary Measures'!N28-'TPM Summary Measures'!N28</f>
        <v>-155.34906085272087</v>
      </c>
      <c r="O28" s="100">
        <f>'SCF (name) Summary Measures'!O28-'TPM Summary Measures'!O28</f>
        <v>-197.10010905389208</v>
      </c>
      <c r="P28" s="100">
        <f>'SCF (name) Summary Measures'!P28-'TPM Summary Measures'!P28</f>
        <v>-236.87034481267619</v>
      </c>
      <c r="Q28" s="100">
        <f>'SCF (name) Summary Measures'!Q28-'TPM Summary Measures'!Q28</f>
        <v>-274.99235916823091</v>
      </c>
      <c r="R28" s="100">
        <f>'SCF (name) Summary Measures'!R28-'TPM Summary Measures'!R28</f>
        <v>-311.69022042056895</v>
      </c>
      <c r="S28" s="100">
        <f>'SCF (name) Summary Measures'!S28-'TPM Summary Measures'!S28</f>
        <v>-347.11698646693549</v>
      </c>
      <c r="T28" s="100">
        <f>'SCF (name) Summary Measures'!T28-'TPM Summary Measures'!T28</f>
        <v>-381.37845232149994</v>
      </c>
      <c r="U28" s="100">
        <f>'SCF (name) Summary Measures'!U28-'TPM Summary Measures'!U28</f>
        <v>-414.54858902098204</v>
      </c>
      <c r="V28" s="100">
        <f>'SCF (name) Summary Measures'!V28-'TPM Summary Measures'!V28</f>
        <v>-446.68007930088788</v>
      </c>
    </row>
    <row r="29" spans="1:24" s="64" customFormat="1" x14ac:dyDescent="0.25">
      <c r="A29" s="86" t="s">
        <v>297</v>
      </c>
      <c r="C29" s="91">
        <f>'SCF (name) Summary Measures'!C29-'TPM Summary Measures'!C29</f>
        <v>0</v>
      </c>
      <c r="D29" s="91">
        <f>'SCF (name) Summary Measures'!D29-'TPM Summary Measures'!D29</f>
        <v>0</v>
      </c>
      <c r="E29" s="91">
        <f>'SCF (name) Summary Measures'!E29-'TPM Summary Measures'!E29</f>
        <v>0</v>
      </c>
      <c r="F29" s="91">
        <f>'SCF (name) Summary Measures'!F29-'TPM Summary Measures'!F29</f>
        <v>0</v>
      </c>
      <c r="G29" s="91">
        <f>'SCF (name) Summary Measures'!G29-'TPM Summary Measures'!G29</f>
        <v>0</v>
      </c>
      <c r="H29" s="91">
        <f>'SCF (name) Summary Measures'!H29-'TPM Summary Measures'!H29</f>
        <v>0</v>
      </c>
      <c r="I29" s="91">
        <f>'SCF (name) Summary Measures'!I29-'TPM Summary Measures'!I29</f>
        <v>0</v>
      </c>
      <c r="J29" s="91">
        <f>'SCF (name) Summary Measures'!J29-'TPM Summary Measures'!J29</f>
        <v>0</v>
      </c>
      <c r="K29" s="91">
        <f>'SCF (name) Summary Measures'!K29-'TPM Summary Measures'!K29</f>
        <v>0</v>
      </c>
      <c r="L29" s="140">
        <f>'SCF (name) Summary Measures'!L29-'TPM Summary Measures'!L29</f>
        <v>0</v>
      </c>
      <c r="M29" s="91">
        <f>'SCF (name) Summary Measures'!M29-'TPM Summary Measures'!M29</f>
        <v>0</v>
      </c>
      <c r="N29" s="91">
        <f>'SCF (name) Summary Measures'!N29-'TPM Summary Measures'!N29</f>
        <v>0</v>
      </c>
      <c r="O29" s="91">
        <f>'SCF (name) Summary Measures'!O29-'TPM Summary Measures'!O29</f>
        <v>0</v>
      </c>
      <c r="P29" s="91">
        <f>'SCF (name) Summary Measures'!P29-'TPM Summary Measures'!P29</f>
        <v>0</v>
      </c>
      <c r="Q29" s="91">
        <f>'SCF (name) Summary Measures'!Q29-'TPM Summary Measures'!Q29</f>
        <v>0</v>
      </c>
      <c r="R29" s="91">
        <f>'SCF (name) Summary Measures'!R29-'TPM Summary Measures'!R29</f>
        <v>0</v>
      </c>
      <c r="S29" s="91">
        <f>'SCF (name) Summary Measures'!S29-'TPM Summary Measures'!S29</f>
        <v>0</v>
      </c>
      <c r="T29" s="91">
        <f>'SCF (name) Summary Measures'!T29-'TPM Summary Measures'!T29</f>
        <v>0</v>
      </c>
      <c r="U29" s="91">
        <f>'SCF (name) Summary Measures'!U29-'TPM Summary Measures'!U29</f>
        <v>0</v>
      </c>
      <c r="V29" s="91">
        <f>'SCF (name) Summary Measures'!V29-'TPM Summary Measures'!V29</f>
        <v>0</v>
      </c>
    </row>
    <row r="30" spans="1:24" s="64" customFormat="1" x14ac:dyDescent="0.25">
      <c r="A30" s="86"/>
      <c r="B30" s="63" t="s">
        <v>313</v>
      </c>
      <c r="C30" s="91">
        <f>'SCF (name) Summary Measures'!C30-'TPM Summary Measures'!C30</f>
        <v>0</v>
      </c>
      <c r="D30" s="91">
        <f>'SCF (name) Summary Measures'!D30-'TPM Summary Measures'!D30</f>
        <v>0</v>
      </c>
      <c r="E30" s="91">
        <f>'SCF (name) Summary Measures'!E30-'TPM Summary Measures'!E30</f>
        <v>0</v>
      </c>
      <c r="F30" s="91">
        <f>'SCF (name) Summary Measures'!F30-'TPM Summary Measures'!F30</f>
        <v>0</v>
      </c>
      <c r="G30" s="91">
        <f>'SCF (name) Summary Measures'!G30-'TPM Summary Measures'!G30</f>
        <v>0</v>
      </c>
      <c r="H30" s="91">
        <f>'SCF (name) Summary Measures'!H30-'TPM Summary Measures'!H30</f>
        <v>0</v>
      </c>
      <c r="I30" s="91">
        <f>'SCF (name) Summary Measures'!I30-'TPM Summary Measures'!I30</f>
        <v>0</v>
      </c>
      <c r="J30" s="91">
        <f>'SCF (name) Summary Measures'!J30-'TPM Summary Measures'!J30</f>
        <v>0</v>
      </c>
      <c r="K30" s="91">
        <f>'SCF (name) Summary Measures'!K30-'TPM Summary Measures'!K30</f>
        <v>0</v>
      </c>
      <c r="L30" s="140">
        <f>'SCF (name) Summary Measures'!L30-'TPM Summary Measures'!L30</f>
        <v>0</v>
      </c>
      <c r="M30" s="91">
        <f>'SCF (name) Summary Measures'!M30-'TPM Summary Measures'!M30</f>
        <v>0</v>
      </c>
      <c r="N30" s="91">
        <f>'SCF (name) Summary Measures'!N30-'TPM Summary Measures'!N30</f>
        <v>0</v>
      </c>
      <c r="O30" s="91">
        <f>'SCF (name) Summary Measures'!O30-'TPM Summary Measures'!O30</f>
        <v>0</v>
      </c>
      <c r="P30" s="91">
        <f>'SCF (name) Summary Measures'!P30-'TPM Summary Measures'!P30</f>
        <v>0</v>
      </c>
      <c r="Q30" s="91">
        <f>'SCF (name) Summary Measures'!Q30-'TPM Summary Measures'!Q30</f>
        <v>0</v>
      </c>
      <c r="R30" s="91">
        <f>'SCF (name) Summary Measures'!R30-'TPM Summary Measures'!R30</f>
        <v>0</v>
      </c>
      <c r="S30" s="91">
        <f>'SCF (name) Summary Measures'!S30-'TPM Summary Measures'!S30</f>
        <v>0</v>
      </c>
      <c r="T30" s="91">
        <f>'SCF (name) Summary Measures'!T30-'TPM Summary Measures'!T30</f>
        <v>0</v>
      </c>
      <c r="U30" s="91">
        <f>'SCF (name) Summary Measures'!U30-'TPM Summary Measures'!U30</f>
        <v>0</v>
      </c>
      <c r="V30" s="91">
        <f>'SCF (name) Summary Measures'!V30-'TPM Summary Measures'!V30</f>
        <v>0</v>
      </c>
    </row>
    <row r="31" spans="1:24" s="64" customFormat="1" x14ac:dyDescent="0.25">
      <c r="A31" s="86"/>
      <c r="B31" s="63" t="s">
        <v>314</v>
      </c>
      <c r="C31" s="91">
        <f>'SCF (name) Summary Measures'!C31-'TPM Summary Measures'!C31</f>
        <v>0</v>
      </c>
      <c r="D31" s="91">
        <f>'SCF (name) Summary Measures'!D31-'TPM Summary Measures'!D31</f>
        <v>0</v>
      </c>
      <c r="E31" s="91">
        <f>'SCF (name) Summary Measures'!E31-'TPM Summary Measures'!E31</f>
        <v>0</v>
      </c>
      <c r="F31" s="91">
        <f>'SCF (name) Summary Measures'!F31-'TPM Summary Measures'!F31</f>
        <v>0</v>
      </c>
      <c r="G31" s="91">
        <f>'SCF (name) Summary Measures'!G31-'TPM Summary Measures'!G31</f>
        <v>0</v>
      </c>
      <c r="H31" s="91">
        <f>'SCF (name) Summary Measures'!H31-'TPM Summary Measures'!H31</f>
        <v>0</v>
      </c>
      <c r="I31" s="91">
        <f>'SCF (name) Summary Measures'!I31-'TPM Summary Measures'!I31</f>
        <v>0</v>
      </c>
      <c r="J31" s="91">
        <f>'SCF (name) Summary Measures'!J31-'TPM Summary Measures'!J31</f>
        <v>0</v>
      </c>
      <c r="K31" s="91">
        <f>'SCF (name) Summary Measures'!K31-'TPM Summary Measures'!K31</f>
        <v>0</v>
      </c>
      <c r="L31" s="140">
        <f>'SCF (name) Summary Measures'!L31-'TPM Summary Measures'!L31</f>
        <v>0</v>
      </c>
      <c r="M31" s="91">
        <f>'SCF (name) Summary Measures'!M31-'TPM Summary Measures'!M31</f>
        <v>0</v>
      </c>
      <c r="N31" s="91">
        <f>'SCF (name) Summary Measures'!N31-'TPM Summary Measures'!N31</f>
        <v>0</v>
      </c>
      <c r="O31" s="91">
        <f>'SCF (name) Summary Measures'!O31-'TPM Summary Measures'!O31</f>
        <v>0</v>
      </c>
      <c r="P31" s="91">
        <f>'SCF (name) Summary Measures'!P31-'TPM Summary Measures'!P31</f>
        <v>0</v>
      </c>
      <c r="Q31" s="91">
        <f>'SCF (name) Summary Measures'!Q31-'TPM Summary Measures'!Q31</f>
        <v>0</v>
      </c>
      <c r="R31" s="91">
        <f>'SCF (name) Summary Measures'!R31-'TPM Summary Measures'!R31</f>
        <v>0</v>
      </c>
      <c r="S31" s="91">
        <f>'SCF (name) Summary Measures'!S31-'TPM Summary Measures'!S31</f>
        <v>0</v>
      </c>
      <c r="T31" s="91">
        <f>'SCF (name) Summary Measures'!T31-'TPM Summary Measures'!T31</f>
        <v>0</v>
      </c>
      <c r="U31" s="91">
        <f>'SCF (name) Summary Measures'!U31-'TPM Summary Measures'!U31</f>
        <v>0</v>
      </c>
      <c r="V31" s="91">
        <f>'SCF (name) Summary Measures'!V31-'TPM Summary Measures'!V31</f>
        <v>0</v>
      </c>
    </row>
    <row r="32" spans="1:24" s="64" customFormat="1" x14ac:dyDescent="0.25">
      <c r="A32" s="86"/>
      <c r="B32" s="63" t="s">
        <v>298</v>
      </c>
      <c r="C32" s="91">
        <f>'SCF (name) Summary Measures'!C32-'TPM Summary Measures'!C32</f>
        <v>0</v>
      </c>
      <c r="D32" s="91">
        <f>'SCF (name) Summary Measures'!D32-'TPM Summary Measures'!D32</f>
        <v>0</v>
      </c>
      <c r="E32" s="91">
        <f>'SCF (name) Summary Measures'!E32-'TPM Summary Measures'!E32</f>
        <v>0</v>
      </c>
      <c r="F32" s="91">
        <f>'SCF (name) Summary Measures'!F32-'TPM Summary Measures'!F32</f>
        <v>0</v>
      </c>
      <c r="G32" s="91">
        <f>'SCF (name) Summary Measures'!G32-'TPM Summary Measures'!G32</f>
        <v>0</v>
      </c>
      <c r="H32" s="91">
        <f>'SCF (name) Summary Measures'!H32-'TPM Summary Measures'!H32</f>
        <v>0</v>
      </c>
      <c r="I32" s="91">
        <f>'SCF (name) Summary Measures'!I32-'TPM Summary Measures'!I32</f>
        <v>0</v>
      </c>
      <c r="J32" s="91">
        <f>'SCF (name) Summary Measures'!J32-'TPM Summary Measures'!J32</f>
        <v>0</v>
      </c>
      <c r="K32" s="91">
        <f>'SCF (name) Summary Measures'!K32-'TPM Summary Measures'!K32</f>
        <v>0</v>
      </c>
      <c r="L32" s="140">
        <f>'SCF (name) Summary Measures'!L32-'TPM Summary Measures'!L32</f>
        <v>0</v>
      </c>
      <c r="M32" s="91">
        <f>'SCF (name) Summary Measures'!M32-'TPM Summary Measures'!M32</f>
        <v>0</v>
      </c>
      <c r="N32" s="91">
        <f>'SCF (name) Summary Measures'!N32-'TPM Summary Measures'!N32</f>
        <v>0</v>
      </c>
      <c r="O32" s="91">
        <f>'SCF (name) Summary Measures'!O32-'TPM Summary Measures'!O32</f>
        <v>0</v>
      </c>
      <c r="P32" s="91">
        <f>'SCF (name) Summary Measures'!P32-'TPM Summary Measures'!P32</f>
        <v>0</v>
      </c>
      <c r="Q32" s="91">
        <f>'SCF (name) Summary Measures'!Q32-'TPM Summary Measures'!Q32</f>
        <v>0</v>
      </c>
      <c r="R32" s="91">
        <f>'SCF (name) Summary Measures'!R32-'TPM Summary Measures'!R32</f>
        <v>0</v>
      </c>
      <c r="S32" s="91">
        <f>'SCF (name) Summary Measures'!S32-'TPM Summary Measures'!S32</f>
        <v>0</v>
      </c>
      <c r="T32" s="91">
        <f>'SCF (name) Summary Measures'!T32-'TPM Summary Measures'!T32</f>
        <v>0</v>
      </c>
      <c r="U32" s="91">
        <f>'SCF (name) Summary Measures'!U32-'TPM Summary Measures'!U32</f>
        <v>0</v>
      </c>
      <c r="V32" s="91">
        <f>'SCF (name) Summary Measures'!V32-'TPM Summary Measures'!V32</f>
        <v>0</v>
      </c>
    </row>
    <row r="33" spans="1:23" s="64" customFormat="1" x14ac:dyDescent="0.25">
      <c r="A33" s="86"/>
      <c r="B33" s="63" t="s">
        <v>299</v>
      </c>
      <c r="C33" s="91">
        <f>'SCF (name) Summary Measures'!C33-'TPM Summary Measures'!C33</f>
        <v>0</v>
      </c>
      <c r="D33" s="91">
        <f>'SCF (name) Summary Measures'!D33-'TPM Summary Measures'!D33</f>
        <v>0</v>
      </c>
      <c r="E33" s="91">
        <f>'SCF (name) Summary Measures'!E33-'TPM Summary Measures'!E33</f>
        <v>0</v>
      </c>
      <c r="F33" s="91">
        <f>'SCF (name) Summary Measures'!F33-'TPM Summary Measures'!F33</f>
        <v>0</v>
      </c>
      <c r="G33" s="91">
        <f>'SCF (name) Summary Measures'!G33-'TPM Summary Measures'!G33</f>
        <v>0</v>
      </c>
      <c r="H33" s="91">
        <f>'SCF (name) Summary Measures'!H33-'TPM Summary Measures'!H33</f>
        <v>0</v>
      </c>
      <c r="I33" s="91">
        <f>'SCF (name) Summary Measures'!I33-'TPM Summary Measures'!I33</f>
        <v>0</v>
      </c>
      <c r="J33" s="91">
        <f>'SCF (name) Summary Measures'!J33-'TPM Summary Measures'!J33</f>
        <v>0</v>
      </c>
      <c r="K33" s="91">
        <f>'SCF (name) Summary Measures'!K33-'TPM Summary Measures'!K33</f>
        <v>0</v>
      </c>
      <c r="L33" s="140">
        <f>'SCF (name) Summary Measures'!L33-'TPM Summary Measures'!L33</f>
        <v>0</v>
      </c>
      <c r="M33" s="91">
        <f>'SCF (name) Summary Measures'!M33-'TPM Summary Measures'!M33</f>
        <v>0</v>
      </c>
      <c r="N33" s="91">
        <f>'SCF (name) Summary Measures'!N33-'TPM Summary Measures'!N33</f>
        <v>0</v>
      </c>
      <c r="O33" s="91">
        <f>'SCF (name) Summary Measures'!O33-'TPM Summary Measures'!O33</f>
        <v>0</v>
      </c>
      <c r="P33" s="91">
        <f>'SCF (name) Summary Measures'!P33-'TPM Summary Measures'!P33</f>
        <v>0</v>
      </c>
      <c r="Q33" s="91">
        <f>'SCF (name) Summary Measures'!Q33-'TPM Summary Measures'!Q33</f>
        <v>0</v>
      </c>
      <c r="R33" s="91">
        <f>'SCF (name) Summary Measures'!R33-'TPM Summary Measures'!R33</f>
        <v>0</v>
      </c>
      <c r="S33" s="91">
        <f>'SCF (name) Summary Measures'!S33-'TPM Summary Measures'!S33</f>
        <v>0</v>
      </c>
      <c r="T33" s="91">
        <f>'SCF (name) Summary Measures'!T33-'TPM Summary Measures'!T33</f>
        <v>0</v>
      </c>
      <c r="U33" s="91">
        <f>'SCF (name) Summary Measures'!U33-'TPM Summary Measures'!U33</f>
        <v>0</v>
      </c>
      <c r="V33" s="91">
        <f>'SCF (name) Summary Measures'!V33-'TPM Summary Measures'!V33</f>
        <v>0</v>
      </c>
    </row>
    <row r="34" spans="1:23" s="64" customFormat="1" x14ac:dyDescent="0.25">
      <c r="A34" s="86"/>
      <c r="B34" s="63" t="s">
        <v>293</v>
      </c>
      <c r="C34" s="91">
        <f>'SCF (name) Summary Measures'!C34-'TPM Summary Measures'!C34</f>
        <v>0</v>
      </c>
      <c r="D34" s="91">
        <f>'SCF (name) Summary Measures'!D34-'TPM Summary Measures'!D34</f>
        <v>0</v>
      </c>
      <c r="E34" s="91">
        <f>'SCF (name) Summary Measures'!E34-'TPM Summary Measures'!E34</f>
        <v>0</v>
      </c>
      <c r="F34" s="91">
        <f>'SCF (name) Summary Measures'!F34-'TPM Summary Measures'!F34</f>
        <v>0</v>
      </c>
      <c r="G34" s="91">
        <f>'SCF (name) Summary Measures'!G34-'TPM Summary Measures'!G34</f>
        <v>0</v>
      </c>
      <c r="H34" s="91">
        <f>'SCF (name) Summary Measures'!H34-'TPM Summary Measures'!H34</f>
        <v>0</v>
      </c>
      <c r="I34" s="91">
        <f>'SCF (name) Summary Measures'!I34-'TPM Summary Measures'!I34</f>
        <v>0</v>
      </c>
      <c r="J34" s="91">
        <f>'SCF (name) Summary Measures'!J34-'TPM Summary Measures'!J34</f>
        <v>0</v>
      </c>
      <c r="K34" s="91">
        <f>'SCF (name) Summary Measures'!K34-'TPM Summary Measures'!K34</f>
        <v>0</v>
      </c>
      <c r="L34" s="140">
        <f>'SCF (name) Summary Measures'!L34-'TPM Summary Measures'!L34</f>
        <v>0</v>
      </c>
      <c r="M34" s="91">
        <f>'SCF (name) Summary Measures'!M34-'TPM Summary Measures'!M34</f>
        <v>0</v>
      </c>
      <c r="N34" s="91">
        <f>'SCF (name) Summary Measures'!N34-'TPM Summary Measures'!N34</f>
        <v>0</v>
      </c>
      <c r="O34" s="91">
        <f>'SCF (name) Summary Measures'!O34-'TPM Summary Measures'!O34</f>
        <v>0</v>
      </c>
      <c r="P34" s="91">
        <f>'SCF (name) Summary Measures'!P34-'TPM Summary Measures'!P34</f>
        <v>0</v>
      </c>
      <c r="Q34" s="91">
        <f>'SCF (name) Summary Measures'!Q34-'TPM Summary Measures'!Q34</f>
        <v>0</v>
      </c>
      <c r="R34" s="91">
        <f>'SCF (name) Summary Measures'!R34-'TPM Summary Measures'!R34</f>
        <v>0</v>
      </c>
      <c r="S34" s="91">
        <f>'SCF (name) Summary Measures'!S34-'TPM Summary Measures'!S34</f>
        <v>0</v>
      </c>
      <c r="T34" s="91">
        <f>'SCF (name) Summary Measures'!T34-'TPM Summary Measures'!T34</f>
        <v>0</v>
      </c>
      <c r="U34" s="91">
        <f>'SCF (name) Summary Measures'!U34-'TPM Summary Measures'!U34</f>
        <v>0</v>
      </c>
      <c r="V34" s="91">
        <f>'SCF (name) Summary Measures'!V34-'TPM Summary Measures'!V34</f>
        <v>0</v>
      </c>
    </row>
    <row r="35" spans="1:23" s="64" customFormat="1" x14ac:dyDescent="0.25">
      <c r="A35" s="86"/>
      <c r="B35" s="63" t="s">
        <v>315</v>
      </c>
      <c r="C35" s="91">
        <f>'SCF (name) Summary Measures'!C35-'TPM Summary Measures'!C35</f>
        <v>0</v>
      </c>
      <c r="D35" s="91">
        <f>'SCF (name) Summary Measures'!D35-'TPM Summary Measures'!D35</f>
        <v>0</v>
      </c>
      <c r="E35" s="91">
        <f>'SCF (name) Summary Measures'!E35-'TPM Summary Measures'!E35</f>
        <v>0</v>
      </c>
      <c r="F35" s="91">
        <f>'SCF (name) Summary Measures'!F35-'TPM Summary Measures'!F35</f>
        <v>0</v>
      </c>
      <c r="G35" s="91">
        <f>'SCF (name) Summary Measures'!G35-'TPM Summary Measures'!G35</f>
        <v>0</v>
      </c>
      <c r="H35" s="91">
        <f>'SCF (name) Summary Measures'!H35-'TPM Summary Measures'!H35</f>
        <v>0</v>
      </c>
      <c r="I35" s="91">
        <f>'SCF (name) Summary Measures'!I35-'TPM Summary Measures'!I35</f>
        <v>0</v>
      </c>
      <c r="J35" s="91">
        <f>'SCF (name) Summary Measures'!J35-'TPM Summary Measures'!J35</f>
        <v>0</v>
      </c>
      <c r="K35" s="91">
        <f>'SCF (name) Summary Measures'!K35-'TPM Summary Measures'!K35</f>
        <v>0</v>
      </c>
      <c r="L35" s="140">
        <f>'SCF (name) Summary Measures'!L35-'TPM Summary Measures'!L35</f>
        <v>0</v>
      </c>
      <c r="M35" s="91">
        <f>'SCF (name) Summary Measures'!M35-'TPM Summary Measures'!M35</f>
        <v>0</v>
      </c>
      <c r="N35" s="91">
        <f>'SCF (name) Summary Measures'!N35-'TPM Summary Measures'!N35</f>
        <v>0</v>
      </c>
      <c r="O35" s="91">
        <f>'SCF (name) Summary Measures'!O35-'TPM Summary Measures'!O35</f>
        <v>0</v>
      </c>
      <c r="P35" s="91">
        <f>'SCF (name) Summary Measures'!P35-'TPM Summary Measures'!P35</f>
        <v>0</v>
      </c>
      <c r="Q35" s="91">
        <f>'SCF (name) Summary Measures'!Q35-'TPM Summary Measures'!Q35</f>
        <v>0</v>
      </c>
      <c r="R35" s="91">
        <f>'SCF (name) Summary Measures'!R35-'TPM Summary Measures'!R35</f>
        <v>0</v>
      </c>
      <c r="S35" s="91">
        <f>'SCF (name) Summary Measures'!S35-'TPM Summary Measures'!S35</f>
        <v>0</v>
      </c>
      <c r="T35" s="91">
        <f>'SCF (name) Summary Measures'!T35-'TPM Summary Measures'!T35</f>
        <v>0</v>
      </c>
      <c r="U35" s="91">
        <f>'SCF (name) Summary Measures'!U35-'TPM Summary Measures'!U35</f>
        <v>0</v>
      </c>
      <c r="V35" s="91">
        <f>'SCF (name) Summary Measures'!V35-'TPM Summary Measures'!V35</f>
        <v>0</v>
      </c>
    </row>
    <row r="36" spans="1:23" s="64" customFormat="1" x14ac:dyDescent="0.25">
      <c r="A36" s="86"/>
      <c r="B36" s="63" t="s">
        <v>298</v>
      </c>
      <c r="C36" s="91">
        <f>'SCF (name) Summary Measures'!C36-'TPM Summary Measures'!C36</f>
        <v>0</v>
      </c>
      <c r="D36" s="91">
        <f>'SCF (name) Summary Measures'!D36-'TPM Summary Measures'!D36</f>
        <v>0</v>
      </c>
      <c r="E36" s="91">
        <f>'SCF (name) Summary Measures'!E36-'TPM Summary Measures'!E36</f>
        <v>0</v>
      </c>
      <c r="F36" s="91">
        <f>'SCF (name) Summary Measures'!F36-'TPM Summary Measures'!F36</f>
        <v>0</v>
      </c>
      <c r="G36" s="91">
        <f>'SCF (name) Summary Measures'!G36-'TPM Summary Measures'!G36</f>
        <v>0</v>
      </c>
      <c r="H36" s="91">
        <f>'SCF (name) Summary Measures'!H36-'TPM Summary Measures'!H36</f>
        <v>0</v>
      </c>
      <c r="I36" s="91">
        <f>'SCF (name) Summary Measures'!I36-'TPM Summary Measures'!I36</f>
        <v>0</v>
      </c>
      <c r="J36" s="91">
        <f>'SCF (name) Summary Measures'!J36-'TPM Summary Measures'!J36</f>
        <v>0</v>
      </c>
      <c r="K36" s="91">
        <f>'SCF (name) Summary Measures'!K36-'TPM Summary Measures'!K36</f>
        <v>0</v>
      </c>
      <c r="L36" s="140">
        <f>'SCF (name) Summary Measures'!L36-'TPM Summary Measures'!L36</f>
        <v>0</v>
      </c>
      <c r="M36" s="91">
        <f>'SCF (name) Summary Measures'!M36-'TPM Summary Measures'!M36</f>
        <v>0</v>
      </c>
      <c r="N36" s="91">
        <f>'SCF (name) Summary Measures'!N36-'TPM Summary Measures'!N36</f>
        <v>0</v>
      </c>
      <c r="O36" s="91">
        <f>'SCF (name) Summary Measures'!O36-'TPM Summary Measures'!O36</f>
        <v>0</v>
      </c>
      <c r="P36" s="91">
        <f>'SCF (name) Summary Measures'!P36-'TPM Summary Measures'!P36</f>
        <v>0</v>
      </c>
      <c r="Q36" s="91">
        <f>'SCF (name) Summary Measures'!Q36-'TPM Summary Measures'!Q36</f>
        <v>0</v>
      </c>
      <c r="R36" s="91">
        <f>'SCF (name) Summary Measures'!R36-'TPM Summary Measures'!R36</f>
        <v>0</v>
      </c>
      <c r="S36" s="91">
        <f>'SCF (name) Summary Measures'!S36-'TPM Summary Measures'!S36</f>
        <v>0</v>
      </c>
      <c r="T36" s="91">
        <f>'SCF (name) Summary Measures'!T36-'TPM Summary Measures'!T36</f>
        <v>0</v>
      </c>
      <c r="U36" s="91">
        <f>'SCF (name) Summary Measures'!U36-'TPM Summary Measures'!U36</f>
        <v>0</v>
      </c>
      <c r="V36" s="91">
        <f>'SCF (name) Summary Measures'!V36-'TPM Summary Measures'!V36</f>
        <v>0</v>
      </c>
    </row>
    <row r="37" spans="1:23" s="64" customFormat="1" x14ac:dyDescent="0.25">
      <c r="A37" s="86"/>
      <c r="B37" s="63" t="s">
        <v>299</v>
      </c>
      <c r="C37" s="91">
        <f>'SCF (name) Summary Measures'!C37-'TPM Summary Measures'!C37</f>
        <v>0</v>
      </c>
      <c r="D37" s="91">
        <f>'SCF (name) Summary Measures'!D37-'TPM Summary Measures'!D37</f>
        <v>0</v>
      </c>
      <c r="E37" s="91">
        <f>'SCF (name) Summary Measures'!E37-'TPM Summary Measures'!E37</f>
        <v>0</v>
      </c>
      <c r="F37" s="91">
        <f>'SCF (name) Summary Measures'!F37-'TPM Summary Measures'!F37</f>
        <v>0</v>
      </c>
      <c r="G37" s="91">
        <f>'SCF (name) Summary Measures'!G37-'TPM Summary Measures'!G37</f>
        <v>0</v>
      </c>
      <c r="H37" s="91">
        <f>'SCF (name) Summary Measures'!H37-'TPM Summary Measures'!H37</f>
        <v>0</v>
      </c>
      <c r="I37" s="91">
        <f>'SCF (name) Summary Measures'!I37-'TPM Summary Measures'!I37</f>
        <v>0</v>
      </c>
      <c r="J37" s="91">
        <f>'SCF (name) Summary Measures'!J37-'TPM Summary Measures'!J37</f>
        <v>0</v>
      </c>
      <c r="K37" s="91">
        <f>'SCF (name) Summary Measures'!K37-'TPM Summary Measures'!K37</f>
        <v>0</v>
      </c>
      <c r="L37" s="140">
        <f>'SCF (name) Summary Measures'!L37-'TPM Summary Measures'!L37</f>
        <v>0</v>
      </c>
      <c r="M37" s="91">
        <f>'SCF (name) Summary Measures'!M37-'TPM Summary Measures'!M37</f>
        <v>-2.0367076793799015</v>
      </c>
      <c r="N37" s="91">
        <f>'SCF (name) Summary Measures'!N37-'TPM Summary Measures'!N37</f>
        <v>-2.7161618688785438</v>
      </c>
      <c r="O37" s="91">
        <f>'SCF (name) Summary Measures'!O37-'TPM Summary Measures'!O37</f>
        <v>-3.2807887369705213</v>
      </c>
      <c r="P37" s="91">
        <f>'SCF (name) Summary Measures'!P37-'TPM Summary Measures'!P37</f>
        <v>-3.8447385190247587</v>
      </c>
      <c r="Q37" s="91">
        <f>'SCF (name) Summary Measures'!Q37-'TPM Summary Measures'!Q37</f>
        <v>-4.4174781514441293</v>
      </c>
      <c r="R37" s="91">
        <f>'SCF (name) Summary Measures'!R37-'TPM Summary Measures'!R37</f>
        <v>-4.99472825489147</v>
      </c>
      <c r="S37" s="91">
        <f>'SCF (name) Summary Measures'!S37-'TPM Summary Measures'!S37</f>
        <v>-5.5722101763017235</v>
      </c>
      <c r="T37" s="91">
        <f>'SCF (name) Summary Measures'!T37-'TPM Summary Measures'!T37</f>
        <v>-6.146674199918607</v>
      </c>
      <c r="U37" s="91">
        <f>'SCF (name) Summary Measures'!U37-'TPM Summary Measures'!U37</f>
        <v>-6.7156364982364494</v>
      </c>
      <c r="V37" s="91">
        <f>'SCF (name) Summary Measures'!V37-'TPM Summary Measures'!V37</f>
        <v>-7.2771521223075979</v>
      </c>
    </row>
    <row r="38" spans="1:23" s="64" customFormat="1" x14ac:dyDescent="0.25">
      <c r="A38" s="86"/>
      <c r="B38" s="63" t="s">
        <v>293</v>
      </c>
      <c r="C38" s="91">
        <f>'SCF (name) Summary Measures'!C38-'TPM Summary Measures'!C38</f>
        <v>0</v>
      </c>
      <c r="D38" s="91">
        <f>'SCF (name) Summary Measures'!D38-'TPM Summary Measures'!D38</f>
        <v>0</v>
      </c>
      <c r="E38" s="91">
        <f>'SCF (name) Summary Measures'!E38-'TPM Summary Measures'!E38</f>
        <v>0</v>
      </c>
      <c r="F38" s="91">
        <f>'SCF (name) Summary Measures'!F38-'TPM Summary Measures'!F38</f>
        <v>0</v>
      </c>
      <c r="G38" s="91">
        <f>'SCF (name) Summary Measures'!G38-'TPM Summary Measures'!G38</f>
        <v>0</v>
      </c>
      <c r="H38" s="91">
        <f>'SCF (name) Summary Measures'!H38-'TPM Summary Measures'!H38</f>
        <v>0</v>
      </c>
      <c r="I38" s="91">
        <f>'SCF (name) Summary Measures'!I38-'TPM Summary Measures'!I38</f>
        <v>0</v>
      </c>
      <c r="J38" s="91">
        <f>'SCF (name) Summary Measures'!J38-'TPM Summary Measures'!J38</f>
        <v>0</v>
      </c>
      <c r="K38" s="91">
        <f>'SCF (name) Summary Measures'!K38-'TPM Summary Measures'!K38</f>
        <v>0</v>
      </c>
      <c r="L38" s="140">
        <f>'SCF (name) Summary Measures'!L38-'TPM Summary Measures'!L38</f>
        <v>0</v>
      </c>
      <c r="M38" s="91">
        <f>'SCF (name) Summary Measures'!M38-'TPM Summary Measures'!M38</f>
        <v>-2.0367076793797878</v>
      </c>
      <c r="N38" s="91">
        <f>'SCF (name) Summary Measures'!N38-'TPM Summary Measures'!N38</f>
        <v>-2.7161618688783165</v>
      </c>
      <c r="O38" s="91">
        <f>'SCF (name) Summary Measures'!O38-'TPM Summary Measures'!O38</f>
        <v>-3.2807887369701803</v>
      </c>
      <c r="P38" s="91">
        <f>'SCF (name) Summary Measures'!P38-'TPM Summary Measures'!P38</f>
        <v>-3.8447385190247587</v>
      </c>
      <c r="Q38" s="91">
        <f>'SCF (name) Summary Measures'!Q38-'TPM Summary Measures'!Q38</f>
        <v>-4.4174781514441293</v>
      </c>
      <c r="R38" s="91">
        <f>'SCF (name) Summary Measures'!R38-'TPM Summary Measures'!R38</f>
        <v>-4.99472825489147</v>
      </c>
      <c r="S38" s="91">
        <f>'SCF (name) Summary Measures'!S38-'TPM Summary Measures'!S38</f>
        <v>-5.5722101763017235</v>
      </c>
      <c r="T38" s="91">
        <f>'SCF (name) Summary Measures'!T38-'TPM Summary Measures'!T38</f>
        <v>-6.1466741999183796</v>
      </c>
      <c r="U38" s="91">
        <f>'SCF (name) Summary Measures'!U38-'TPM Summary Measures'!U38</f>
        <v>-6.7156364982365631</v>
      </c>
      <c r="V38" s="91">
        <f>'SCF (name) Summary Measures'!V38-'TPM Summary Measures'!V38</f>
        <v>-7.2771521223073705</v>
      </c>
    </row>
    <row r="39" spans="1:23" s="64" customFormat="1" x14ac:dyDescent="0.25">
      <c r="A39" s="86"/>
      <c r="B39" s="63" t="s">
        <v>300</v>
      </c>
      <c r="C39" s="91">
        <f>'SCF (name) Summary Measures'!C39-'TPM Summary Measures'!C39</f>
        <v>0</v>
      </c>
      <c r="D39" s="91">
        <f>'SCF (name) Summary Measures'!D39-'TPM Summary Measures'!D39</f>
        <v>0</v>
      </c>
      <c r="E39" s="91">
        <f>'SCF (name) Summary Measures'!E39-'TPM Summary Measures'!E39</f>
        <v>0</v>
      </c>
      <c r="F39" s="91">
        <f>'SCF (name) Summary Measures'!F39-'TPM Summary Measures'!F39</f>
        <v>0</v>
      </c>
      <c r="G39" s="91">
        <f>'SCF (name) Summary Measures'!G39-'TPM Summary Measures'!G39</f>
        <v>0</v>
      </c>
      <c r="H39" s="91">
        <f>'SCF (name) Summary Measures'!H39-'TPM Summary Measures'!H39</f>
        <v>0</v>
      </c>
      <c r="I39" s="91">
        <f>'SCF (name) Summary Measures'!I39-'TPM Summary Measures'!I39</f>
        <v>0</v>
      </c>
      <c r="J39" s="91">
        <f>'SCF (name) Summary Measures'!J39-'TPM Summary Measures'!J39</f>
        <v>0</v>
      </c>
      <c r="K39" s="91">
        <f>'SCF (name) Summary Measures'!K39-'TPM Summary Measures'!K39</f>
        <v>0</v>
      </c>
      <c r="L39" s="140">
        <f>'SCF (name) Summary Measures'!L39-'TPM Summary Measures'!L39</f>
        <v>0</v>
      </c>
      <c r="M39" s="91">
        <f>'SCF (name) Summary Measures'!M39-'TPM Summary Measures'!M39</f>
        <v>0</v>
      </c>
      <c r="N39" s="91">
        <f>'SCF (name) Summary Measures'!N39-'TPM Summary Measures'!N39</f>
        <v>0</v>
      </c>
      <c r="O39" s="91">
        <f>'SCF (name) Summary Measures'!O39-'TPM Summary Measures'!O39</f>
        <v>0</v>
      </c>
      <c r="P39" s="91">
        <f>'SCF (name) Summary Measures'!P39-'TPM Summary Measures'!P39</f>
        <v>0</v>
      </c>
      <c r="Q39" s="91">
        <f>'SCF (name) Summary Measures'!Q39-'TPM Summary Measures'!Q39</f>
        <v>0</v>
      </c>
      <c r="R39" s="91">
        <f>'SCF (name) Summary Measures'!R39-'TPM Summary Measures'!R39</f>
        <v>0</v>
      </c>
      <c r="S39" s="91">
        <f>'SCF (name) Summary Measures'!S39-'TPM Summary Measures'!S39</f>
        <v>0</v>
      </c>
      <c r="T39" s="91">
        <f>'SCF (name) Summary Measures'!T39-'TPM Summary Measures'!T39</f>
        <v>0</v>
      </c>
      <c r="U39" s="91">
        <f>'SCF (name) Summary Measures'!U39-'TPM Summary Measures'!U39</f>
        <v>0</v>
      </c>
      <c r="V39" s="91">
        <f>'SCF (name) Summary Measures'!V39-'TPM Summary Measures'!V39</f>
        <v>0</v>
      </c>
    </row>
    <row r="40" spans="1:23" s="64" customFormat="1" x14ac:dyDescent="0.25">
      <c r="A40" s="86"/>
      <c r="B40" s="63" t="s">
        <v>301</v>
      </c>
      <c r="C40" s="91">
        <f>'SCF (name) Summary Measures'!C40-'TPM Summary Measures'!C40</f>
        <v>0</v>
      </c>
      <c r="D40" s="91">
        <f>'SCF (name) Summary Measures'!D40-'TPM Summary Measures'!D40</f>
        <v>0</v>
      </c>
      <c r="E40" s="91">
        <f>'SCF (name) Summary Measures'!E40-'TPM Summary Measures'!E40</f>
        <v>0</v>
      </c>
      <c r="F40" s="91">
        <f>'SCF (name) Summary Measures'!F40-'TPM Summary Measures'!F40</f>
        <v>0</v>
      </c>
      <c r="G40" s="91">
        <f>'SCF (name) Summary Measures'!G40-'TPM Summary Measures'!G40</f>
        <v>0</v>
      </c>
      <c r="H40" s="91">
        <f>'SCF (name) Summary Measures'!H40-'TPM Summary Measures'!H40</f>
        <v>0</v>
      </c>
      <c r="I40" s="91">
        <f>'SCF (name) Summary Measures'!I40-'TPM Summary Measures'!I40</f>
        <v>0</v>
      </c>
      <c r="J40" s="91">
        <f>'SCF (name) Summary Measures'!J40-'TPM Summary Measures'!J40</f>
        <v>0</v>
      </c>
      <c r="K40" s="91">
        <f>'SCF (name) Summary Measures'!K40-'TPM Summary Measures'!K40</f>
        <v>0</v>
      </c>
      <c r="L40" s="140">
        <f>'SCF (name) Summary Measures'!L40-'TPM Summary Measures'!L40</f>
        <v>0</v>
      </c>
      <c r="M40" s="91">
        <f>'SCF (name) Summary Measures'!M40-'TPM Summary Measures'!M40</f>
        <v>-2.0367076793800152</v>
      </c>
      <c r="N40" s="91">
        <f>'SCF (name) Summary Measures'!N40-'TPM Summary Measures'!N40</f>
        <v>-2.7161618688787712</v>
      </c>
      <c r="O40" s="91">
        <f>'SCF (name) Summary Measures'!O40-'TPM Summary Measures'!O40</f>
        <v>-3.280788736970635</v>
      </c>
      <c r="P40" s="91">
        <f>'SCF (name) Summary Measures'!P40-'TPM Summary Measures'!P40</f>
        <v>-3.8447385190247587</v>
      </c>
      <c r="Q40" s="91">
        <f>'SCF (name) Summary Measures'!Q40-'TPM Summary Measures'!Q40</f>
        <v>-4.4174781514439019</v>
      </c>
      <c r="R40" s="91">
        <f>'SCF (name) Summary Measures'!R40-'TPM Summary Measures'!R40</f>
        <v>-4.99472825489147</v>
      </c>
      <c r="S40" s="91">
        <f>'SCF (name) Summary Measures'!S40-'TPM Summary Measures'!S40</f>
        <v>-5.5722101763012688</v>
      </c>
      <c r="T40" s="91">
        <f>'SCF (name) Summary Measures'!T40-'TPM Summary Measures'!T40</f>
        <v>-6.1466741999188343</v>
      </c>
      <c r="U40" s="91">
        <f>'SCF (name) Summary Measures'!U40-'TPM Summary Measures'!U40</f>
        <v>-6.7156364982363357</v>
      </c>
      <c r="V40" s="91">
        <f>'SCF (name) Summary Measures'!V40-'TPM Summary Measures'!V40</f>
        <v>-7.2771521223075979</v>
      </c>
    </row>
    <row r="41" spans="1:23" s="64" customFormat="1" x14ac:dyDescent="0.25">
      <c r="A41" s="86"/>
      <c r="B41" s="309" t="s">
        <v>87</v>
      </c>
      <c r="C41" s="100">
        <f>'SCF (name) Summary Measures'!C41-'TPM Summary Measures'!C41</f>
        <v>0</v>
      </c>
      <c r="D41" s="100">
        <f>'SCF (name) Summary Measures'!D41-'TPM Summary Measures'!D41</f>
        <v>0</v>
      </c>
      <c r="E41" s="100">
        <f>'SCF (name) Summary Measures'!E41-'TPM Summary Measures'!E41</f>
        <v>0</v>
      </c>
      <c r="F41" s="100">
        <f>'SCF (name) Summary Measures'!F41-'TPM Summary Measures'!F41</f>
        <v>0</v>
      </c>
      <c r="G41" s="100">
        <f>'SCF (name) Summary Measures'!G41-'TPM Summary Measures'!G41</f>
        <v>0</v>
      </c>
      <c r="H41" s="100">
        <f>'SCF (name) Summary Measures'!H41-'TPM Summary Measures'!H41</f>
        <v>0</v>
      </c>
      <c r="I41" s="100">
        <f>'SCF (name) Summary Measures'!I41-'TPM Summary Measures'!I41</f>
        <v>0</v>
      </c>
      <c r="J41" s="100">
        <f>'SCF (name) Summary Measures'!J41-'TPM Summary Measures'!J41</f>
        <v>0</v>
      </c>
      <c r="K41" s="100">
        <f>'SCF (name) Summary Measures'!K41-'TPM Summary Measures'!K41</f>
        <v>0</v>
      </c>
      <c r="L41" s="142">
        <f>'SCF (name) Summary Measures'!L41-'TPM Summary Measures'!L41</f>
        <v>0</v>
      </c>
      <c r="M41" s="100">
        <f>'SCF (name) Summary Measures'!M41-'TPM Summary Measures'!M41</f>
        <v>-2.0367076793809247</v>
      </c>
      <c r="N41" s="100">
        <f>'SCF (name) Summary Measures'!N41-'TPM Summary Measures'!N41</f>
        <v>-2.7161618688769522</v>
      </c>
      <c r="O41" s="100">
        <f>'SCF (name) Summary Measures'!O41-'TPM Summary Measures'!O41</f>
        <v>-3.2807887369708624</v>
      </c>
      <c r="P41" s="100">
        <f>'SCF (name) Summary Measures'!P41-'TPM Summary Measures'!P41</f>
        <v>-3.8447385190247587</v>
      </c>
      <c r="Q41" s="100">
        <f>'SCF (name) Summary Measures'!Q41-'TPM Summary Measures'!Q41</f>
        <v>-4.4174781514439019</v>
      </c>
      <c r="R41" s="100">
        <f>'SCF (name) Summary Measures'!R41-'TPM Summary Measures'!R41</f>
        <v>-4.9947282548919247</v>
      </c>
      <c r="S41" s="100">
        <f>'SCF (name) Summary Measures'!S41-'TPM Summary Measures'!S41</f>
        <v>-5.5722101763021783</v>
      </c>
      <c r="T41" s="100">
        <f>'SCF (name) Summary Measures'!T41-'TPM Summary Measures'!T41</f>
        <v>-6.1466741999183796</v>
      </c>
      <c r="U41" s="100">
        <f>'SCF (name) Summary Measures'!U41-'TPM Summary Measures'!U41</f>
        <v>-6.7156364982338346</v>
      </c>
      <c r="V41" s="100">
        <f>'SCF (name) Summary Measures'!V41-'TPM Summary Measures'!V41</f>
        <v>-7.2771521223075979</v>
      </c>
      <c r="W41" s="116"/>
    </row>
    <row r="42" spans="1:23" s="88" customFormat="1" x14ac:dyDescent="0.25">
      <c r="A42" s="150" t="s">
        <v>302</v>
      </c>
      <c r="B42" s="64"/>
      <c r="C42" s="91">
        <f>'SCF (name) Summary Measures'!C42-'TPM Summary Measures'!C42</f>
        <v>0</v>
      </c>
      <c r="D42" s="91">
        <f>'SCF (name) Summary Measures'!D42-'TPM Summary Measures'!D42</f>
        <v>0</v>
      </c>
      <c r="E42" s="91">
        <f>'SCF (name) Summary Measures'!E42-'TPM Summary Measures'!E42</f>
        <v>0</v>
      </c>
      <c r="F42" s="91">
        <f>'SCF (name) Summary Measures'!F42-'TPM Summary Measures'!F42</f>
        <v>0</v>
      </c>
      <c r="G42" s="91">
        <f>'SCF (name) Summary Measures'!G42-'TPM Summary Measures'!G42</f>
        <v>0</v>
      </c>
      <c r="H42" s="91">
        <f>'SCF (name) Summary Measures'!H42-'TPM Summary Measures'!H42</f>
        <v>0</v>
      </c>
      <c r="I42" s="91">
        <f>'SCF (name) Summary Measures'!I42-'TPM Summary Measures'!I42</f>
        <v>0</v>
      </c>
      <c r="J42" s="91">
        <f>'SCF (name) Summary Measures'!J42-'TPM Summary Measures'!J42</f>
        <v>0</v>
      </c>
      <c r="K42" s="91">
        <f>'SCF (name) Summary Measures'!K42-'TPM Summary Measures'!K42</f>
        <v>0</v>
      </c>
      <c r="L42" s="140">
        <f>'SCF (name) Summary Measures'!L42-'TPM Summary Measures'!L42</f>
        <v>0</v>
      </c>
      <c r="M42" s="91">
        <f>'SCF (name) Summary Measures'!M42-'TPM Summary Measures'!M42</f>
        <v>0</v>
      </c>
      <c r="N42" s="91">
        <f>'SCF (name) Summary Measures'!N42-'TPM Summary Measures'!N42</f>
        <v>0</v>
      </c>
      <c r="O42" s="91">
        <f>'SCF (name) Summary Measures'!O42-'TPM Summary Measures'!O42</f>
        <v>0</v>
      </c>
      <c r="P42" s="91">
        <f>'SCF (name) Summary Measures'!P42-'TPM Summary Measures'!P42</f>
        <v>0</v>
      </c>
      <c r="Q42" s="91">
        <f>'SCF (name) Summary Measures'!Q42-'TPM Summary Measures'!Q42</f>
        <v>0</v>
      </c>
      <c r="R42" s="91">
        <f>'SCF (name) Summary Measures'!R42-'TPM Summary Measures'!R42</f>
        <v>0</v>
      </c>
      <c r="S42" s="91">
        <f>'SCF (name) Summary Measures'!S42-'TPM Summary Measures'!S42</f>
        <v>0</v>
      </c>
      <c r="T42" s="91">
        <f>'SCF (name) Summary Measures'!T42-'TPM Summary Measures'!T42</f>
        <v>0</v>
      </c>
      <c r="U42" s="91">
        <f>'SCF (name) Summary Measures'!U42-'TPM Summary Measures'!U42</f>
        <v>0</v>
      </c>
      <c r="V42" s="91">
        <f>'SCF (name) Summary Measures'!V42-'TPM Summary Measures'!V42</f>
        <v>0</v>
      </c>
      <c r="W42" s="64"/>
    </row>
    <row r="43" spans="1:23" x14ac:dyDescent="0.25">
      <c r="A43" s="86"/>
      <c r="B43" s="64" t="s">
        <v>313</v>
      </c>
      <c r="C43" s="91">
        <f>'SCF (name) Summary Measures'!C43-'TPM Summary Measures'!C43</f>
        <v>0</v>
      </c>
      <c r="D43" s="91">
        <f>'SCF (name) Summary Measures'!D43-'TPM Summary Measures'!D43</f>
        <v>0</v>
      </c>
      <c r="E43" s="91">
        <f>'SCF (name) Summary Measures'!E43-'TPM Summary Measures'!E43</f>
        <v>0</v>
      </c>
      <c r="F43" s="91">
        <f>'SCF (name) Summary Measures'!F43-'TPM Summary Measures'!F43</f>
        <v>0</v>
      </c>
      <c r="G43" s="91">
        <f>'SCF (name) Summary Measures'!G43-'TPM Summary Measures'!G43</f>
        <v>0</v>
      </c>
      <c r="H43" s="91">
        <f>'SCF (name) Summary Measures'!H43-'TPM Summary Measures'!H43</f>
        <v>0</v>
      </c>
      <c r="I43" s="91">
        <f>'SCF (name) Summary Measures'!I43-'TPM Summary Measures'!I43</f>
        <v>0</v>
      </c>
      <c r="J43" s="91">
        <f>'SCF (name) Summary Measures'!J43-'TPM Summary Measures'!J43</f>
        <v>0</v>
      </c>
      <c r="K43" s="91">
        <f>'SCF (name) Summary Measures'!K43-'TPM Summary Measures'!K43</f>
        <v>0</v>
      </c>
      <c r="L43" s="140">
        <f>'SCF (name) Summary Measures'!L43-'TPM Summary Measures'!L43</f>
        <v>0</v>
      </c>
      <c r="M43" s="91">
        <f>'SCF (name) Summary Measures'!M43-'TPM Summary Measures'!M43</f>
        <v>0</v>
      </c>
      <c r="N43" s="91">
        <f>'SCF (name) Summary Measures'!N43-'TPM Summary Measures'!N43</f>
        <v>0</v>
      </c>
      <c r="O43" s="91">
        <f>'SCF (name) Summary Measures'!O43-'TPM Summary Measures'!O43</f>
        <v>0</v>
      </c>
      <c r="P43" s="91">
        <f>'SCF (name) Summary Measures'!P43-'TPM Summary Measures'!P43</f>
        <v>0</v>
      </c>
      <c r="Q43" s="91">
        <f>'SCF (name) Summary Measures'!Q43-'TPM Summary Measures'!Q43</f>
        <v>0</v>
      </c>
      <c r="R43" s="91">
        <f>'SCF (name) Summary Measures'!R43-'TPM Summary Measures'!R43</f>
        <v>0</v>
      </c>
      <c r="S43" s="91">
        <f>'SCF (name) Summary Measures'!S43-'TPM Summary Measures'!S43</f>
        <v>0</v>
      </c>
      <c r="T43" s="91">
        <f>'SCF (name) Summary Measures'!T43-'TPM Summary Measures'!T43</f>
        <v>0</v>
      </c>
      <c r="U43" s="91">
        <f>'SCF (name) Summary Measures'!U43-'TPM Summary Measures'!U43</f>
        <v>0</v>
      </c>
      <c r="V43" s="91">
        <f>'SCF (name) Summary Measures'!V43-'TPM Summary Measures'!V43</f>
        <v>0</v>
      </c>
    </row>
    <row r="44" spans="1:23" x14ac:dyDescent="0.25">
      <c r="A44" s="86"/>
      <c r="B44" s="63" t="s">
        <v>128</v>
      </c>
      <c r="C44" s="91">
        <f>'SCF (name) Summary Measures'!C44-'TPM Summary Measures'!C44</f>
        <v>0</v>
      </c>
      <c r="D44" s="91">
        <f>'SCF (name) Summary Measures'!D44-'TPM Summary Measures'!D44</f>
        <v>0</v>
      </c>
      <c r="E44" s="91">
        <f>'SCF (name) Summary Measures'!E44-'TPM Summary Measures'!E44</f>
        <v>0</v>
      </c>
      <c r="F44" s="91">
        <f>'SCF (name) Summary Measures'!F44-'TPM Summary Measures'!F44</f>
        <v>0</v>
      </c>
      <c r="G44" s="91">
        <f>'SCF (name) Summary Measures'!G44-'TPM Summary Measures'!G44</f>
        <v>0</v>
      </c>
      <c r="H44" s="91">
        <f>'SCF (name) Summary Measures'!H44-'TPM Summary Measures'!H44</f>
        <v>0</v>
      </c>
      <c r="I44" s="91">
        <f>'SCF (name) Summary Measures'!I44-'TPM Summary Measures'!I44</f>
        <v>0</v>
      </c>
      <c r="J44" s="91">
        <f>'SCF (name) Summary Measures'!J44-'TPM Summary Measures'!J44</f>
        <v>0</v>
      </c>
      <c r="K44" s="91">
        <f>'SCF (name) Summary Measures'!K44-'TPM Summary Measures'!K44</f>
        <v>0</v>
      </c>
      <c r="L44" s="140">
        <f>'SCF (name) Summary Measures'!L44-'TPM Summary Measures'!L44</f>
        <v>0</v>
      </c>
      <c r="M44" s="91">
        <f>'SCF (name) Summary Measures'!M44-'TPM Summary Measures'!M44</f>
        <v>0</v>
      </c>
      <c r="N44" s="91">
        <f>'SCF (name) Summary Measures'!N44-'TPM Summary Measures'!N44</f>
        <v>0</v>
      </c>
      <c r="O44" s="91">
        <f>'SCF (name) Summary Measures'!O44-'TPM Summary Measures'!O44</f>
        <v>0</v>
      </c>
      <c r="P44" s="91">
        <f>'SCF (name) Summary Measures'!P44-'TPM Summary Measures'!P44</f>
        <v>0</v>
      </c>
      <c r="Q44" s="91">
        <f>'SCF (name) Summary Measures'!Q44-'TPM Summary Measures'!Q44</f>
        <v>0</v>
      </c>
      <c r="R44" s="91">
        <f>'SCF (name) Summary Measures'!R44-'TPM Summary Measures'!R44</f>
        <v>0</v>
      </c>
      <c r="S44" s="91">
        <f>'SCF (name) Summary Measures'!S44-'TPM Summary Measures'!S44</f>
        <v>0</v>
      </c>
      <c r="T44" s="91">
        <f>'SCF (name) Summary Measures'!T44-'TPM Summary Measures'!T44</f>
        <v>0</v>
      </c>
      <c r="U44" s="91">
        <f>'SCF (name) Summary Measures'!U44-'TPM Summary Measures'!U44</f>
        <v>0</v>
      </c>
      <c r="V44" s="91">
        <f>'SCF (name) Summary Measures'!V44-'TPM Summary Measures'!V44</f>
        <v>0</v>
      </c>
    </row>
    <row r="45" spans="1:23" x14ac:dyDescent="0.25">
      <c r="A45" s="86"/>
      <c r="B45" s="63" t="s">
        <v>129</v>
      </c>
      <c r="C45" s="91">
        <f>'SCF (name) Summary Measures'!C45-'TPM Summary Measures'!C45</f>
        <v>0</v>
      </c>
      <c r="D45" s="91">
        <f>'SCF (name) Summary Measures'!D45-'TPM Summary Measures'!D45</f>
        <v>0</v>
      </c>
      <c r="E45" s="91">
        <f>'SCF (name) Summary Measures'!E45-'TPM Summary Measures'!E45</f>
        <v>0</v>
      </c>
      <c r="F45" s="91">
        <f>'SCF (name) Summary Measures'!F45-'TPM Summary Measures'!F45</f>
        <v>0</v>
      </c>
      <c r="G45" s="91">
        <f>'SCF (name) Summary Measures'!G45-'TPM Summary Measures'!G45</f>
        <v>0</v>
      </c>
      <c r="H45" s="91">
        <f>'SCF (name) Summary Measures'!H45-'TPM Summary Measures'!H45</f>
        <v>0</v>
      </c>
      <c r="I45" s="91">
        <f>'SCF (name) Summary Measures'!I45-'TPM Summary Measures'!I45</f>
        <v>0</v>
      </c>
      <c r="J45" s="91">
        <f>'SCF (name) Summary Measures'!J45-'TPM Summary Measures'!J45</f>
        <v>0</v>
      </c>
      <c r="K45" s="91">
        <f>'SCF (name) Summary Measures'!K45-'TPM Summary Measures'!K45</f>
        <v>0</v>
      </c>
      <c r="L45" s="140">
        <f>'SCF (name) Summary Measures'!L45-'TPM Summary Measures'!L45</f>
        <v>0</v>
      </c>
      <c r="M45" s="91">
        <f>'SCF (name) Summary Measures'!M45-'TPM Summary Measures'!M45</f>
        <v>0</v>
      </c>
      <c r="N45" s="91">
        <f>'SCF (name) Summary Measures'!N45-'TPM Summary Measures'!N45</f>
        <v>0</v>
      </c>
      <c r="O45" s="91">
        <f>'SCF (name) Summary Measures'!O45-'TPM Summary Measures'!O45</f>
        <v>0</v>
      </c>
      <c r="P45" s="91">
        <f>'SCF (name) Summary Measures'!P45-'TPM Summary Measures'!P45</f>
        <v>0</v>
      </c>
      <c r="Q45" s="91">
        <f>'SCF (name) Summary Measures'!Q45-'TPM Summary Measures'!Q45</f>
        <v>0</v>
      </c>
      <c r="R45" s="91">
        <f>'SCF (name) Summary Measures'!R45-'TPM Summary Measures'!R45</f>
        <v>0</v>
      </c>
      <c r="S45" s="91">
        <f>'SCF (name) Summary Measures'!S45-'TPM Summary Measures'!S45</f>
        <v>0</v>
      </c>
      <c r="T45" s="91">
        <f>'SCF (name) Summary Measures'!T45-'TPM Summary Measures'!T45</f>
        <v>0</v>
      </c>
      <c r="U45" s="91">
        <f>'SCF (name) Summary Measures'!U45-'TPM Summary Measures'!U45</f>
        <v>0</v>
      </c>
      <c r="V45" s="91">
        <f>'SCF (name) Summary Measures'!V45-'TPM Summary Measures'!V45</f>
        <v>0</v>
      </c>
    </row>
    <row r="46" spans="1:23" x14ac:dyDescent="0.25">
      <c r="A46" s="86"/>
      <c r="B46" s="63" t="s">
        <v>130</v>
      </c>
      <c r="C46" s="91">
        <f>'SCF (name) Summary Measures'!C46-'TPM Summary Measures'!C46</f>
        <v>0</v>
      </c>
      <c r="D46" s="91">
        <f>'SCF (name) Summary Measures'!D46-'TPM Summary Measures'!D46</f>
        <v>0</v>
      </c>
      <c r="E46" s="91">
        <f>'SCF (name) Summary Measures'!E46-'TPM Summary Measures'!E46</f>
        <v>0</v>
      </c>
      <c r="F46" s="91">
        <f>'SCF (name) Summary Measures'!F46-'TPM Summary Measures'!F46</f>
        <v>0</v>
      </c>
      <c r="G46" s="91">
        <f>'SCF (name) Summary Measures'!G46-'TPM Summary Measures'!G46</f>
        <v>0</v>
      </c>
      <c r="H46" s="91">
        <f>'SCF (name) Summary Measures'!H46-'TPM Summary Measures'!H46</f>
        <v>0</v>
      </c>
      <c r="I46" s="91">
        <f>'SCF (name) Summary Measures'!I46-'TPM Summary Measures'!I46</f>
        <v>0</v>
      </c>
      <c r="J46" s="91">
        <f>'SCF (name) Summary Measures'!J46-'TPM Summary Measures'!J46</f>
        <v>0</v>
      </c>
      <c r="K46" s="91">
        <f>'SCF (name) Summary Measures'!K46-'TPM Summary Measures'!K46</f>
        <v>0</v>
      </c>
      <c r="L46" s="140">
        <f>'SCF (name) Summary Measures'!L46-'TPM Summary Measures'!L46</f>
        <v>0</v>
      </c>
      <c r="M46" s="91">
        <f>'SCF (name) Summary Measures'!M46-'TPM Summary Measures'!M46</f>
        <v>0</v>
      </c>
      <c r="N46" s="91">
        <f>'SCF (name) Summary Measures'!N46-'TPM Summary Measures'!N46</f>
        <v>0</v>
      </c>
      <c r="O46" s="91">
        <f>'SCF (name) Summary Measures'!O46-'TPM Summary Measures'!O46</f>
        <v>0</v>
      </c>
      <c r="P46" s="91">
        <f>'SCF (name) Summary Measures'!P46-'TPM Summary Measures'!P46</f>
        <v>0</v>
      </c>
      <c r="Q46" s="91">
        <f>'SCF (name) Summary Measures'!Q46-'TPM Summary Measures'!Q46</f>
        <v>0</v>
      </c>
      <c r="R46" s="91">
        <f>'SCF (name) Summary Measures'!R46-'TPM Summary Measures'!R46</f>
        <v>0</v>
      </c>
      <c r="S46" s="91">
        <f>'SCF (name) Summary Measures'!S46-'TPM Summary Measures'!S46</f>
        <v>0</v>
      </c>
      <c r="T46" s="91">
        <f>'SCF (name) Summary Measures'!T46-'TPM Summary Measures'!T46</f>
        <v>0</v>
      </c>
      <c r="U46" s="91">
        <f>'SCF (name) Summary Measures'!U46-'TPM Summary Measures'!U46</f>
        <v>0</v>
      </c>
      <c r="V46" s="91">
        <f>'SCF (name) Summary Measures'!V46-'TPM Summary Measures'!V46</f>
        <v>0</v>
      </c>
    </row>
    <row r="47" spans="1:23" x14ac:dyDescent="0.25">
      <c r="A47" s="86"/>
      <c r="B47" s="63" t="s">
        <v>131</v>
      </c>
      <c r="C47" s="91">
        <f>'SCF (name) Summary Measures'!C47-'TPM Summary Measures'!C47</f>
        <v>0</v>
      </c>
      <c r="D47" s="91">
        <f>'SCF (name) Summary Measures'!D47-'TPM Summary Measures'!D47</f>
        <v>0</v>
      </c>
      <c r="E47" s="91">
        <f>'SCF (name) Summary Measures'!E47-'TPM Summary Measures'!E47</f>
        <v>0</v>
      </c>
      <c r="F47" s="91">
        <f>'SCF (name) Summary Measures'!F47-'TPM Summary Measures'!F47</f>
        <v>0</v>
      </c>
      <c r="G47" s="91">
        <f>'SCF (name) Summary Measures'!G47-'TPM Summary Measures'!G47</f>
        <v>0</v>
      </c>
      <c r="H47" s="91">
        <f>'SCF (name) Summary Measures'!H47-'TPM Summary Measures'!H47</f>
        <v>0</v>
      </c>
      <c r="I47" s="91">
        <f>'SCF (name) Summary Measures'!I47-'TPM Summary Measures'!I47</f>
        <v>0</v>
      </c>
      <c r="J47" s="91">
        <f>'SCF (name) Summary Measures'!J47-'TPM Summary Measures'!J47</f>
        <v>0</v>
      </c>
      <c r="K47" s="91">
        <f>'SCF (name) Summary Measures'!K47-'TPM Summary Measures'!K47</f>
        <v>0</v>
      </c>
      <c r="L47" s="140">
        <f>'SCF (name) Summary Measures'!L47-'TPM Summary Measures'!L47</f>
        <v>0</v>
      </c>
      <c r="M47" s="91">
        <f>'SCF (name) Summary Measures'!M47-'TPM Summary Measures'!M47</f>
        <v>0</v>
      </c>
      <c r="N47" s="91">
        <f>'SCF (name) Summary Measures'!N47-'TPM Summary Measures'!N47</f>
        <v>0</v>
      </c>
      <c r="O47" s="91">
        <f>'SCF (name) Summary Measures'!O47-'TPM Summary Measures'!O47</f>
        <v>0</v>
      </c>
      <c r="P47" s="91">
        <f>'SCF (name) Summary Measures'!P47-'TPM Summary Measures'!P47</f>
        <v>0</v>
      </c>
      <c r="Q47" s="91">
        <f>'SCF (name) Summary Measures'!Q47-'TPM Summary Measures'!Q47</f>
        <v>0</v>
      </c>
      <c r="R47" s="91">
        <f>'SCF (name) Summary Measures'!R47-'TPM Summary Measures'!R47</f>
        <v>0</v>
      </c>
      <c r="S47" s="91">
        <f>'SCF (name) Summary Measures'!S47-'TPM Summary Measures'!S47</f>
        <v>0</v>
      </c>
      <c r="T47" s="91">
        <f>'SCF (name) Summary Measures'!T47-'TPM Summary Measures'!T47</f>
        <v>0</v>
      </c>
      <c r="U47" s="91">
        <f>'SCF (name) Summary Measures'!U47-'TPM Summary Measures'!U47</f>
        <v>0</v>
      </c>
      <c r="V47" s="91">
        <f>'SCF (name) Summary Measures'!V47-'TPM Summary Measures'!V47</f>
        <v>0</v>
      </c>
    </row>
    <row r="48" spans="1:23" x14ac:dyDescent="0.25">
      <c r="A48" s="86"/>
      <c r="B48" s="63" t="s">
        <v>303</v>
      </c>
      <c r="C48" s="91">
        <f>'SCF (name) Summary Measures'!C48-'TPM Summary Measures'!C48</f>
        <v>0</v>
      </c>
      <c r="D48" s="91">
        <f>'SCF (name) Summary Measures'!D48-'TPM Summary Measures'!D48</f>
        <v>0</v>
      </c>
      <c r="E48" s="91">
        <f>'SCF (name) Summary Measures'!E48-'TPM Summary Measures'!E48</f>
        <v>0</v>
      </c>
      <c r="F48" s="91">
        <f>'SCF (name) Summary Measures'!F48-'TPM Summary Measures'!F48</f>
        <v>0</v>
      </c>
      <c r="G48" s="91">
        <f>'SCF (name) Summary Measures'!G48-'TPM Summary Measures'!G48</f>
        <v>0</v>
      </c>
      <c r="H48" s="91">
        <f>'SCF (name) Summary Measures'!H48-'TPM Summary Measures'!H48</f>
        <v>0</v>
      </c>
      <c r="I48" s="91">
        <f>'SCF (name) Summary Measures'!I48-'TPM Summary Measures'!I48</f>
        <v>0</v>
      </c>
      <c r="J48" s="91">
        <f>'SCF (name) Summary Measures'!J48-'TPM Summary Measures'!J48</f>
        <v>0</v>
      </c>
      <c r="K48" s="91">
        <f>'SCF (name) Summary Measures'!K48-'TPM Summary Measures'!K48</f>
        <v>0</v>
      </c>
      <c r="L48" s="140">
        <f>'SCF (name) Summary Measures'!L48-'TPM Summary Measures'!L48</f>
        <v>0</v>
      </c>
      <c r="M48" s="91">
        <f>'SCF (name) Summary Measures'!M48-'TPM Summary Measures'!M48</f>
        <v>0</v>
      </c>
      <c r="N48" s="91">
        <f>'SCF (name) Summary Measures'!N48-'TPM Summary Measures'!N48</f>
        <v>0</v>
      </c>
      <c r="O48" s="91">
        <f>'SCF (name) Summary Measures'!O48-'TPM Summary Measures'!O48</f>
        <v>0</v>
      </c>
      <c r="P48" s="91">
        <f>'SCF (name) Summary Measures'!P48-'TPM Summary Measures'!P48</f>
        <v>0</v>
      </c>
      <c r="Q48" s="91">
        <f>'SCF (name) Summary Measures'!Q48-'TPM Summary Measures'!Q48</f>
        <v>0</v>
      </c>
      <c r="R48" s="91">
        <f>'SCF (name) Summary Measures'!R48-'TPM Summary Measures'!R48</f>
        <v>0</v>
      </c>
      <c r="S48" s="91">
        <f>'SCF (name) Summary Measures'!S48-'TPM Summary Measures'!S48</f>
        <v>0</v>
      </c>
      <c r="T48" s="91">
        <f>'SCF (name) Summary Measures'!T48-'TPM Summary Measures'!T48</f>
        <v>0</v>
      </c>
      <c r="U48" s="91">
        <f>'SCF (name) Summary Measures'!U48-'TPM Summary Measures'!U48</f>
        <v>0</v>
      </c>
      <c r="V48" s="91">
        <f>'SCF (name) Summary Measures'!V48-'TPM Summary Measures'!V48</f>
        <v>0</v>
      </c>
    </row>
    <row r="49" spans="1:22" x14ac:dyDescent="0.25">
      <c r="A49" s="86"/>
      <c r="B49" s="63" t="s">
        <v>314</v>
      </c>
      <c r="C49" s="91">
        <f>'SCF (name) Summary Measures'!C49-'TPM Summary Measures'!C49</f>
        <v>0</v>
      </c>
      <c r="D49" s="91">
        <f>'SCF (name) Summary Measures'!D49-'TPM Summary Measures'!D49</f>
        <v>0</v>
      </c>
      <c r="E49" s="91">
        <f>'SCF (name) Summary Measures'!E49-'TPM Summary Measures'!E49</f>
        <v>0</v>
      </c>
      <c r="F49" s="91">
        <f>'SCF (name) Summary Measures'!F49-'TPM Summary Measures'!F49</f>
        <v>0</v>
      </c>
      <c r="G49" s="91">
        <f>'SCF (name) Summary Measures'!G49-'TPM Summary Measures'!G49</f>
        <v>0</v>
      </c>
      <c r="H49" s="91">
        <f>'SCF (name) Summary Measures'!H49-'TPM Summary Measures'!H49</f>
        <v>0</v>
      </c>
      <c r="I49" s="91">
        <f>'SCF (name) Summary Measures'!I49-'TPM Summary Measures'!I49</f>
        <v>0</v>
      </c>
      <c r="J49" s="91">
        <f>'SCF (name) Summary Measures'!J49-'TPM Summary Measures'!J49</f>
        <v>0</v>
      </c>
      <c r="K49" s="91">
        <f>'SCF (name) Summary Measures'!K49-'TPM Summary Measures'!K49</f>
        <v>0</v>
      </c>
      <c r="L49" s="140">
        <f>'SCF (name) Summary Measures'!L49-'TPM Summary Measures'!L49</f>
        <v>0</v>
      </c>
      <c r="M49" s="91">
        <f>'SCF (name) Summary Measures'!M49-'TPM Summary Measures'!M49</f>
        <v>0</v>
      </c>
      <c r="N49" s="91">
        <f>'SCF (name) Summary Measures'!N49-'TPM Summary Measures'!N49</f>
        <v>0</v>
      </c>
      <c r="O49" s="91">
        <f>'SCF (name) Summary Measures'!O49-'TPM Summary Measures'!O49</f>
        <v>0</v>
      </c>
      <c r="P49" s="91">
        <f>'SCF (name) Summary Measures'!P49-'TPM Summary Measures'!P49</f>
        <v>0</v>
      </c>
      <c r="Q49" s="91">
        <f>'SCF (name) Summary Measures'!Q49-'TPM Summary Measures'!Q49</f>
        <v>0</v>
      </c>
      <c r="R49" s="91">
        <f>'SCF (name) Summary Measures'!R49-'TPM Summary Measures'!R49</f>
        <v>0</v>
      </c>
      <c r="S49" s="91">
        <f>'SCF (name) Summary Measures'!S49-'TPM Summary Measures'!S49</f>
        <v>0</v>
      </c>
      <c r="T49" s="91">
        <f>'SCF (name) Summary Measures'!T49-'TPM Summary Measures'!T49</f>
        <v>0</v>
      </c>
      <c r="U49" s="91">
        <f>'SCF (name) Summary Measures'!U49-'TPM Summary Measures'!U49</f>
        <v>0</v>
      </c>
      <c r="V49" s="91">
        <f>'SCF (name) Summary Measures'!V49-'TPM Summary Measures'!V49</f>
        <v>0</v>
      </c>
    </row>
    <row r="50" spans="1:22" x14ac:dyDescent="0.25">
      <c r="A50" s="86"/>
      <c r="B50" s="63" t="s">
        <v>128</v>
      </c>
      <c r="C50" s="91">
        <f>'SCF (name) Summary Measures'!C50-'TPM Summary Measures'!C50</f>
        <v>0</v>
      </c>
      <c r="D50" s="91">
        <f>'SCF (name) Summary Measures'!D50-'TPM Summary Measures'!D50</f>
        <v>0</v>
      </c>
      <c r="E50" s="91">
        <f>'SCF (name) Summary Measures'!E50-'TPM Summary Measures'!E50</f>
        <v>0</v>
      </c>
      <c r="F50" s="91">
        <f>'SCF (name) Summary Measures'!F50-'TPM Summary Measures'!F50</f>
        <v>0</v>
      </c>
      <c r="G50" s="91">
        <f>'SCF (name) Summary Measures'!G50-'TPM Summary Measures'!G50</f>
        <v>0</v>
      </c>
      <c r="H50" s="91">
        <f>'SCF (name) Summary Measures'!H50-'TPM Summary Measures'!H50</f>
        <v>0</v>
      </c>
      <c r="I50" s="91">
        <f>'SCF (name) Summary Measures'!I50-'TPM Summary Measures'!I50</f>
        <v>0</v>
      </c>
      <c r="J50" s="91">
        <f>'SCF (name) Summary Measures'!J50-'TPM Summary Measures'!J50</f>
        <v>0</v>
      </c>
      <c r="K50" s="91">
        <f>'SCF (name) Summary Measures'!K50-'TPM Summary Measures'!K50</f>
        <v>0</v>
      </c>
      <c r="L50" s="140">
        <f>'SCF (name) Summary Measures'!L50-'TPM Summary Measures'!L50</f>
        <v>0</v>
      </c>
      <c r="M50" s="91">
        <f>'SCF (name) Summary Measures'!M50-'TPM Summary Measures'!M50</f>
        <v>0</v>
      </c>
      <c r="N50" s="91">
        <f>'SCF (name) Summary Measures'!N50-'TPM Summary Measures'!N50</f>
        <v>0</v>
      </c>
      <c r="O50" s="91">
        <f>'SCF (name) Summary Measures'!O50-'TPM Summary Measures'!O50</f>
        <v>0</v>
      </c>
      <c r="P50" s="91">
        <f>'SCF (name) Summary Measures'!P50-'TPM Summary Measures'!P50</f>
        <v>0</v>
      </c>
      <c r="Q50" s="91">
        <f>'SCF (name) Summary Measures'!Q50-'TPM Summary Measures'!Q50</f>
        <v>0</v>
      </c>
      <c r="R50" s="91">
        <f>'SCF (name) Summary Measures'!R50-'TPM Summary Measures'!R50</f>
        <v>0</v>
      </c>
      <c r="S50" s="91">
        <f>'SCF (name) Summary Measures'!S50-'TPM Summary Measures'!S50</f>
        <v>0</v>
      </c>
      <c r="T50" s="91">
        <f>'SCF (name) Summary Measures'!T50-'TPM Summary Measures'!T50</f>
        <v>0</v>
      </c>
      <c r="U50" s="91">
        <f>'SCF (name) Summary Measures'!U50-'TPM Summary Measures'!U50</f>
        <v>0</v>
      </c>
      <c r="V50" s="91">
        <f>'SCF (name) Summary Measures'!V50-'TPM Summary Measures'!V50</f>
        <v>0</v>
      </c>
    </row>
    <row r="51" spans="1:22" x14ac:dyDescent="0.25">
      <c r="A51" s="86"/>
      <c r="B51" s="63" t="s">
        <v>151</v>
      </c>
      <c r="C51" s="91">
        <f>'SCF (name) Summary Measures'!C51-'TPM Summary Measures'!C51</f>
        <v>0</v>
      </c>
      <c r="D51" s="91">
        <f>'SCF (name) Summary Measures'!D51-'TPM Summary Measures'!D51</f>
        <v>0</v>
      </c>
      <c r="E51" s="91">
        <f>'SCF (name) Summary Measures'!E51-'TPM Summary Measures'!E51</f>
        <v>0</v>
      </c>
      <c r="F51" s="91">
        <f>'SCF (name) Summary Measures'!F51-'TPM Summary Measures'!F51</f>
        <v>0</v>
      </c>
      <c r="G51" s="91">
        <f>'SCF (name) Summary Measures'!G51-'TPM Summary Measures'!G51</f>
        <v>0</v>
      </c>
      <c r="H51" s="91">
        <f>'SCF (name) Summary Measures'!H51-'TPM Summary Measures'!H51</f>
        <v>0</v>
      </c>
      <c r="I51" s="91">
        <f>'SCF (name) Summary Measures'!I51-'TPM Summary Measures'!I51</f>
        <v>0</v>
      </c>
      <c r="J51" s="91">
        <f>'SCF (name) Summary Measures'!J51-'TPM Summary Measures'!J51</f>
        <v>0</v>
      </c>
      <c r="K51" s="91">
        <f>'SCF (name) Summary Measures'!K51-'TPM Summary Measures'!K51</f>
        <v>0</v>
      </c>
      <c r="L51" s="140">
        <f>'SCF (name) Summary Measures'!L51-'TPM Summary Measures'!L51</f>
        <v>0</v>
      </c>
      <c r="M51" s="91">
        <f>'SCF (name) Summary Measures'!M51-'TPM Summary Measures'!M51</f>
        <v>0</v>
      </c>
      <c r="N51" s="91">
        <f>'SCF (name) Summary Measures'!N51-'TPM Summary Measures'!N51</f>
        <v>0</v>
      </c>
      <c r="O51" s="91">
        <f>'SCF (name) Summary Measures'!O51-'TPM Summary Measures'!O51</f>
        <v>0</v>
      </c>
      <c r="P51" s="91">
        <f>'SCF (name) Summary Measures'!P51-'TPM Summary Measures'!P51</f>
        <v>0</v>
      </c>
      <c r="Q51" s="91">
        <f>'SCF (name) Summary Measures'!Q51-'TPM Summary Measures'!Q51</f>
        <v>0</v>
      </c>
      <c r="R51" s="91">
        <f>'SCF (name) Summary Measures'!R51-'TPM Summary Measures'!R51</f>
        <v>0</v>
      </c>
      <c r="S51" s="91">
        <f>'SCF (name) Summary Measures'!S51-'TPM Summary Measures'!S51</f>
        <v>0</v>
      </c>
      <c r="T51" s="91">
        <f>'SCF (name) Summary Measures'!T51-'TPM Summary Measures'!T51</f>
        <v>0</v>
      </c>
      <c r="U51" s="91">
        <f>'SCF (name) Summary Measures'!U51-'TPM Summary Measures'!U51</f>
        <v>0</v>
      </c>
      <c r="V51" s="91">
        <f>'SCF (name) Summary Measures'!V51-'TPM Summary Measures'!V51</f>
        <v>0</v>
      </c>
    </row>
    <row r="52" spans="1:22" x14ac:dyDescent="0.25">
      <c r="A52" s="86"/>
      <c r="B52" s="63" t="s">
        <v>304</v>
      </c>
      <c r="C52" s="91">
        <f>'SCF (name) Summary Measures'!C52-'TPM Summary Measures'!C52</f>
        <v>0</v>
      </c>
      <c r="D52" s="91">
        <f>'SCF (name) Summary Measures'!D52-'TPM Summary Measures'!D52</f>
        <v>0</v>
      </c>
      <c r="E52" s="91">
        <f>'SCF (name) Summary Measures'!E52-'TPM Summary Measures'!E52</f>
        <v>0</v>
      </c>
      <c r="F52" s="91">
        <f>'SCF (name) Summary Measures'!F52-'TPM Summary Measures'!F52</f>
        <v>0</v>
      </c>
      <c r="G52" s="91">
        <f>'SCF (name) Summary Measures'!G52-'TPM Summary Measures'!G52</f>
        <v>0</v>
      </c>
      <c r="H52" s="91">
        <f>'SCF (name) Summary Measures'!H52-'TPM Summary Measures'!H52</f>
        <v>0</v>
      </c>
      <c r="I52" s="91">
        <f>'SCF (name) Summary Measures'!I52-'TPM Summary Measures'!I52</f>
        <v>0</v>
      </c>
      <c r="J52" s="91">
        <f>'SCF (name) Summary Measures'!J52-'TPM Summary Measures'!J52</f>
        <v>0</v>
      </c>
      <c r="K52" s="91">
        <f>'SCF (name) Summary Measures'!K52-'TPM Summary Measures'!K52</f>
        <v>0</v>
      </c>
      <c r="L52" s="140">
        <f>'SCF (name) Summary Measures'!L52-'TPM Summary Measures'!L52</f>
        <v>0</v>
      </c>
      <c r="M52" s="91">
        <f>'SCF (name) Summary Measures'!M52-'TPM Summary Measures'!M52</f>
        <v>0</v>
      </c>
      <c r="N52" s="91">
        <f>'SCF (name) Summary Measures'!N52-'TPM Summary Measures'!N52</f>
        <v>0</v>
      </c>
      <c r="O52" s="91">
        <f>'SCF (name) Summary Measures'!O52-'TPM Summary Measures'!O52</f>
        <v>0</v>
      </c>
      <c r="P52" s="91">
        <f>'SCF (name) Summary Measures'!P52-'TPM Summary Measures'!P52</f>
        <v>0</v>
      </c>
      <c r="Q52" s="91">
        <f>'SCF (name) Summary Measures'!Q52-'TPM Summary Measures'!Q52</f>
        <v>0</v>
      </c>
      <c r="R52" s="91">
        <f>'SCF (name) Summary Measures'!R52-'TPM Summary Measures'!R52</f>
        <v>0</v>
      </c>
      <c r="S52" s="91">
        <f>'SCF (name) Summary Measures'!S52-'TPM Summary Measures'!S52</f>
        <v>0</v>
      </c>
      <c r="T52" s="91">
        <f>'SCF (name) Summary Measures'!T52-'TPM Summary Measures'!T52</f>
        <v>0</v>
      </c>
      <c r="U52" s="91">
        <f>'SCF (name) Summary Measures'!U52-'TPM Summary Measures'!U52</f>
        <v>0</v>
      </c>
      <c r="V52" s="91">
        <f>'SCF (name) Summary Measures'!V52-'TPM Summary Measures'!V52</f>
        <v>0</v>
      </c>
    </row>
    <row r="53" spans="1:22" x14ac:dyDescent="0.25">
      <c r="A53" s="86"/>
      <c r="B53" s="64" t="s">
        <v>130</v>
      </c>
      <c r="C53" s="91">
        <f>'SCF (name) Summary Measures'!C53-'TPM Summary Measures'!C53</f>
        <v>0</v>
      </c>
      <c r="D53" s="91">
        <f>'SCF (name) Summary Measures'!D53-'TPM Summary Measures'!D53</f>
        <v>0</v>
      </c>
      <c r="E53" s="91">
        <f>'SCF (name) Summary Measures'!E53-'TPM Summary Measures'!E53</f>
        <v>0</v>
      </c>
      <c r="F53" s="91">
        <f>'SCF (name) Summary Measures'!F53-'TPM Summary Measures'!F53</f>
        <v>0</v>
      </c>
      <c r="G53" s="91">
        <f>'SCF (name) Summary Measures'!G53-'TPM Summary Measures'!G53</f>
        <v>0</v>
      </c>
      <c r="H53" s="91">
        <f>'SCF (name) Summary Measures'!H53-'TPM Summary Measures'!H53</f>
        <v>0</v>
      </c>
      <c r="I53" s="91">
        <f>'SCF (name) Summary Measures'!I53-'TPM Summary Measures'!I53</f>
        <v>0</v>
      </c>
      <c r="J53" s="91">
        <f>'SCF (name) Summary Measures'!J53-'TPM Summary Measures'!J53</f>
        <v>0</v>
      </c>
      <c r="K53" s="91">
        <f>'SCF (name) Summary Measures'!K53-'TPM Summary Measures'!K53</f>
        <v>0</v>
      </c>
      <c r="L53" s="140">
        <f>'SCF (name) Summary Measures'!L53-'TPM Summary Measures'!L53</f>
        <v>0</v>
      </c>
      <c r="M53" s="91">
        <f>'SCF (name) Summary Measures'!M53-'TPM Summary Measures'!M53</f>
        <v>0</v>
      </c>
      <c r="N53" s="91">
        <f>'SCF (name) Summary Measures'!N53-'TPM Summary Measures'!N53</f>
        <v>0</v>
      </c>
      <c r="O53" s="91">
        <f>'SCF (name) Summary Measures'!O53-'TPM Summary Measures'!O53</f>
        <v>0</v>
      </c>
      <c r="P53" s="91">
        <f>'SCF (name) Summary Measures'!P53-'TPM Summary Measures'!P53</f>
        <v>0</v>
      </c>
      <c r="Q53" s="91">
        <f>'SCF (name) Summary Measures'!Q53-'TPM Summary Measures'!Q53</f>
        <v>0</v>
      </c>
      <c r="R53" s="91">
        <f>'SCF (name) Summary Measures'!R53-'TPM Summary Measures'!R53</f>
        <v>0</v>
      </c>
      <c r="S53" s="91">
        <f>'SCF (name) Summary Measures'!S53-'TPM Summary Measures'!S53</f>
        <v>0</v>
      </c>
      <c r="T53" s="91">
        <f>'SCF (name) Summary Measures'!T53-'TPM Summary Measures'!T53</f>
        <v>0</v>
      </c>
      <c r="U53" s="91">
        <f>'SCF (name) Summary Measures'!U53-'TPM Summary Measures'!U53</f>
        <v>0</v>
      </c>
      <c r="V53" s="91">
        <f>'SCF (name) Summary Measures'!V53-'TPM Summary Measures'!V53</f>
        <v>0</v>
      </c>
    </row>
    <row r="54" spans="1:22" x14ac:dyDescent="0.25">
      <c r="A54" s="86"/>
      <c r="B54" s="98" t="s">
        <v>131</v>
      </c>
      <c r="C54" s="91">
        <f>'SCF (name) Summary Measures'!C54-'TPM Summary Measures'!C54</f>
        <v>0</v>
      </c>
      <c r="D54" s="91">
        <f>'SCF (name) Summary Measures'!D54-'TPM Summary Measures'!D54</f>
        <v>0</v>
      </c>
      <c r="E54" s="91">
        <f>'SCF (name) Summary Measures'!E54-'TPM Summary Measures'!E54</f>
        <v>0</v>
      </c>
      <c r="F54" s="91">
        <f>'SCF (name) Summary Measures'!F54-'TPM Summary Measures'!F54</f>
        <v>0</v>
      </c>
      <c r="G54" s="91">
        <f>'SCF (name) Summary Measures'!G54-'TPM Summary Measures'!G54</f>
        <v>0</v>
      </c>
      <c r="H54" s="91">
        <f>'SCF (name) Summary Measures'!H54-'TPM Summary Measures'!H54</f>
        <v>0</v>
      </c>
      <c r="I54" s="91">
        <f>'SCF (name) Summary Measures'!I54-'TPM Summary Measures'!I54</f>
        <v>0</v>
      </c>
      <c r="J54" s="91">
        <f>'SCF (name) Summary Measures'!J54-'TPM Summary Measures'!J54</f>
        <v>0</v>
      </c>
      <c r="K54" s="91">
        <f>'SCF (name) Summary Measures'!K54-'TPM Summary Measures'!K54</f>
        <v>0</v>
      </c>
      <c r="L54" s="140">
        <f>'SCF (name) Summary Measures'!L54-'TPM Summary Measures'!L54</f>
        <v>0</v>
      </c>
      <c r="M54" s="91">
        <f>'SCF (name) Summary Measures'!M54-'TPM Summary Measures'!M54</f>
        <v>0</v>
      </c>
      <c r="N54" s="91">
        <f>'SCF (name) Summary Measures'!N54-'TPM Summary Measures'!N54</f>
        <v>0</v>
      </c>
      <c r="O54" s="91">
        <f>'SCF (name) Summary Measures'!O54-'TPM Summary Measures'!O54</f>
        <v>0</v>
      </c>
      <c r="P54" s="91">
        <f>'SCF (name) Summary Measures'!P54-'TPM Summary Measures'!P54</f>
        <v>0</v>
      </c>
      <c r="Q54" s="91">
        <f>'SCF (name) Summary Measures'!Q54-'TPM Summary Measures'!Q54</f>
        <v>0</v>
      </c>
      <c r="R54" s="91">
        <f>'SCF (name) Summary Measures'!R54-'TPM Summary Measures'!R54</f>
        <v>0</v>
      </c>
      <c r="S54" s="91">
        <f>'SCF (name) Summary Measures'!S54-'TPM Summary Measures'!S54</f>
        <v>0</v>
      </c>
      <c r="T54" s="91">
        <f>'SCF (name) Summary Measures'!T54-'TPM Summary Measures'!T54</f>
        <v>0</v>
      </c>
      <c r="U54" s="91">
        <f>'SCF (name) Summary Measures'!U54-'TPM Summary Measures'!U54</f>
        <v>0</v>
      </c>
      <c r="V54" s="91">
        <f>'SCF (name) Summary Measures'!V54-'TPM Summary Measures'!V54</f>
        <v>0</v>
      </c>
    </row>
    <row r="55" spans="1:22" x14ac:dyDescent="0.25">
      <c r="A55" s="86"/>
      <c r="B55" s="63" t="s">
        <v>303</v>
      </c>
      <c r="C55" s="91">
        <f>'SCF (name) Summary Measures'!C55-'TPM Summary Measures'!C55</f>
        <v>0</v>
      </c>
      <c r="D55" s="91">
        <f>'SCF (name) Summary Measures'!D55-'TPM Summary Measures'!D55</f>
        <v>0</v>
      </c>
      <c r="E55" s="91">
        <f>'SCF (name) Summary Measures'!E55-'TPM Summary Measures'!E55</f>
        <v>0</v>
      </c>
      <c r="F55" s="91">
        <f>'SCF (name) Summary Measures'!F55-'TPM Summary Measures'!F55</f>
        <v>0</v>
      </c>
      <c r="G55" s="91">
        <f>'SCF (name) Summary Measures'!G55-'TPM Summary Measures'!G55</f>
        <v>0</v>
      </c>
      <c r="H55" s="91">
        <f>'SCF (name) Summary Measures'!H55-'TPM Summary Measures'!H55</f>
        <v>0</v>
      </c>
      <c r="I55" s="91">
        <f>'SCF (name) Summary Measures'!I55-'TPM Summary Measures'!I55</f>
        <v>0</v>
      </c>
      <c r="J55" s="91">
        <f>'SCF (name) Summary Measures'!J55-'TPM Summary Measures'!J55</f>
        <v>0</v>
      </c>
      <c r="K55" s="91">
        <f>'SCF (name) Summary Measures'!K55-'TPM Summary Measures'!K55</f>
        <v>0</v>
      </c>
      <c r="L55" s="140">
        <f>'SCF (name) Summary Measures'!L55-'TPM Summary Measures'!L55</f>
        <v>0</v>
      </c>
      <c r="M55" s="91">
        <f>'SCF (name) Summary Measures'!M55-'TPM Summary Measures'!M55</f>
        <v>0</v>
      </c>
      <c r="N55" s="91">
        <f>'SCF (name) Summary Measures'!N55-'TPM Summary Measures'!N55</f>
        <v>0</v>
      </c>
      <c r="O55" s="91">
        <f>'SCF (name) Summary Measures'!O55-'TPM Summary Measures'!O55</f>
        <v>0</v>
      </c>
      <c r="P55" s="91">
        <f>'SCF (name) Summary Measures'!P55-'TPM Summary Measures'!P55</f>
        <v>0</v>
      </c>
      <c r="Q55" s="91">
        <f>'SCF (name) Summary Measures'!Q55-'TPM Summary Measures'!Q55</f>
        <v>0</v>
      </c>
      <c r="R55" s="91">
        <f>'SCF (name) Summary Measures'!R55-'TPM Summary Measures'!R55</f>
        <v>0</v>
      </c>
      <c r="S55" s="91">
        <f>'SCF (name) Summary Measures'!S55-'TPM Summary Measures'!S55</f>
        <v>0</v>
      </c>
      <c r="T55" s="91">
        <f>'SCF (name) Summary Measures'!T55-'TPM Summary Measures'!T55</f>
        <v>0</v>
      </c>
      <c r="U55" s="91">
        <f>'SCF (name) Summary Measures'!U55-'TPM Summary Measures'!U55</f>
        <v>0</v>
      </c>
      <c r="V55" s="91">
        <f>'SCF (name) Summary Measures'!V55-'TPM Summary Measures'!V55</f>
        <v>0</v>
      </c>
    </row>
    <row r="56" spans="1:22" x14ac:dyDescent="0.25">
      <c r="A56" s="86"/>
      <c r="B56" s="63" t="s">
        <v>315</v>
      </c>
      <c r="C56" s="91">
        <f>'SCF (name) Summary Measures'!C56-'TPM Summary Measures'!C56</f>
        <v>0</v>
      </c>
      <c r="D56" s="91">
        <f>'SCF (name) Summary Measures'!D56-'TPM Summary Measures'!D56</f>
        <v>0</v>
      </c>
      <c r="E56" s="91">
        <f>'SCF (name) Summary Measures'!E56-'TPM Summary Measures'!E56</f>
        <v>0</v>
      </c>
      <c r="F56" s="91">
        <f>'SCF (name) Summary Measures'!F56-'TPM Summary Measures'!F56</f>
        <v>0</v>
      </c>
      <c r="G56" s="91">
        <f>'SCF (name) Summary Measures'!G56-'TPM Summary Measures'!G56</f>
        <v>0</v>
      </c>
      <c r="H56" s="91">
        <f>'SCF (name) Summary Measures'!H56-'TPM Summary Measures'!H56</f>
        <v>0</v>
      </c>
      <c r="I56" s="91">
        <f>'SCF (name) Summary Measures'!I56-'TPM Summary Measures'!I56</f>
        <v>0</v>
      </c>
      <c r="J56" s="91">
        <f>'SCF (name) Summary Measures'!J56-'TPM Summary Measures'!J56</f>
        <v>0</v>
      </c>
      <c r="K56" s="91">
        <f>'SCF (name) Summary Measures'!K56-'TPM Summary Measures'!K56</f>
        <v>0</v>
      </c>
      <c r="L56" s="140">
        <f>'SCF (name) Summary Measures'!L56-'TPM Summary Measures'!L56</f>
        <v>0</v>
      </c>
      <c r="M56" s="91">
        <f>'SCF (name) Summary Measures'!M56-'TPM Summary Measures'!M56</f>
        <v>0</v>
      </c>
      <c r="N56" s="91">
        <f>'SCF (name) Summary Measures'!N56-'TPM Summary Measures'!N56</f>
        <v>0</v>
      </c>
      <c r="O56" s="91">
        <f>'SCF (name) Summary Measures'!O56-'TPM Summary Measures'!O56</f>
        <v>0</v>
      </c>
      <c r="P56" s="91">
        <f>'SCF (name) Summary Measures'!P56-'TPM Summary Measures'!P56</f>
        <v>0</v>
      </c>
      <c r="Q56" s="91">
        <f>'SCF (name) Summary Measures'!Q56-'TPM Summary Measures'!Q56</f>
        <v>0</v>
      </c>
      <c r="R56" s="91">
        <f>'SCF (name) Summary Measures'!R56-'TPM Summary Measures'!R56</f>
        <v>0</v>
      </c>
      <c r="S56" s="91">
        <f>'SCF (name) Summary Measures'!S56-'TPM Summary Measures'!S56</f>
        <v>0</v>
      </c>
      <c r="T56" s="91">
        <f>'SCF (name) Summary Measures'!T56-'TPM Summary Measures'!T56</f>
        <v>0</v>
      </c>
      <c r="U56" s="91">
        <f>'SCF (name) Summary Measures'!U56-'TPM Summary Measures'!U56</f>
        <v>0</v>
      </c>
      <c r="V56" s="91">
        <f>'SCF (name) Summary Measures'!V56-'TPM Summary Measures'!V56</f>
        <v>0</v>
      </c>
    </row>
    <row r="57" spans="1:22" x14ac:dyDescent="0.25">
      <c r="A57" s="86"/>
      <c r="B57" s="63" t="s">
        <v>128</v>
      </c>
      <c r="C57" s="91">
        <f>'SCF (name) Summary Measures'!C57-'TPM Summary Measures'!C57</f>
        <v>0</v>
      </c>
      <c r="D57" s="91">
        <f>'SCF (name) Summary Measures'!D57-'TPM Summary Measures'!D57</f>
        <v>0</v>
      </c>
      <c r="E57" s="91">
        <f>'SCF (name) Summary Measures'!E57-'TPM Summary Measures'!E57</f>
        <v>0</v>
      </c>
      <c r="F57" s="91">
        <f>'SCF (name) Summary Measures'!F57-'TPM Summary Measures'!F57</f>
        <v>0</v>
      </c>
      <c r="G57" s="91">
        <f>'SCF (name) Summary Measures'!G57-'TPM Summary Measures'!G57</f>
        <v>0</v>
      </c>
      <c r="H57" s="91">
        <f>'SCF (name) Summary Measures'!H57-'TPM Summary Measures'!H57</f>
        <v>0</v>
      </c>
      <c r="I57" s="91">
        <f>'SCF (name) Summary Measures'!I57-'TPM Summary Measures'!I57</f>
        <v>0</v>
      </c>
      <c r="J57" s="91">
        <f>'SCF (name) Summary Measures'!J57-'TPM Summary Measures'!J57</f>
        <v>0</v>
      </c>
      <c r="K57" s="91">
        <f>'SCF (name) Summary Measures'!K57-'TPM Summary Measures'!K57</f>
        <v>0</v>
      </c>
      <c r="L57" s="140">
        <f>'SCF (name) Summary Measures'!L57-'TPM Summary Measures'!L57</f>
        <v>0</v>
      </c>
      <c r="M57" s="91">
        <f>'SCF (name) Summary Measures'!M57-'TPM Summary Measures'!M57</f>
        <v>0</v>
      </c>
      <c r="N57" s="91">
        <f>'SCF (name) Summary Measures'!N57-'TPM Summary Measures'!N57</f>
        <v>0</v>
      </c>
      <c r="O57" s="91">
        <f>'SCF (name) Summary Measures'!O57-'TPM Summary Measures'!O57</f>
        <v>0</v>
      </c>
      <c r="P57" s="91">
        <f>'SCF (name) Summary Measures'!P57-'TPM Summary Measures'!P57</f>
        <v>0</v>
      </c>
      <c r="Q57" s="91">
        <f>'SCF (name) Summary Measures'!Q57-'TPM Summary Measures'!Q57</f>
        <v>0</v>
      </c>
      <c r="R57" s="91">
        <f>'SCF (name) Summary Measures'!R57-'TPM Summary Measures'!R57</f>
        <v>0</v>
      </c>
      <c r="S57" s="91">
        <f>'SCF (name) Summary Measures'!S57-'TPM Summary Measures'!S57</f>
        <v>0</v>
      </c>
      <c r="T57" s="91">
        <f>'SCF (name) Summary Measures'!T57-'TPM Summary Measures'!T57</f>
        <v>0</v>
      </c>
      <c r="U57" s="91">
        <f>'SCF (name) Summary Measures'!U57-'TPM Summary Measures'!U57</f>
        <v>0</v>
      </c>
      <c r="V57" s="91">
        <f>'SCF (name) Summary Measures'!V57-'TPM Summary Measures'!V57</f>
        <v>0</v>
      </c>
    </row>
    <row r="58" spans="1:22" x14ac:dyDescent="0.25">
      <c r="A58" s="86"/>
      <c r="B58" s="63" t="s">
        <v>151</v>
      </c>
      <c r="C58" s="91">
        <f>'SCF (name) Summary Measures'!C58-'TPM Summary Measures'!C58</f>
        <v>0</v>
      </c>
      <c r="D58" s="91">
        <f>'SCF (name) Summary Measures'!D58-'TPM Summary Measures'!D58</f>
        <v>0</v>
      </c>
      <c r="E58" s="91">
        <f>'SCF (name) Summary Measures'!E58-'TPM Summary Measures'!E58</f>
        <v>0</v>
      </c>
      <c r="F58" s="91">
        <f>'SCF (name) Summary Measures'!F58-'TPM Summary Measures'!F58</f>
        <v>0</v>
      </c>
      <c r="G58" s="91">
        <f>'SCF (name) Summary Measures'!G58-'TPM Summary Measures'!G58</f>
        <v>0</v>
      </c>
      <c r="H58" s="91">
        <f>'SCF (name) Summary Measures'!H58-'TPM Summary Measures'!H58</f>
        <v>0</v>
      </c>
      <c r="I58" s="91">
        <f>'SCF (name) Summary Measures'!I58-'TPM Summary Measures'!I58</f>
        <v>0</v>
      </c>
      <c r="J58" s="91">
        <f>'SCF (name) Summary Measures'!J58-'TPM Summary Measures'!J58</f>
        <v>0</v>
      </c>
      <c r="K58" s="91">
        <f>'SCF (name) Summary Measures'!K58-'TPM Summary Measures'!K58</f>
        <v>0</v>
      </c>
      <c r="L58" s="140">
        <f>'SCF (name) Summary Measures'!L58-'TPM Summary Measures'!L58</f>
        <v>0</v>
      </c>
      <c r="M58" s="91">
        <f>'SCF (name) Summary Measures'!M58-'TPM Summary Measures'!M58</f>
        <v>0</v>
      </c>
      <c r="N58" s="91">
        <f>'SCF (name) Summary Measures'!N58-'TPM Summary Measures'!N58</f>
        <v>0</v>
      </c>
      <c r="O58" s="91">
        <f>'SCF (name) Summary Measures'!O58-'TPM Summary Measures'!O58</f>
        <v>0</v>
      </c>
      <c r="P58" s="91">
        <f>'SCF (name) Summary Measures'!P58-'TPM Summary Measures'!P58</f>
        <v>0</v>
      </c>
      <c r="Q58" s="91">
        <f>'SCF (name) Summary Measures'!Q58-'TPM Summary Measures'!Q58</f>
        <v>0</v>
      </c>
      <c r="R58" s="91">
        <f>'SCF (name) Summary Measures'!R58-'TPM Summary Measures'!R58</f>
        <v>0</v>
      </c>
      <c r="S58" s="91">
        <f>'SCF (name) Summary Measures'!S58-'TPM Summary Measures'!S58</f>
        <v>0</v>
      </c>
      <c r="T58" s="91">
        <f>'SCF (name) Summary Measures'!T58-'TPM Summary Measures'!T58</f>
        <v>0</v>
      </c>
      <c r="U58" s="91">
        <f>'SCF (name) Summary Measures'!U58-'TPM Summary Measures'!U58</f>
        <v>0</v>
      </c>
      <c r="V58" s="91">
        <f>'SCF (name) Summary Measures'!V58-'TPM Summary Measures'!V58</f>
        <v>0</v>
      </c>
    </row>
    <row r="59" spans="1:22" x14ac:dyDescent="0.25">
      <c r="A59" s="86"/>
      <c r="B59" s="63" t="s">
        <v>152</v>
      </c>
      <c r="C59" s="91">
        <f>'SCF (name) Summary Measures'!C59-'TPM Summary Measures'!C59</f>
        <v>0</v>
      </c>
      <c r="D59" s="91">
        <f>'SCF (name) Summary Measures'!D59-'TPM Summary Measures'!D59</f>
        <v>0</v>
      </c>
      <c r="E59" s="91">
        <f>'SCF (name) Summary Measures'!E59-'TPM Summary Measures'!E59</f>
        <v>0</v>
      </c>
      <c r="F59" s="91">
        <f>'SCF (name) Summary Measures'!F59-'TPM Summary Measures'!F59</f>
        <v>0</v>
      </c>
      <c r="G59" s="91">
        <f>'SCF (name) Summary Measures'!G59-'TPM Summary Measures'!G59</f>
        <v>0</v>
      </c>
      <c r="H59" s="91">
        <f>'SCF (name) Summary Measures'!H59-'TPM Summary Measures'!H59</f>
        <v>0</v>
      </c>
      <c r="I59" s="91">
        <f>'SCF (name) Summary Measures'!I59-'TPM Summary Measures'!I59</f>
        <v>0</v>
      </c>
      <c r="J59" s="91">
        <f>'SCF (name) Summary Measures'!J59-'TPM Summary Measures'!J59</f>
        <v>0</v>
      </c>
      <c r="K59" s="91">
        <f>'SCF (name) Summary Measures'!K59-'TPM Summary Measures'!K59</f>
        <v>0</v>
      </c>
      <c r="L59" s="140">
        <f>'SCF (name) Summary Measures'!L59-'TPM Summary Measures'!L59</f>
        <v>0</v>
      </c>
      <c r="M59" s="91">
        <f>'SCF (name) Summary Measures'!M59-'TPM Summary Measures'!M59</f>
        <v>-9.4947972287374114</v>
      </c>
      <c r="N59" s="91">
        <f>'SCF (name) Summary Measures'!N59-'TPM Summary Measures'!N59</f>
        <v>-8.6316290460030132</v>
      </c>
      <c r="O59" s="91">
        <f>'SCF (name) Summary Measures'!O59-'TPM Summary Measures'!O59</f>
        <v>-8.3036371097226152</v>
      </c>
      <c r="P59" s="91">
        <f>'SCF (name) Summary Measures'!P59-'TPM Summary Measures'!P59</f>
        <v>-8.1303548167650774</v>
      </c>
      <c r="Q59" s="91">
        <f>'SCF (name) Summary Measures'!Q59-'TPM Summary Measures'!Q59</f>
        <v>-8.061097460896633</v>
      </c>
      <c r="R59" s="91">
        <f>'SCF (name) Summary Measures'!R59-'TPM Summary Measures'!R59</f>
        <v>-8.0569490683174081</v>
      </c>
      <c r="S59" s="91">
        <f>'SCF (name) Summary Measures'!S59-'TPM Summary Measures'!S59</f>
        <v>-8.0949526941633394</v>
      </c>
      <c r="T59" s="91">
        <f>'SCF (name) Summary Measures'!T59-'TPM Summary Measures'!T59</f>
        <v>-8.1605501644985452</v>
      </c>
      <c r="U59" s="91">
        <f>'SCF (name) Summary Measures'!U59-'TPM Summary Measures'!U59</f>
        <v>-8.2439693331479589</v>
      </c>
      <c r="V59" s="91">
        <f>'SCF (name) Summary Measures'!V59-'TPM Summary Measures'!V59</f>
        <v>-8.3384534738426055</v>
      </c>
    </row>
    <row r="60" spans="1:22" x14ac:dyDescent="0.25">
      <c r="A60" s="86"/>
      <c r="B60" s="63" t="s">
        <v>153</v>
      </c>
      <c r="C60" s="91">
        <f>'SCF (name) Summary Measures'!C60-'TPM Summary Measures'!C60</f>
        <v>0</v>
      </c>
      <c r="D60" s="91">
        <f>'SCF (name) Summary Measures'!D60-'TPM Summary Measures'!D60</f>
        <v>0</v>
      </c>
      <c r="E60" s="91">
        <f>'SCF (name) Summary Measures'!E60-'TPM Summary Measures'!E60</f>
        <v>0</v>
      </c>
      <c r="F60" s="91">
        <f>'SCF (name) Summary Measures'!F60-'TPM Summary Measures'!F60</f>
        <v>0</v>
      </c>
      <c r="G60" s="91">
        <f>'SCF (name) Summary Measures'!G60-'TPM Summary Measures'!G60</f>
        <v>0</v>
      </c>
      <c r="H60" s="91">
        <f>'SCF (name) Summary Measures'!H60-'TPM Summary Measures'!H60</f>
        <v>0</v>
      </c>
      <c r="I60" s="91">
        <f>'SCF (name) Summary Measures'!I60-'TPM Summary Measures'!I60</f>
        <v>0</v>
      </c>
      <c r="J60" s="91">
        <f>'SCF (name) Summary Measures'!J60-'TPM Summary Measures'!J60</f>
        <v>0</v>
      </c>
      <c r="K60" s="91">
        <f>'SCF (name) Summary Measures'!K60-'TPM Summary Measures'!K60</f>
        <v>0</v>
      </c>
      <c r="L60" s="140">
        <f>'SCF (name) Summary Measures'!L60-'TPM Summary Measures'!L60</f>
        <v>0</v>
      </c>
      <c r="M60" s="91">
        <f>'SCF (name) Summary Measures'!M60-'TPM Summary Measures'!M60</f>
        <v>0</v>
      </c>
      <c r="N60" s="91">
        <f>'SCF (name) Summary Measures'!N60-'TPM Summary Measures'!N60</f>
        <v>-1.357484468054281</v>
      </c>
      <c r="O60" s="91">
        <f>'SCF (name) Summary Measures'!O60-'TPM Summary Measures'!O60</f>
        <v>-2.5004098706691593</v>
      </c>
      <c r="P60" s="91">
        <f>'SCF (name) Summary Measures'!P60-'TPM Summary Measures'!P60</f>
        <v>-3.5196980546392069</v>
      </c>
      <c r="Q60" s="91">
        <f>'SCF (name) Summary Measures'!Q60-'TPM Summary Measures'!Q60</f>
        <v>-4.4457699146882987</v>
      </c>
      <c r="R60" s="91">
        <f>'SCF (name) Summary Measures'!R60-'TPM Summary Measures'!R60</f>
        <v>-5.2997572171559568</v>
      </c>
      <c r="S60" s="91">
        <f>'SCF (name) Summary Measures'!S60-'TPM Summary Measures'!S60</f>
        <v>-6.0958089271583731</v>
      </c>
      <c r="T60" s="91">
        <f>'SCF (name) Summary Measures'!T60-'TPM Summary Measures'!T60</f>
        <v>-6.8438417658884418</v>
      </c>
      <c r="U60" s="91">
        <f>'SCF (name) Summary Measures'!U60-'TPM Summary Measures'!U60</f>
        <v>-7.5510251761858171</v>
      </c>
      <c r="V60" s="91">
        <f>'SCF (name) Summary Measures'!V60-'TPM Summary Measures'!V60</f>
        <v>-8.2226500585081794</v>
      </c>
    </row>
    <row r="61" spans="1:22" x14ac:dyDescent="0.25">
      <c r="A61" s="82"/>
      <c r="B61" s="153" t="s">
        <v>142</v>
      </c>
      <c r="C61" s="91">
        <f>'SCF (name) Summary Measures'!C61-'TPM Summary Measures'!C61</f>
        <v>0</v>
      </c>
      <c r="D61" s="91">
        <f>'SCF (name) Summary Measures'!D61-'TPM Summary Measures'!D61</f>
        <v>0</v>
      </c>
      <c r="E61" s="91">
        <f>'SCF (name) Summary Measures'!E61-'TPM Summary Measures'!E61</f>
        <v>0</v>
      </c>
      <c r="F61" s="91">
        <f>'SCF (name) Summary Measures'!F61-'TPM Summary Measures'!F61</f>
        <v>0</v>
      </c>
      <c r="G61" s="91">
        <f>'SCF (name) Summary Measures'!G61-'TPM Summary Measures'!G61</f>
        <v>0</v>
      </c>
      <c r="H61" s="91">
        <f>'SCF (name) Summary Measures'!H61-'TPM Summary Measures'!H61</f>
        <v>0</v>
      </c>
      <c r="I61" s="91">
        <f>'SCF (name) Summary Measures'!I61-'TPM Summary Measures'!I61</f>
        <v>0</v>
      </c>
      <c r="J61" s="91">
        <f>'SCF (name) Summary Measures'!J61-'TPM Summary Measures'!J61</f>
        <v>0</v>
      </c>
      <c r="K61" s="91">
        <f>'SCF (name) Summary Measures'!K61-'TPM Summary Measures'!K61</f>
        <v>0</v>
      </c>
      <c r="L61" s="140">
        <f>'SCF (name) Summary Measures'!L61-'TPM Summary Measures'!L61</f>
        <v>0</v>
      </c>
      <c r="M61" s="91">
        <f>'SCF (name) Summary Measures'!M61-'TPM Summary Measures'!M61</f>
        <v>0</v>
      </c>
      <c r="N61" s="91">
        <f>'SCF (name) Summary Measures'!N61-'TPM Summary Measures'!N61</f>
        <v>0</v>
      </c>
      <c r="O61" s="91">
        <f>'SCF (name) Summary Measures'!O61-'TPM Summary Measures'!O61</f>
        <v>-0.19649343172511635</v>
      </c>
      <c r="P61" s="91">
        <f>'SCF (name) Summary Measures'!P61-'TPM Summary Measures'!P61</f>
        <v>-0.51185930192878004</v>
      </c>
      <c r="Q61" s="91">
        <f>'SCF (name) Summary Measures'!Q61-'TPM Summary Measures'!Q61</f>
        <v>-0.91528622890496081</v>
      </c>
      <c r="R61" s="91">
        <f>'SCF (name) Summary Measures'!R61-'TPM Summary Measures'!R61</f>
        <v>-1.3856139941339052</v>
      </c>
      <c r="S61" s="91">
        <f>'SCF (name) Summary Measures'!S61-'TPM Summary Measures'!S61</f>
        <v>-1.9068287858269741</v>
      </c>
      <c r="T61" s="91">
        <f>'SCF (name) Summary Measures'!T61-'TPM Summary Measures'!T61</f>
        <v>-2.4663547903891185</v>
      </c>
      <c r="U61" s="91">
        <f>'SCF (name) Summary Measures'!U61-'TPM Summary Measures'!U61</f>
        <v>-3.0541623076534279</v>
      </c>
      <c r="V61" s="91">
        <f>'SCF (name) Summary Measures'!V61-'TPM Summary Measures'!V61</f>
        <v>-3.6621730599512148</v>
      </c>
    </row>
    <row r="62" spans="1:22" x14ac:dyDescent="0.25">
      <c r="A62" s="82"/>
      <c r="B62" s="64" t="s">
        <v>130</v>
      </c>
      <c r="C62" s="91">
        <f>'SCF (name) Summary Measures'!C62-'TPM Summary Measures'!C62</f>
        <v>0</v>
      </c>
      <c r="D62" s="91">
        <f>'SCF (name) Summary Measures'!D62-'TPM Summary Measures'!D62</f>
        <v>0</v>
      </c>
      <c r="E62" s="91">
        <f>'SCF (name) Summary Measures'!E62-'TPM Summary Measures'!E62</f>
        <v>0</v>
      </c>
      <c r="F62" s="91">
        <f>'SCF (name) Summary Measures'!F62-'TPM Summary Measures'!F62</f>
        <v>0</v>
      </c>
      <c r="G62" s="91">
        <f>'SCF (name) Summary Measures'!G62-'TPM Summary Measures'!G62</f>
        <v>0</v>
      </c>
      <c r="H62" s="91">
        <f>'SCF (name) Summary Measures'!H62-'TPM Summary Measures'!H62</f>
        <v>0</v>
      </c>
      <c r="I62" s="91">
        <f>'SCF (name) Summary Measures'!I62-'TPM Summary Measures'!I62</f>
        <v>0</v>
      </c>
      <c r="J62" s="91">
        <f>'SCF (name) Summary Measures'!J62-'TPM Summary Measures'!J62</f>
        <v>0</v>
      </c>
      <c r="K62" s="91">
        <f>'SCF (name) Summary Measures'!K62-'TPM Summary Measures'!K62</f>
        <v>0</v>
      </c>
      <c r="L62" s="140">
        <f>'SCF (name) Summary Measures'!L62-'TPM Summary Measures'!L62</f>
        <v>0</v>
      </c>
      <c r="M62" s="91">
        <f>'SCF (name) Summary Measures'!M62-'TPM Summary Measures'!M62</f>
        <v>0</v>
      </c>
      <c r="N62" s="91">
        <f>'SCF (name) Summary Measures'!N62-'TPM Summary Measures'!N62</f>
        <v>-0.83609851999983675</v>
      </c>
      <c r="O62" s="91">
        <f>'SCF (name) Summary Measures'!O62-'TPM Summary Measures'!O62</f>
        <v>-1.115024478790815</v>
      </c>
      <c r="P62" s="91">
        <f>'SCF (name) Summary Measures'!P62-'TPM Summary Measures'!P62</f>
        <v>-1.3468121297843254</v>
      </c>
      <c r="Q62" s="91">
        <f>'SCF (name) Summary Measures'!Q62-'TPM Summary Measures'!Q62</f>
        <v>-1.5783218269801864</v>
      </c>
      <c r="R62" s="91">
        <f>'SCF (name) Summary Measures'!R62-'TPM Summary Measures'!R62</f>
        <v>-1.8134398872987276</v>
      </c>
      <c r="S62" s="91">
        <f>'SCF (name) Summary Measures'!S62-'TPM Summary Measures'!S62</f>
        <v>-2.0504095624507954</v>
      </c>
      <c r="T62" s="91">
        <f>'SCF (name) Summary Measures'!T62-'TPM Summary Measures'!T62</f>
        <v>-2.2874744022930145</v>
      </c>
      <c r="U62" s="91">
        <f>'SCF (name) Summary Measures'!U62-'TPM Summary Measures'!U62</f>
        <v>-2.5233003506123168</v>
      </c>
      <c r="V62" s="91">
        <f>'SCF (name) Summary Measures'!V62-'TPM Summary Measures'!V62</f>
        <v>-2.7568677596105999</v>
      </c>
    </row>
    <row r="63" spans="1:22" x14ac:dyDescent="0.25">
      <c r="A63" s="82"/>
      <c r="B63" s="153" t="s">
        <v>131</v>
      </c>
      <c r="C63" s="91">
        <f>'SCF (name) Summary Measures'!C63-'TPM Summary Measures'!C63</f>
        <v>0</v>
      </c>
      <c r="D63" s="91">
        <f>'SCF (name) Summary Measures'!D63-'TPM Summary Measures'!D63</f>
        <v>0</v>
      </c>
      <c r="E63" s="91">
        <f>'SCF (name) Summary Measures'!E63-'TPM Summary Measures'!E63</f>
        <v>0</v>
      </c>
      <c r="F63" s="91">
        <f>'SCF (name) Summary Measures'!F63-'TPM Summary Measures'!F63</f>
        <v>0</v>
      </c>
      <c r="G63" s="91">
        <f>'SCF (name) Summary Measures'!G63-'TPM Summary Measures'!G63</f>
        <v>0</v>
      </c>
      <c r="H63" s="91">
        <f>'SCF (name) Summary Measures'!H63-'TPM Summary Measures'!H63</f>
        <v>0</v>
      </c>
      <c r="I63" s="91">
        <f>'SCF (name) Summary Measures'!I63-'TPM Summary Measures'!I63</f>
        <v>0</v>
      </c>
      <c r="J63" s="91">
        <f>'SCF (name) Summary Measures'!J63-'TPM Summary Measures'!J63</f>
        <v>0</v>
      </c>
      <c r="K63" s="91">
        <f>'SCF (name) Summary Measures'!K63-'TPM Summary Measures'!K63</f>
        <v>0</v>
      </c>
      <c r="L63" s="140">
        <f>'SCF (name) Summary Measures'!L63-'TPM Summary Measures'!L63</f>
        <v>0</v>
      </c>
      <c r="M63" s="91">
        <f>'SCF (name) Summary Measures'!M63-'TPM Summary Measures'!M63</f>
        <v>-9.4947972287372977</v>
      </c>
      <c r="N63" s="91">
        <f>'SCF (name) Summary Measures'!N63-'TPM Summary Measures'!N63</f>
        <v>-10.825212034056676</v>
      </c>
      <c r="O63" s="91">
        <f>'SCF (name) Summary Measures'!O63-'TPM Summary Measures'!O63</f>
        <v>-12.115564890907081</v>
      </c>
      <c r="P63" s="91">
        <f>'SCF (name) Summary Measures'!P63-'TPM Summary Measures'!P63</f>
        <v>-13.50872430311756</v>
      </c>
      <c r="Q63" s="91">
        <f>'SCF (name) Summary Measures'!Q63-'TPM Summary Measures'!Q63</f>
        <v>-15.000475431471386</v>
      </c>
      <c r="R63" s="91">
        <f>'SCF (name) Summary Measures'!R63-'TPM Summary Measures'!R63</f>
        <v>-16.555760166907021</v>
      </c>
      <c r="S63" s="91">
        <f>'SCF (name) Summary Measures'!S63-'TPM Summary Measures'!S63</f>
        <v>-18.147999969599368</v>
      </c>
      <c r="T63" s="91">
        <f>'SCF (name) Summary Measures'!T63-'TPM Summary Measures'!T63</f>
        <v>-19.758221123069234</v>
      </c>
      <c r="U63" s="91">
        <f>'SCF (name) Summary Measures'!U63-'TPM Summary Measures'!U63</f>
        <v>-21.37245716760026</v>
      </c>
      <c r="V63" s="91">
        <f>'SCF (name) Summary Measures'!V63-'TPM Summary Measures'!V63</f>
        <v>-22.980144351911804</v>
      </c>
    </row>
    <row r="64" spans="1:22" x14ac:dyDescent="0.25">
      <c r="A64" s="82"/>
      <c r="B64" s="153" t="s">
        <v>303</v>
      </c>
      <c r="C64" s="91">
        <f>'SCF (name) Summary Measures'!C64-'TPM Summary Measures'!C64</f>
        <v>0</v>
      </c>
      <c r="D64" s="91">
        <f>'SCF (name) Summary Measures'!D64-'TPM Summary Measures'!D64</f>
        <v>0</v>
      </c>
      <c r="E64" s="91">
        <f>'SCF (name) Summary Measures'!E64-'TPM Summary Measures'!E64</f>
        <v>0</v>
      </c>
      <c r="F64" s="91">
        <f>'SCF (name) Summary Measures'!F64-'TPM Summary Measures'!F64</f>
        <v>0</v>
      </c>
      <c r="G64" s="91">
        <f>'SCF (name) Summary Measures'!G64-'TPM Summary Measures'!G64</f>
        <v>0</v>
      </c>
      <c r="H64" s="91">
        <f>'SCF (name) Summary Measures'!H64-'TPM Summary Measures'!H64</f>
        <v>0</v>
      </c>
      <c r="I64" s="91">
        <f>'SCF (name) Summary Measures'!I64-'TPM Summary Measures'!I64</f>
        <v>0</v>
      </c>
      <c r="J64" s="91">
        <f>'SCF (name) Summary Measures'!J64-'TPM Summary Measures'!J64</f>
        <v>0</v>
      </c>
      <c r="K64" s="91">
        <f>'SCF (name) Summary Measures'!K64-'TPM Summary Measures'!K64</f>
        <v>0</v>
      </c>
      <c r="L64" s="140">
        <f>'SCF (name) Summary Measures'!L64-'TPM Summary Measures'!L64</f>
        <v>0</v>
      </c>
      <c r="M64" s="91">
        <f>'SCF (name) Summary Measures'!M64-'TPM Summary Measures'!M64</f>
        <v>-9.4947972287336597</v>
      </c>
      <c r="N64" s="91">
        <f>'SCF (name) Summary Measures'!N64-'TPM Summary Measures'!N64</f>
        <v>-20.320009262781241</v>
      </c>
      <c r="O64" s="91">
        <f>'SCF (name) Summary Measures'!O64-'TPM Summary Measures'!O64</f>
        <v>-32.435574153685593</v>
      </c>
      <c r="P64" s="91">
        <f>'SCF (name) Summary Measures'!P64-'TPM Summary Measures'!P64</f>
        <v>-45.944298456801334</v>
      </c>
      <c r="Q64" s="91">
        <f>'SCF (name) Summary Measures'!Q64-'TPM Summary Measures'!Q64</f>
        <v>-60.94477388827363</v>
      </c>
      <c r="R64" s="91">
        <f>'SCF (name) Summary Measures'!R64-'TPM Summary Measures'!R64</f>
        <v>-77.500534055187018</v>
      </c>
      <c r="S64" s="91">
        <f>'SCF (name) Summary Measures'!S64-'TPM Summary Measures'!S64</f>
        <v>-95.648534024789114</v>
      </c>
      <c r="T64" s="91">
        <f>'SCF (name) Summary Measures'!T64-'TPM Summary Measures'!T64</f>
        <v>-115.40675514786562</v>
      </c>
      <c r="U64" s="91">
        <f>'SCF (name) Summary Measures'!U64-'TPM Summary Measures'!U64</f>
        <v>-136.77921231546497</v>
      </c>
      <c r="V64" s="91">
        <f>'SCF (name) Summary Measures'!V64-'TPM Summary Measures'!V64</f>
        <v>-159.75935666737496</v>
      </c>
    </row>
    <row r="65" spans="1:23" s="64" customFormat="1" x14ac:dyDescent="0.25">
      <c r="A65" s="82"/>
      <c r="B65" s="153" t="s">
        <v>305</v>
      </c>
      <c r="C65" s="91">
        <f>'SCF (name) Summary Measures'!C65-'TPM Summary Measures'!C65</f>
        <v>0</v>
      </c>
      <c r="D65" s="91">
        <f>'SCF (name) Summary Measures'!D65-'TPM Summary Measures'!D65</f>
        <v>0</v>
      </c>
      <c r="E65" s="91">
        <f>'SCF (name) Summary Measures'!E65-'TPM Summary Measures'!E65</f>
        <v>0</v>
      </c>
      <c r="F65" s="91">
        <f>'SCF (name) Summary Measures'!F65-'TPM Summary Measures'!F65</f>
        <v>0</v>
      </c>
      <c r="G65" s="91">
        <f>'SCF (name) Summary Measures'!G65-'TPM Summary Measures'!G65</f>
        <v>0</v>
      </c>
      <c r="H65" s="91">
        <f>'SCF (name) Summary Measures'!H65-'TPM Summary Measures'!H65</f>
        <v>0</v>
      </c>
      <c r="I65" s="91">
        <f>'SCF (name) Summary Measures'!I65-'TPM Summary Measures'!I65</f>
        <v>0</v>
      </c>
      <c r="J65" s="91">
        <f>'SCF (name) Summary Measures'!J65-'TPM Summary Measures'!J65</f>
        <v>0</v>
      </c>
      <c r="K65" s="91">
        <f>'SCF (name) Summary Measures'!K65-'TPM Summary Measures'!K65</f>
        <v>0</v>
      </c>
      <c r="L65" s="140">
        <f>'SCF (name) Summary Measures'!L65-'TPM Summary Measures'!L65</f>
        <v>0</v>
      </c>
      <c r="M65" s="91">
        <f>'SCF (name) Summary Measures'!M65-'TPM Summary Measures'!M65</f>
        <v>-9.4947972287372977</v>
      </c>
      <c r="N65" s="91">
        <f>'SCF (name) Summary Measures'!N65-'TPM Summary Measures'!N65</f>
        <v>-10.825212034056676</v>
      </c>
      <c r="O65" s="91">
        <f>'SCF (name) Summary Measures'!O65-'TPM Summary Measures'!O65</f>
        <v>-12.115564890906171</v>
      </c>
      <c r="P65" s="91">
        <f>'SCF (name) Summary Measures'!P65-'TPM Summary Measures'!P65</f>
        <v>-13.50872430311756</v>
      </c>
      <c r="Q65" s="91">
        <f>'SCF (name) Summary Measures'!Q65-'TPM Summary Measures'!Q65</f>
        <v>-15.000475431471386</v>
      </c>
      <c r="R65" s="91">
        <f>'SCF (name) Summary Measures'!R65-'TPM Summary Measures'!R65</f>
        <v>-16.555760166907021</v>
      </c>
      <c r="S65" s="91">
        <f>'SCF (name) Summary Measures'!S65-'TPM Summary Measures'!S65</f>
        <v>-18.147999969599368</v>
      </c>
      <c r="T65" s="91">
        <f>'SCF (name) Summary Measures'!T65-'TPM Summary Measures'!T65</f>
        <v>-19.758221123069234</v>
      </c>
      <c r="U65" s="91">
        <f>'SCF (name) Summary Measures'!U65-'TPM Summary Measures'!U65</f>
        <v>-21.37245716760026</v>
      </c>
      <c r="V65" s="91">
        <f>'SCF (name) Summary Measures'!V65-'TPM Summary Measures'!V65</f>
        <v>-22.980144351911804</v>
      </c>
    </row>
    <row r="66" spans="1:23" x14ac:dyDescent="0.25">
      <c r="A66" s="82"/>
      <c r="B66" s="153" t="s">
        <v>306</v>
      </c>
      <c r="C66" s="91">
        <f>'SCF (name) Summary Measures'!C66-'TPM Summary Measures'!C66</f>
        <v>0</v>
      </c>
      <c r="D66" s="91">
        <f>'SCF (name) Summary Measures'!D66-'TPM Summary Measures'!D66</f>
        <v>0</v>
      </c>
      <c r="E66" s="91">
        <f>'SCF (name) Summary Measures'!E66-'TPM Summary Measures'!E66</f>
        <v>0</v>
      </c>
      <c r="F66" s="91">
        <f>'SCF (name) Summary Measures'!F66-'TPM Summary Measures'!F66</f>
        <v>0</v>
      </c>
      <c r="G66" s="91">
        <f>'SCF (name) Summary Measures'!G66-'TPM Summary Measures'!G66</f>
        <v>0</v>
      </c>
      <c r="H66" s="91">
        <f>'SCF (name) Summary Measures'!H66-'TPM Summary Measures'!H66</f>
        <v>0</v>
      </c>
      <c r="I66" s="91">
        <f>'SCF (name) Summary Measures'!I66-'TPM Summary Measures'!I66</f>
        <v>0</v>
      </c>
      <c r="J66" s="91">
        <f>'SCF (name) Summary Measures'!J66-'TPM Summary Measures'!J66</f>
        <v>0</v>
      </c>
      <c r="K66" s="91">
        <f>'SCF (name) Summary Measures'!K66-'TPM Summary Measures'!K66</f>
        <v>0</v>
      </c>
      <c r="L66" s="140">
        <f>'SCF (name) Summary Measures'!L66-'TPM Summary Measures'!L66</f>
        <v>0</v>
      </c>
      <c r="M66" s="91">
        <f>'SCF (name) Summary Measures'!M66-'TPM Summary Measures'!M66</f>
        <v>-9.4947972287336597</v>
      </c>
      <c r="N66" s="91">
        <f>'SCF (name) Summary Measures'!N66-'TPM Summary Measures'!N66</f>
        <v>-20.320009262781241</v>
      </c>
      <c r="O66" s="91">
        <f>'SCF (name) Summary Measures'!O66-'TPM Summary Measures'!O66</f>
        <v>-32.435574153685593</v>
      </c>
      <c r="P66" s="91">
        <f>'SCF (name) Summary Measures'!P66-'TPM Summary Measures'!P66</f>
        <v>-45.944298456815886</v>
      </c>
      <c r="Q66" s="91">
        <f>'SCF (name) Summary Measures'!Q66-'TPM Summary Measures'!Q66</f>
        <v>-60.944773888288182</v>
      </c>
      <c r="R66" s="91">
        <f>'SCF (name) Summary Measures'!R66-'TPM Summary Measures'!R66</f>
        <v>-77.50053405520157</v>
      </c>
      <c r="S66" s="91">
        <f>'SCF (name) Summary Measures'!S66-'TPM Summary Measures'!S66</f>
        <v>-95.648534024803666</v>
      </c>
      <c r="T66" s="91">
        <f>'SCF (name) Summary Measures'!T66-'TPM Summary Measures'!T66</f>
        <v>-115.40675514788018</v>
      </c>
      <c r="U66" s="91">
        <f>'SCF (name) Summary Measures'!U66-'TPM Summary Measures'!U66</f>
        <v>-136.77921231547953</v>
      </c>
      <c r="V66" s="91">
        <f>'SCF (name) Summary Measures'!V66-'TPM Summary Measures'!V66</f>
        <v>-159.75935666740406</v>
      </c>
    </row>
    <row r="67" spans="1:23" x14ac:dyDescent="0.25">
      <c r="A67" s="112"/>
      <c r="B67" s="154" t="s">
        <v>307</v>
      </c>
      <c r="C67" s="100">
        <f>'SCF (name) Summary Measures'!C67-'TPM Summary Measures'!C67</f>
        <v>0</v>
      </c>
      <c r="D67" s="100">
        <f>'SCF (name) Summary Measures'!D67-'TPM Summary Measures'!D67</f>
        <v>0</v>
      </c>
      <c r="E67" s="100">
        <f>'SCF (name) Summary Measures'!E67-'TPM Summary Measures'!E67</f>
        <v>0</v>
      </c>
      <c r="F67" s="100">
        <f>'SCF (name) Summary Measures'!F67-'TPM Summary Measures'!F67</f>
        <v>0</v>
      </c>
      <c r="G67" s="100">
        <f>'SCF (name) Summary Measures'!G67-'TPM Summary Measures'!G67</f>
        <v>0</v>
      </c>
      <c r="H67" s="100">
        <f>'SCF (name) Summary Measures'!H67-'TPM Summary Measures'!H67</f>
        <v>0</v>
      </c>
      <c r="I67" s="100">
        <f>'SCF (name) Summary Measures'!I67-'TPM Summary Measures'!I67</f>
        <v>0</v>
      </c>
      <c r="J67" s="100">
        <f>'SCF (name) Summary Measures'!J67-'TPM Summary Measures'!J67</f>
        <v>0</v>
      </c>
      <c r="K67" s="100">
        <f>'SCF (name) Summary Measures'!K67-'TPM Summary Measures'!K67</f>
        <v>0</v>
      </c>
      <c r="L67" s="142">
        <f>'SCF (name) Summary Measures'!L67-'TPM Summary Measures'!L67</f>
        <v>0</v>
      </c>
      <c r="M67" s="100">
        <f>'SCF (name) Summary Measures'!M67-'TPM Summary Measures'!M67</f>
        <v>-9.4947972287409357</v>
      </c>
      <c r="N67" s="100">
        <f>'SCF (name) Summary Measures'!N67-'TPM Summary Measures'!N67</f>
        <v>-20.320009262795793</v>
      </c>
      <c r="O67" s="100">
        <f>'SCF (name) Summary Measures'!O67-'TPM Summary Measures'!O67</f>
        <v>-32.435574153700145</v>
      </c>
      <c r="P67" s="100">
        <f>'SCF (name) Summary Measures'!P67-'TPM Summary Measures'!P67</f>
        <v>-45.944298456815886</v>
      </c>
      <c r="Q67" s="100">
        <f>'SCF (name) Summary Measures'!Q67-'TPM Summary Measures'!Q67</f>
        <v>-60.944773888288182</v>
      </c>
      <c r="R67" s="100">
        <f>'SCF (name) Summary Measures'!R67-'TPM Summary Measures'!R67</f>
        <v>-77.500534055187018</v>
      </c>
      <c r="S67" s="100">
        <f>'SCF (name) Summary Measures'!S67-'TPM Summary Measures'!S67</f>
        <v>-95.648534024789114</v>
      </c>
      <c r="T67" s="100">
        <f>'SCF (name) Summary Measures'!T67-'TPM Summary Measures'!T67</f>
        <v>-115.40675514785107</v>
      </c>
      <c r="U67" s="100">
        <f>'SCF (name) Summary Measures'!U67-'TPM Summary Measures'!U67</f>
        <v>-136.77921231545042</v>
      </c>
      <c r="V67" s="100">
        <f>'SCF (name) Summary Measures'!V67-'TPM Summary Measures'!V67</f>
        <v>-159.75935666736041</v>
      </c>
      <c r="W67" s="116"/>
    </row>
    <row r="68" spans="1:23" s="88" customFormat="1" x14ac:dyDescent="0.25">
      <c r="B68" s="64"/>
      <c r="C68" s="306"/>
      <c r="D68" s="306"/>
      <c r="E68" s="306"/>
      <c r="F68" s="306"/>
      <c r="G68" s="306"/>
      <c r="H68" s="306"/>
      <c r="I68" s="176"/>
      <c r="J68" s="64"/>
      <c r="K68" s="64"/>
      <c r="L68" s="191"/>
      <c r="M68" s="64"/>
      <c r="N68" s="64"/>
      <c r="O68" s="64"/>
      <c r="P68" s="64"/>
      <c r="Q68" s="64"/>
      <c r="R68" s="64"/>
      <c r="S68" s="64"/>
      <c r="T68" s="64"/>
      <c r="U68" s="64"/>
      <c r="V68" s="64"/>
      <c r="W68" s="64"/>
    </row>
    <row r="69" spans="1:23" x14ac:dyDescent="0.25">
      <c r="C69" s="158"/>
      <c r="D69" s="158"/>
      <c r="E69" s="158"/>
      <c r="F69" s="158"/>
      <c r="G69" s="158"/>
      <c r="H69" s="210"/>
    </row>
    <row r="70" spans="1:23" x14ac:dyDescent="0.25">
      <c r="C70" s="159"/>
      <c r="D70" s="160"/>
      <c r="E70" s="305"/>
      <c r="F70" s="305"/>
      <c r="G70" s="305"/>
      <c r="H70" s="176"/>
    </row>
    <row r="71" spans="1:23" x14ac:dyDescent="0.25">
      <c r="C71" s="159"/>
      <c r="D71" s="160"/>
      <c r="E71" s="305"/>
      <c r="F71" s="305"/>
      <c r="G71" s="305"/>
      <c r="H71" s="176"/>
    </row>
    <row r="72" spans="1:23" x14ac:dyDescent="0.25">
      <c r="A72" s="13"/>
      <c r="B72" s="13"/>
      <c r="C72" s="28"/>
      <c r="D72" s="28"/>
      <c r="E72" s="28"/>
      <c r="F72" s="28"/>
      <c r="G72" s="28"/>
      <c r="H72" s="211"/>
    </row>
    <row r="73" spans="1:23" x14ac:dyDescent="0.25">
      <c r="A73" s="13"/>
      <c r="B73" s="13"/>
      <c r="C73" s="27"/>
      <c r="D73" s="27"/>
      <c r="E73" s="27"/>
      <c r="F73" s="27"/>
      <c r="G73" s="27"/>
      <c r="H73" s="202"/>
    </row>
    <row r="74" spans="1:23" x14ac:dyDescent="0.25">
      <c r="A74" s="13"/>
      <c r="B74" s="13"/>
      <c r="C74" s="24"/>
      <c r="D74" s="24"/>
      <c r="E74" s="24"/>
      <c r="F74" s="24"/>
      <c r="G74" s="24"/>
      <c r="H74" s="306"/>
    </row>
    <row r="75" spans="1:23" x14ac:dyDescent="0.25">
      <c r="A75" s="13"/>
      <c r="B75" s="13"/>
      <c r="C75" s="24"/>
      <c r="D75" s="24"/>
      <c r="E75" s="24"/>
      <c r="F75" s="24"/>
      <c r="G75" s="24"/>
      <c r="H75" s="306"/>
    </row>
    <row r="76" spans="1:23" x14ac:dyDescent="0.25">
      <c r="A76" s="161"/>
      <c r="B76" s="161"/>
      <c r="C76" s="162"/>
      <c r="D76" s="24"/>
      <c r="E76" s="24"/>
      <c r="F76" s="24"/>
      <c r="G76" s="24"/>
      <c r="H76" s="306"/>
    </row>
    <row r="77" spans="1:23" x14ac:dyDescent="0.25">
      <c r="A77" s="13"/>
      <c r="B77" s="13"/>
      <c r="C77" s="24"/>
      <c r="D77" s="24"/>
      <c r="E77" s="24"/>
      <c r="F77" s="24"/>
      <c r="G77" s="24"/>
      <c r="H77" s="306"/>
    </row>
    <row r="78" spans="1:23" x14ac:dyDescent="0.25">
      <c r="A78" s="13"/>
      <c r="B78" s="13"/>
      <c r="C78" s="24"/>
      <c r="D78" s="13"/>
      <c r="E78" s="13"/>
      <c r="F78" s="13"/>
      <c r="G78" s="13"/>
      <c r="H78" s="63"/>
    </row>
    <row r="79" spans="1:23" x14ac:dyDescent="0.25">
      <c r="A79" s="13"/>
      <c r="B79" s="13"/>
      <c r="C79" s="24"/>
      <c r="D79" s="13"/>
      <c r="E79" s="13"/>
      <c r="F79" s="13"/>
      <c r="G79" s="13"/>
      <c r="H79" s="63"/>
    </row>
  </sheetData>
  <mergeCells count="2">
    <mergeCell ref="C3:H3"/>
    <mergeCell ref="M3:V3"/>
  </mergeCells>
  <printOptions horizontalCentered="1"/>
  <pageMargins left="0.5" right="0.5" top="0.75" bottom="0.75" header="0.3" footer="0.3"/>
  <pageSetup scale="80"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18"/>
  <sheetViews>
    <sheetView zoomScaleNormal="100" workbookViewId="0">
      <pane xSplit="1" ySplit="2" topLeftCell="B206" activePane="bottomRight" state="frozen"/>
      <selection activeCell="E5" sqref="E5"/>
      <selection pane="topRight" activeCell="E5" sqref="E5"/>
      <selection pane="bottomLeft" activeCell="E5" sqref="E5"/>
      <selection pane="bottomRight" activeCell="A222" sqref="A222"/>
    </sheetView>
  </sheetViews>
  <sheetFormatPr defaultRowHeight="15" x14ac:dyDescent="0.25"/>
  <cols>
    <col min="1" max="1" width="31" customWidth="1"/>
    <col min="2" max="3" width="12.7109375" style="127" customWidth="1"/>
    <col min="6" max="6" width="9.7109375" bestFit="1" customWidth="1"/>
    <col min="17" max="17" width="9.140625" customWidth="1"/>
  </cols>
  <sheetData>
    <row r="1" spans="1:3" s="7" customFormat="1" x14ac:dyDescent="0.25">
      <c r="A1" s="6" t="s">
        <v>15</v>
      </c>
      <c r="B1" s="129"/>
      <c r="C1" s="129"/>
    </row>
    <row r="2" spans="1:3" x14ac:dyDescent="0.25">
      <c r="A2" s="131" t="s">
        <v>227</v>
      </c>
      <c r="B2" s="131" t="s">
        <v>16</v>
      </c>
      <c r="C2" s="8" t="s">
        <v>17</v>
      </c>
    </row>
    <row r="3" spans="1:3" x14ac:dyDescent="0.25">
      <c r="A3" s="130" t="s">
        <v>170</v>
      </c>
      <c r="B3" s="126">
        <v>1</v>
      </c>
      <c r="C3" s="127" t="s">
        <v>169</v>
      </c>
    </row>
    <row r="4" spans="1:3" x14ac:dyDescent="0.25">
      <c r="A4" s="127"/>
      <c r="C4" s="127" t="s">
        <v>171</v>
      </c>
    </row>
    <row r="5" spans="1:3" x14ac:dyDescent="0.25">
      <c r="A5" s="127"/>
      <c r="C5" s="127" t="s">
        <v>280</v>
      </c>
    </row>
    <row r="6" spans="1:3" x14ac:dyDescent="0.25">
      <c r="A6" s="127" t="s">
        <v>172</v>
      </c>
      <c r="B6" s="126">
        <v>1</v>
      </c>
      <c r="C6" s="127" t="s">
        <v>173</v>
      </c>
    </row>
    <row r="7" spans="1:3" x14ac:dyDescent="0.25">
      <c r="A7" s="127" t="s">
        <v>174</v>
      </c>
      <c r="B7" s="126">
        <v>1</v>
      </c>
      <c r="C7" s="127" t="s">
        <v>175</v>
      </c>
    </row>
    <row r="8" spans="1:3" x14ac:dyDescent="0.25">
      <c r="A8" s="127"/>
      <c r="C8" s="127" t="s">
        <v>281</v>
      </c>
    </row>
    <row r="9" spans="1:3" x14ac:dyDescent="0.25">
      <c r="A9" s="127"/>
      <c r="C9" s="127" t="s">
        <v>282</v>
      </c>
    </row>
    <row r="10" spans="1:3" x14ac:dyDescent="0.25">
      <c r="A10" s="127" t="s">
        <v>176</v>
      </c>
      <c r="B10" s="126">
        <v>1</v>
      </c>
      <c r="C10" s="127" t="s">
        <v>177</v>
      </c>
    </row>
    <row r="11" spans="1:3" x14ac:dyDescent="0.25">
      <c r="A11" s="127" t="s">
        <v>178</v>
      </c>
      <c r="B11" s="126">
        <v>1</v>
      </c>
      <c r="C11" s="127" t="s">
        <v>179</v>
      </c>
    </row>
    <row r="12" spans="1:3" x14ac:dyDescent="0.25">
      <c r="A12" s="127"/>
      <c r="C12" s="127" t="s">
        <v>180</v>
      </c>
    </row>
    <row r="13" spans="1:3" x14ac:dyDescent="0.25">
      <c r="A13" s="127"/>
      <c r="C13" s="127" t="s">
        <v>181</v>
      </c>
    </row>
    <row r="14" spans="1:3" x14ac:dyDescent="0.25">
      <c r="A14" s="127"/>
      <c r="C14" s="127" t="s">
        <v>182</v>
      </c>
    </row>
    <row r="15" spans="1:3" x14ac:dyDescent="0.25">
      <c r="A15" s="127" t="s">
        <v>183</v>
      </c>
      <c r="B15" s="126">
        <v>1</v>
      </c>
      <c r="C15" s="127" t="s">
        <v>184</v>
      </c>
    </row>
    <row r="16" spans="1:3" x14ac:dyDescent="0.25">
      <c r="A16" s="127" t="s">
        <v>185</v>
      </c>
      <c r="B16" s="126">
        <v>1</v>
      </c>
      <c r="C16" s="127" t="s">
        <v>186</v>
      </c>
    </row>
    <row r="17" spans="1:3" x14ac:dyDescent="0.25">
      <c r="A17" s="127"/>
      <c r="C17" s="127" t="s">
        <v>187</v>
      </c>
    </row>
    <row r="18" spans="1:3" x14ac:dyDescent="0.25">
      <c r="A18" s="127" t="s">
        <v>188</v>
      </c>
      <c r="B18" s="126">
        <v>1</v>
      </c>
      <c r="C18" s="127" t="s">
        <v>189</v>
      </c>
    </row>
    <row r="19" spans="1:3" x14ac:dyDescent="0.25">
      <c r="A19" s="128"/>
      <c r="B19" s="128"/>
      <c r="C19" s="127" t="s">
        <v>190</v>
      </c>
    </row>
    <row r="20" spans="1:3" x14ac:dyDescent="0.25">
      <c r="A20" s="127"/>
      <c r="C20" s="127" t="s">
        <v>191</v>
      </c>
    </row>
    <row r="21" spans="1:3" x14ac:dyDescent="0.25">
      <c r="A21" s="127"/>
      <c r="C21" s="127" t="s">
        <v>192</v>
      </c>
    </row>
    <row r="22" spans="1:3" x14ac:dyDescent="0.25">
      <c r="A22" s="127"/>
      <c r="C22" s="127" t="s">
        <v>193</v>
      </c>
    </row>
    <row r="23" spans="1:3" x14ac:dyDescent="0.25">
      <c r="A23" s="127"/>
      <c r="C23" s="127" t="s">
        <v>194</v>
      </c>
    </row>
    <row r="24" spans="1:3" x14ac:dyDescent="0.25">
      <c r="A24" s="127"/>
      <c r="C24" s="127" t="s">
        <v>195</v>
      </c>
    </row>
    <row r="25" spans="1:3" x14ac:dyDescent="0.25">
      <c r="A25" s="127"/>
      <c r="C25" s="127" t="s">
        <v>196</v>
      </c>
    </row>
    <row r="26" spans="1:3" x14ac:dyDescent="0.25">
      <c r="A26" s="127" t="s">
        <v>197</v>
      </c>
      <c r="B26" s="126">
        <v>1</v>
      </c>
      <c r="C26" s="127" t="s">
        <v>198</v>
      </c>
    </row>
    <row r="27" spans="1:3" x14ac:dyDescent="0.25">
      <c r="A27" s="127"/>
      <c r="C27" s="127" t="s">
        <v>199</v>
      </c>
    </row>
    <row r="28" spans="1:3" x14ac:dyDescent="0.25">
      <c r="A28" s="127"/>
      <c r="C28" s="127" t="s">
        <v>200</v>
      </c>
    </row>
    <row r="29" spans="1:3" x14ac:dyDescent="0.25">
      <c r="A29" s="127" t="s">
        <v>201</v>
      </c>
      <c r="B29" s="126">
        <v>1</v>
      </c>
      <c r="C29" s="127" t="s">
        <v>202</v>
      </c>
    </row>
    <row r="30" spans="1:3" x14ac:dyDescent="0.25">
      <c r="A30" s="127" t="s">
        <v>203</v>
      </c>
      <c r="B30" s="126">
        <v>1</v>
      </c>
      <c r="C30" s="127" t="s">
        <v>204</v>
      </c>
    </row>
    <row r="31" spans="1:3" x14ac:dyDescent="0.25">
      <c r="A31" s="127"/>
      <c r="C31" s="127" t="s">
        <v>205</v>
      </c>
    </row>
    <row r="32" spans="1:3" x14ac:dyDescent="0.25">
      <c r="A32" s="127" t="s">
        <v>206</v>
      </c>
      <c r="B32" s="126">
        <v>1</v>
      </c>
      <c r="C32" s="127" t="s">
        <v>207</v>
      </c>
    </row>
    <row r="33" spans="1:3" x14ac:dyDescent="0.25">
      <c r="A33" s="127" t="s">
        <v>208</v>
      </c>
      <c r="B33" s="126">
        <v>1</v>
      </c>
      <c r="C33" s="127" t="s">
        <v>202</v>
      </c>
    </row>
    <row r="34" spans="1:3" x14ac:dyDescent="0.25">
      <c r="A34" s="127"/>
      <c r="C34" s="127" t="s">
        <v>209</v>
      </c>
    </row>
    <row r="35" spans="1:3" x14ac:dyDescent="0.25">
      <c r="A35" s="127"/>
      <c r="C35" s="127" t="s">
        <v>210</v>
      </c>
    </row>
    <row r="36" spans="1:3" x14ac:dyDescent="0.25">
      <c r="A36" s="127" t="s">
        <v>211</v>
      </c>
      <c r="B36" s="126">
        <v>1</v>
      </c>
      <c r="C36" s="127" t="s">
        <v>212</v>
      </c>
    </row>
    <row r="37" spans="1:3" x14ac:dyDescent="0.25">
      <c r="A37" s="127"/>
      <c r="C37" s="127" t="s">
        <v>213</v>
      </c>
    </row>
    <row r="38" spans="1:3" x14ac:dyDescent="0.25">
      <c r="A38" s="127" t="s">
        <v>214</v>
      </c>
      <c r="B38" s="126">
        <v>1</v>
      </c>
      <c r="C38" s="127" t="s">
        <v>215</v>
      </c>
    </row>
    <row r="39" spans="1:3" x14ac:dyDescent="0.25">
      <c r="A39" s="127" t="s">
        <v>216</v>
      </c>
      <c r="B39" s="126">
        <v>1</v>
      </c>
      <c r="C39" s="127" t="s">
        <v>217</v>
      </c>
    </row>
    <row r="40" spans="1:3" x14ac:dyDescent="0.25">
      <c r="A40" s="127" t="s">
        <v>218</v>
      </c>
      <c r="B40" s="126">
        <v>1</v>
      </c>
      <c r="C40" s="127" t="s">
        <v>219</v>
      </c>
    </row>
    <row r="41" spans="1:3" x14ac:dyDescent="0.25">
      <c r="A41" s="127" t="s">
        <v>220</v>
      </c>
      <c r="B41" s="126">
        <v>1</v>
      </c>
      <c r="C41" s="127" t="s">
        <v>212</v>
      </c>
    </row>
    <row r="42" spans="1:3" x14ac:dyDescent="0.25">
      <c r="A42" s="127" t="s">
        <v>221</v>
      </c>
      <c r="B42" s="126">
        <v>1</v>
      </c>
      <c r="C42" s="127" t="s">
        <v>222</v>
      </c>
    </row>
    <row r="43" spans="1:3" x14ac:dyDescent="0.25">
      <c r="A43" s="127"/>
      <c r="C43" s="127" t="s">
        <v>223</v>
      </c>
    </row>
    <row r="44" spans="1:3" x14ac:dyDescent="0.25">
      <c r="A44" s="127" t="s">
        <v>224</v>
      </c>
      <c r="B44" s="126">
        <v>1</v>
      </c>
      <c r="C44" s="127" t="s">
        <v>225</v>
      </c>
    </row>
    <row r="45" spans="1:3" x14ac:dyDescent="0.25">
      <c r="A45" s="127"/>
      <c r="C45" s="127" t="s">
        <v>226</v>
      </c>
    </row>
    <row r="46" spans="1:3" s="127" customFormat="1" x14ac:dyDescent="0.25">
      <c r="A46" s="127" t="s">
        <v>228</v>
      </c>
      <c r="B46" s="132">
        <v>2</v>
      </c>
      <c r="C46" s="127" t="s">
        <v>231</v>
      </c>
    </row>
    <row r="47" spans="1:3" s="127" customFormat="1" x14ac:dyDescent="0.25">
      <c r="A47" s="127" t="s">
        <v>229</v>
      </c>
      <c r="B47" s="132">
        <v>2</v>
      </c>
      <c r="C47" s="127" t="s">
        <v>364</v>
      </c>
    </row>
    <row r="48" spans="1:3" s="127" customFormat="1" x14ac:dyDescent="0.25">
      <c r="B48" s="132"/>
      <c r="C48" s="127" t="s">
        <v>365</v>
      </c>
    </row>
    <row r="49" spans="1:3" s="127" customFormat="1" x14ac:dyDescent="0.25">
      <c r="B49" s="132"/>
      <c r="C49" s="127" t="s">
        <v>309</v>
      </c>
    </row>
    <row r="50" spans="1:3" s="127" customFormat="1" x14ac:dyDescent="0.25">
      <c r="B50" s="132"/>
      <c r="C50" s="127" t="s">
        <v>366</v>
      </c>
    </row>
    <row r="51" spans="1:3" s="127" customFormat="1" x14ac:dyDescent="0.25">
      <c r="B51" s="132"/>
      <c r="C51" s="127" t="s">
        <v>370</v>
      </c>
    </row>
    <row r="52" spans="1:3" s="127" customFormat="1" x14ac:dyDescent="0.25">
      <c r="B52" s="132"/>
      <c r="C52" s="127" t="s">
        <v>398</v>
      </c>
    </row>
    <row r="53" spans="1:3" s="127" customFormat="1" x14ac:dyDescent="0.25">
      <c r="A53" s="127" t="s">
        <v>230</v>
      </c>
      <c r="B53" s="132">
        <v>2</v>
      </c>
      <c r="C53" s="165" t="s">
        <v>367</v>
      </c>
    </row>
    <row r="54" spans="1:3" s="127" customFormat="1" x14ac:dyDescent="0.25">
      <c r="B54" s="132"/>
      <c r="C54" s="165" t="s">
        <v>368</v>
      </c>
    </row>
    <row r="55" spans="1:3" s="127" customFormat="1" x14ac:dyDescent="0.25">
      <c r="B55" s="132"/>
      <c r="C55" s="165" t="s">
        <v>356</v>
      </c>
    </row>
    <row r="56" spans="1:3" s="127" customFormat="1" x14ac:dyDescent="0.25">
      <c r="B56" s="132"/>
      <c r="C56" s="165" t="s">
        <v>399</v>
      </c>
    </row>
    <row r="57" spans="1:3" s="127" customFormat="1" x14ac:dyDescent="0.25">
      <c r="B57" s="132"/>
      <c r="C57" s="165" t="s">
        <v>357</v>
      </c>
    </row>
    <row r="58" spans="1:3" x14ac:dyDescent="0.25">
      <c r="A58" s="130" t="s">
        <v>103</v>
      </c>
      <c r="B58" s="126">
        <v>2</v>
      </c>
      <c r="C58" t="s">
        <v>164</v>
      </c>
    </row>
    <row r="59" spans="1:3" x14ac:dyDescent="0.25">
      <c r="A59" s="127" t="s">
        <v>163</v>
      </c>
      <c r="B59" s="126">
        <v>2</v>
      </c>
      <c r="C59" t="s">
        <v>400</v>
      </c>
    </row>
    <row r="60" spans="1:3" x14ac:dyDescent="0.25">
      <c r="A60" s="127" t="s">
        <v>165</v>
      </c>
      <c r="B60" s="126">
        <v>2</v>
      </c>
      <c r="C60" t="s">
        <v>385</v>
      </c>
    </row>
    <row r="61" spans="1:3" x14ac:dyDescent="0.25">
      <c r="A61" s="127"/>
      <c r="C61" t="s">
        <v>386</v>
      </c>
    </row>
    <row r="62" spans="1:3" x14ac:dyDescent="0.25">
      <c r="A62" s="127"/>
      <c r="C62" t="s">
        <v>387</v>
      </c>
    </row>
    <row r="63" spans="1:3" x14ac:dyDescent="0.25">
      <c r="A63" s="127"/>
      <c r="C63" t="s">
        <v>388</v>
      </c>
    </row>
    <row r="64" spans="1:3" x14ac:dyDescent="0.25">
      <c r="A64" s="127"/>
      <c r="C64" t="s">
        <v>166</v>
      </c>
    </row>
    <row r="65" spans="1:5" x14ac:dyDescent="0.25">
      <c r="A65" s="127" t="s">
        <v>167</v>
      </c>
      <c r="B65" s="126">
        <v>2</v>
      </c>
      <c r="C65" t="s">
        <v>389</v>
      </c>
    </row>
    <row r="66" spans="1:5" x14ac:dyDescent="0.25">
      <c r="A66" s="127"/>
      <c r="C66" t="s">
        <v>390</v>
      </c>
    </row>
    <row r="67" spans="1:5" x14ac:dyDescent="0.25">
      <c r="A67" s="127"/>
      <c r="C67" t="s">
        <v>391</v>
      </c>
    </row>
    <row r="68" spans="1:5" x14ac:dyDescent="0.25">
      <c r="A68" s="127"/>
      <c r="C68" t="s">
        <v>392</v>
      </c>
    </row>
    <row r="69" spans="1:5" x14ac:dyDescent="0.25">
      <c r="A69" s="127"/>
      <c r="C69" t="s">
        <v>393</v>
      </c>
    </row>
    <row r="70" spans="1:5" x14ac:dyDescent="0.25">
      <c r="A70" s="127"/>
      <c r="C70" t="s">
        <v>394</v>
      </c>
    </row>
    <row r="71" spans="1:5" x14ac:dyDescent="0.25">
      <c r="A71" s="127" t="s">
        <v>168</v>
      </c>
      <c r="B71" s="126">
        <v>2</v>
      </c>
      <c r="C71" t="s">
        <v>395</v>
      </c>
    </row>
    <row r="72" spans="1:5" x14ac:dyDescent="0.25">
      <c r="A72" s="127"/>
      <c r="C72" t="s">
        <v>396</v>
      </c>
    </row>
    <row r="73" spans="1:5" x14ac:dyDescent="0.25">
      <c r="A73" s="128"/>
      <c r="B73" s="128"/>
      <c r="C73" t="s">
        <v>397</v>
      </c>
    </row>
    <row r="74" spans="1:5" x14ac:dyDescent="0.25">
      <c r="A74" t="s">
        <v>308</v>
      </c>
      <c r="B74" s="126">
        <v>2</v>
      </c>
      <c r="C74" s="127" t="s">
        <v>369</v>
      </c>
    </row>
    <row r="75" spans="1:5" x14ac:dyDescent="0.25">
      <c r="C75" s="163" t="s">
        <v>358</v>
      </c>
      <c r="D75" s="65"/>
      <c r="E75" s="65"/>
    </row>
    <row r="76" spans="1:5" x14ac:dyDescent="0.25">
      <c r="C76" s="163" t="s">
        <v>359</v>
      </c>
      <c r="D76" s="65"/>
      <c r="E76" s="65"/>
    </row>
    <row r="77" spans="1:5" x14ac:dyDescent="0.25">
      <c r="C77" s="163" t="s">
        <v>360</v>
      </c>
      <c r="D77" s="65"/>
      <c r="E77" s="65"/>
    </row>
    <row r="78" spans="1:5" x14ac:dyDescent="0.25">
      <c r="C78" s="164" t="s">
        <v>361</v>
      </c>
      <c r="D78" s="65"/>
      <c r="E78" s="65"/>
    </row>
    <row r="79" spans="1:5" x14ac:dyDescent="0.25">
      <c r="C79" s="164" t="s">
        <v>362</v>
      </c>
      <c r="D79" s="65"/>
      <c r="E79" s="65"/>
    </row>
    <row r="80" spans="1:5" x14ac:dyDescent="0.25">
      <c r="C80" s="164" t="s">
        <v>371</v>
      </c>
      <c r="D80" s="65"/>
      <c r="E80" s="65"/>
    </row>
    <row r="81" spans="1:5" x14ac:dyDescent="0.25">
      <c r="C81" s="164" t="s">
        <v>372</v>
      </c>
      <c r="D81" s="65"/>
      <c r="E81" s="65"/>
    </row>
    <row r="82" spans="1:5" x14ac:dyDescent="0.25">
      <c r="C82" s="164" t="s">
        <v>373</v>
      </c>
      <c r="D82" s="65"/>
      <c r="E82" s="65"/>
    </row>
    <row r="83" spans="1:5" x14ac:dyDescent="0.25">
      <c r="C83" s="164" t="s">
        <v>401</v>
      </c>
      <c r="D83" s="65"/>
      <c r="E83" s="65"/>
    </row>
    <row r="84" spans="1:5" x14ac:dyDescent="0.25">
      <c r="C84" s="164" t="s">
        <v>402</v>
      </c>
      <c r="D84" s="65"/>
      <c r="E84" s="65"/>
    </row>
    <row r="85" spans="1:5" x14ac:dyDescent="0.25">
      <c r="C85" s="164" t="s">
        <v>374</v>
      </c>
      <c r="D85" s="65"/>
      <c r="E85" s="65"/>
    </row>
    <row r="86" spans="1:5" x14ac:dyDescent="0.25">
      <c r="C86" s="164" t="s">
        <v>363</v>
      </c>
      <c r="D86" s="65"/>
      <c r="E86" s="65"/>
    </row>
    <row r="87" spans="1:5" x14ac:dyDescent="0.25">
      <c r="A87" t="s">
        <v>310</v>
      </c>
      <c r="B87" s="126">
        <v>2</v>
      </c>
      <c r="C87" s="164" t="s">
        <v>403</v>
      </c>
    </row>
    <row r="88" spans="1:5" x14ac:dyDescent="0.25">
      <c r="C88" s="164" t="s">
        <v>311</v>
      </c>
    </row>
    <row r="89" spans="1:5" x14ac:dyDescent="0.25">
      <c r="C89" s="163" t="s">
        <v>375</v>
      </c>
    </row>
    <row r="90" spans="1:5" x14ac:dyDescent="0.25">
      <c r="C90" s="163" t="s">
        <v>376</v>
      </c>
    </row>
    <row r="91" spans="1:5" x14ac:dyDescent="0.25">
      <c r="C91" s="163" t="s">
        <v>312</v>
      </c>
    </row>
    <row r="92" spans="1:5" x14ac:dyDescent="0.25">
      <c r="C92" s="166" t="s">
        <v>377</v>
      </c>
    </row>
    <row r="93" spans="1:5" x14ac:dyDescent="0.25">
      <c r="C93" s="167" t="s">
        <v>378</v>
      </c>
    </row>
    <row r="94" spans="1:5" s="127" customFormat="1" x14ac:dyDescent="0.25">
      <c r="C94" s="167" t="s">
        <v>379</v>
      </c>
    </row>
    <row r="95" spans="1:5" x14ac:dyDescent="0.25">
      <c r="C95" s="166" t="s">
        <v>316</v>
      </c>
    </row>
    <row r="96" spans="1:5" x14ac:dyDescent="0.25">
      <c r="C96" s="168" t="s">
        <v>380</v>
      </c>
    </row>
    <row r="97" spans="1:3" x14ac:dyDescent="0.25">
      <c r="C97" s="168" t="s">
        <v>381</v>
      </c>
    </row>
    <row r="98" spans="1:3" x14ac:dyDescent="0.25">
      <c r="C98" s="168" t="s">
        <v>382</v>
      </c>
    </row>
    <row r="99" spans="1:3" s="127" customFormat="1" x14ac:dyDescent="0.25">
      <c r="C99" s="65" t="s">
        <v>383</v>
      </c>
    </row>
    <row r="100" spans="1:3" x14ac:dyDescent="0.25">
      <c r="C100" s="168" t="s">
        <v>345</v>
      </c>
    </row>
    <row r="101" spans="1:3" x14ac:dyDescent="0.25">
      <c r="C101" s="127" t="s">
        <v>384</v>
      </c>
    </row>
    <row r="102" spans="1:3" x14ac:dyDescent="0.25">
      <c r="A102" t="s">
        <v>568</v>
      </c>
      <c r="B102" s="126">
        <v>2</v>
      </c>
      <c r="C102" s="127" t="s">
        <v>441</v>
      </c>
    </row>
    <row r="103" spans="1:3" x14ac:dyDescent="0.25">
      <c r="C103" s="127" t="s">
        <v>442</v>
      </c>
    </row>
    <row r="104" spans="1:3" x14ac:dyDescent="0.25">
      <c r="C104" s="127" t="s">
        <v>443</v>
      </c>
    </row>
    <row r="105" spans="1:3" x14ac:dyDescent="0.25">
      <c r="C105" s="127" t="s">
        <v>444</v>
      </c>
    </row>
    <row r="106" spans="1:3" x14ac:dyDescent="0.25">
      <c r="C106" s="127" t="s">
        <v>445</v>
      </c>
    </row>
    <row r="107" spans="1:3" x14ac:dyDescent="0.25">
      <c r="C107" s="127" t="s">
        <v>446</v>
      </c>
    </row>
    <row r="108" spans="1:3" x14ac:dyDescent="0.25">
      <c r="C108" s="127" t="s">
        <v>447</v>
      </c>
    </row>
    <row r="109" spans="1:3" x14ac:dyDescent="0.25">
      <c r="C109" s="127" t="s">
        <v>448</v>
      </c>
    </row>
    <row r="110" spans="1:3" x14ac:dyDescent="0.25">
      <c r="C110" s="127" t="s">
        <v>569</v>
      </c>
    </row>
    <row r="111" spans="1:3" x14ac:dyDescent="0.25">
      <c r="A111" t="s">
        <v>661</v>
      </c>
      <c r="B111" s="126">
        <v>2</v>
      </c>
      <c r="C111" s="127" t="s">
        <v>571</v>
      </c>
    </row>
    <row r="112" spans="1:3" x14ac:dyDescent="0.25">
      <c r="C112" s="127" t="s">
        <v>572</v>
      </c>
    </row>
    <row r="113" spans="3:3" x14ac:dyDescent="0.25">
      <c r="C113" s="127" t="s">
        <v>573</v>
      </c>
    </row>
    <row r="114" spans="3:3" x14ac:dyDescent="0.25">
      <c r="C114" s="127" t="s">
        <v>574</v>
      </c>
    </row>
    <row r="115" spans="3:3" x14ac:dyDescent="0.25">
      <c r="C115" s="127" t="s">
        <v>596</v>
      </c>
    </row>
    <row r="116" spans="3:3" x14ac:dyDescent="0.25">
      <c r="C116" s="127" t="s">
        <v>597</v>
      </c>
    </row>
    <row r="117" spans="3:3" x14ac:dyDescent="0.25">
      <c r="C117" s="127" t="s">
        <v>598</v>
      </c>
    </row>
    <row r="118" spans="3:3" x14ac:dyDescent="0.25">
      <c r="C118" s="127" t="s">
        <v>602</v>
      </c>
    </row>
    <row r="119" spans="3:3" s="127" customFormat="1" x14ac:dyDescent="0.25">
      <c r="C119" s="127" t="s">
        <v>604</v>
      </c>
    </row>
    <row r="120" spans="3:3" s="127" customFormat="1" x14ac:dyDescent="0.25">
      <c r="C120" s="127" t="s">
        <v>605</v>
      </c>
    </row>
    <row r="121" spans="3:3" s="127" customFormat="1" x14ac:dyDescent="0.25">
      <c r="C121" s="127" t="s">
        <v>606</v>
      </c>
    </row>
    <row r="122" spans="3:3" x14ac:dyDescent="0.25">
      <c r="C122" s="127" t="s">
        <v>599</v>
      </c>
    </row>
    <row r="123" spans="3:3" s="127" customFormat="1" x14ac:dyDescent="0.25">
      <c r="C123" s="127" t="s">
        <v>652</v>
      </c>
    </row>
    <row r="124" spans="3:3" s="127" customFormat="1" x14ac:dyDescent="0.25">
      <c r="C124" s="127" t="s">
        <v>659</v>
      </c>
    </row>
    <row r="125" spans="3:3" x14ac:dyDescent="0.25">
      <c r="C125" s="127" t="s">
        <v>653</v>
      </c>
    </row>
    <row r="126" spans="3:3" x14ac:dyDescent="0.25">
      <c r="C126" s="127" t="s">
        <v>654</v>
      </c>
    </row>
    <row r="127" spans="3:3" s="127" customFormat="1" x14ac:dyDescent="0.25">
      <c r="C127" s="127" t="s">
        <v>655</v>
      </c>
    </row>
    <row r="128" spans="3:3" x14ac:dyDescent="0.25">
      <c r="C128" s="127" t="s">
        <v>656</v>
      </c>
    </row>
    <row r="129" spans="1:3" x14ac:dyDescent="0.25">
      <c r="C129" s="65" t="s">
        <v>657</v>
      </c>
    </row>
    <row r="130" spans="1:3" x14ac:dyDescent="0.25">
      <c r="C130" s="65" t="s">
        <v>600</v>
      </c>
    </row>
    <row r="131" spans="1:3" s="127" customFormat="1" x14ac:dyDescent="0.25">
      <c r="C131" s="65" t="s">
        <v>658</v>
      </c>
    </row>
    <row r="132" spans="1:3" x14ac:dyDescent="0.25">
      <c r="C132" s="127" t="s">
        <v>660</v>
      </c>
    </row>
    <row r="133" spans="1:3" x14ac:dyDescent="0.25">
      <c r="C133" s="127" t="s">
        <v>639</v>
      </c>
    </row>
    <row r="134" spans="1:3" x14ac:dyDescent="0.25">
      <c r="C134" s="127" t="s">
        <v>601</v>
      </c>
    </row>
    <row r="135" spans="1:3" x14ac:dyDescent="0.25">
      <c r="C135" s="127" t="s">
        <v>603</v>
      </c>
    </row>
    <row r="136" spans="1:3" x14ac:dyDescent="0.25">
      <c r="C136" s="127" t="s">
        <v>613</v>
      </c>
    </row>
    <row r="137" spans="1:3" ht="15.75" x14ac:dyDescent="0.25">
      <c r="A137" t="s">
        <v>662</v>
      </c>
      <c r="B137" s="126">
        <v>2</v>
      </c>
      <c r="C137" s="204" t="s">
        <v>680</v>
      </c>
    </row>
    <row r="138" spans="1:3" ht="15.75" x14ac:dyDescent="0.25">
      <c r="C138" s="228" t="s">
        <v>681</v>
      </c>
    </row>
    <row r="139" spans="1:3" ht="15.75" x14ac:dyDescent="0.25">
      <c r="C139" s="228" t="s">
        <v>682</v>
      </c>
    </row>
    <row r="140" spans="1:3" ht="15.75" x14ac:dyDescent="0.25">
      <c r="C140" s="228" t="s">
        <v>683</v>
      </c>
    </row>
    <row r="141" spans="1:3" ht="15.75" x14ac:dyDescent="0.25">
      <c r="C141" s="228" t="s">
        <v>684</v>
      </c>
    </row>
    <row r="142" spans="1:3" ht="15.75" x14ac:dyDescent="0.25">
      <c r="C142" s="228" t="s">
        <v>641</v>
      </c>
    </row>
    <row r="143" spans="1:3" ht="15.75" x14ac:dyDescent="0.25">
      <c r="C143" s="228" t="s">
        <v>685</v>
      </c>
    </row>
    <row r="144" spans="1:3" ht="15.75" x14ac:dyDescent="0.25">
      <c r="C144" s="228" t="s">
        <v>692</v>
      </c>
    </row>
    <row r="145" spans="1:5" ht="15.75" x14ac:dyDescent="0.25">
      <c r="C145" s="228" t="s">
        <v>693</v>
      </c>
    </row>
    <row r="146" spans="1:5" ht="15.75" x14ac:dyDescent="0.25">
      <c r="A146" t="s">
        <v>711</v>
      </c>
      <c r="B146" s="126">
        <v>2</v>
      </c>
      <c r="C146" s="228" t="s">
        <v>745</v>
      </c>
    </row>
    <row r="147" spans="1:5" s="127" customFormat="1" ht="15.75" x14ac:dyDescent="0.25">
      <c r="B147" s="132"/>
      <c r="C147" s="228" t="s">
        <v>749</v>
      </c>
    </row>
    <row r="148" spans="1:5" s="127" customFormat="1" ht="15.75" x14ac:dyDescent="0.25">
      <c r="B148" s="132"/>
      <c r="C148" s="228" t="s">
        <v>750</v>
      </c>
    </row>
    <row r="149" spans="1:5" s="127" customFormat="1" ht="15.75" x14ac:dyDescent="0.25">
      <c r="B149" s="132"/>
      <c r="C149" s="228" t="s">
        <v>751</v>
      </c>
    </row>
    <row r="150" spans="1:5" s="127" customFormat="1" ht="15.75" x14ac:dyDescent="0.25">
      <c r="B150" s="132"/>
      <c r="C150" s="228" t="s">
        <v>752</v>
      </c>
    </row>
    <row r="151" spans="1:5" s="127" customFormat="1" x14ac:dyDescent="0.25">
      <c r="C151" s="229" t="s">
        <v>746</v>
      </c>
      <c r="D151" s="229"/>
      <c r="E151" s="229"/>
    </row>
    <row r="152" spans="1:5" s="127" customFormat="1" x14ac:dyDescent="0.25">
      <c r="C152" s="229" t="s">
        <v>747</v>
      </c>
      <c r="D152" s="229"/>
      <c r="E152" s="229"/>
    </row>
    <row r="153" spans="1:5" s="127" customFormat="1" x14ac:dyDescent="0.25">
      <c r="C153" s="229" t="s">
        <v>754</v>
      </c>
      <c r="D153" s="229"/>
      <c r="E153" s="229"/>
    </row>
    <row r="154" spans="1:5" x14ac:dyDescent="0.25">
      <c r="C154" s="230" t="s">
        <v>748</v>
      </c>
      <c r="D154" s="229"/>
      <c r="E154" s="229"/>
    </row>
    <row r="155" spans="1:5" s="127" customFormat="1" x14ac:dyDescent="0.25">
      <c r="C155" s="230" t="s">
        <v>740</v>
      </c>
      <c r="D155" s="229"/>
      <c r="E155" s="229"/>
    </row>
    <row r="156" spans="1:5" x14ac:dyDescent="0.25">
      <c r="C156" s="229" t="s">
        <v>741</v>
      </c>
      <c r="D156" s="229"/>
      <c r="E156" s="229"/>
    </row>
    <row r="157" spans="1:5" x14ac:dyDescent="0.25">
      <c r="C157" s="229" t="s">
        <v>753</v>
      </c>
      <c r="D157" s="229"/>
      <c r="E157" s="229"/>
    </row>
    <row r="158" spans="1:5" x14ac:dyDescent="0.25">
      <c r="C158" s="229" t="s">
        <v>712</v>
      </c>
      <c r="D158" s="229"/>
      <c r="E158" s="229"/>
    </row>
    <row r="159" spans="1:5" x14ac:dyDescent="0.25">
      <c r="C159" s="229" t="s">
        <v>713</v>
      </c>
      <c r="D159" s="229"/>
      <c r="E159" s="229"/>
    </row>
    <row r="160" spans="1:5" x14ac:dyDescent="0.25">
      <c r="C160" s="229" t="s">
        <v>739</v>
      </c>
      <c r="D160" s="229"/>
      <c r="E160" s="229"/>
    </row>
    <row r="161" spans="1:5" x14ac:dyDescent="0.25">
      <c r="C161" s="229" t="s">
        <v>742</v>
      </c>
      <c r="D161" s="229"/>
      <c r="E161" s="229"/>
    </row>
    <row r="162" spans="1:5" x14ac:dyDescent="0.25">
      <c r="C162" s="229" t="s">
        <v>743</v>
      </c>
      <c r="D162" s="229"/>
      <c r="E162" s="229"/>
    </row>
    <row r="163" spans="1:5" x14ac:dyDescent="0.25">
      <c r="C163" s="229" t="s">
        <v>744</v>
      </c>
      <c r="D163" s="229"/>
      <c r="E163" s="229"/>
    </row>
    <row r="164" spans="1:5" x14ac:dyDescent="0.25">
      <c r="A164" t="s">
        <v>758</v>
      </c>
      <c r="B164" s="126">
        <v>2</v>
      </c>
      <c r="C164" s="229" t="s">
        <v>692</v>
      </c>
      <c r="D164" s="229"/>
      <c r="E164" s="229"/>
    </row>
    <row r="165" spans="1:5" s="127" customFormat="1" x14ac:dyDescent="0.25">
      <c r="C165" s="229" t="s">
        <v>759</v>
      </c>
      <c r="D165" s="229"/>
      <c r="E165" s="229"/>
    </row>
    <row r="166" spans="1:5" x14ac:dyDescent="0.25">
      <c r="C166" s="229" t="s">
        <v>757</v>
      </c>
      <c r="D166" s="229"/>
      <c r="E166" s="229"/>
    </row>
    <row r="167" spans="1:5" x14ac:dyDescent="0.25">
      <c r="C167" s="229" t="s">
        <v>760</v>
      </c>
    </row>
    <row r="168" spans="1:5" x14ac:dyDescent="0.25">
      <c r="C168" s="229" t="s">
        <v>761</v>
      </c>
    </row>
    <row r="169" spans="1:5" x14ac:dyDescent="0.25">
      <c r="A169" t="s">
        <v>762</v>
      </c>
      <c r="B169" s="126">
        <v>2</v>
      </c>
      <c r="C169" s="229" t="s">
        <v>692</v>
      </c>
    </row>
    <row r="170" spans="1:5" x14ac:dyDescent="0.25">
      <c r="C170" s="229" t="s">
        <v>771</v>
      </c>
    </row>
    <row r="171" spans="1:5" s="127" customFormat="1" x14ac:dyDescent="0.25">
      <c r="C171" s="229" t="s">
        <v>818</v>
      </c>
    </row>
    <row r="172" spans="1:5" s="127" customFormat="1" x14ac:dyDescent="0.25">
      <c r="C172" s="229" t="s">
        <v>817</v>
      </c>
    </row>
    <row r="173" spans="1:5" s="127" customFormat="1" x14ac:dyDescent="0.25">
      <c r="C173" s="229" t="s">
        <v>822</v>
      </c>
    </row>
    <row r="174" spans="1:5" s="127" customFormat="1" x14ac:dyDescent="0.25">
      <c r="C174" s="229" t="s">
        <v>821</v>
      </c>
    </row>
    <row r="175" spans="1:5" s="127" customFormat="1" x14ac:dyDescent="0.25">
      <c r="C175" s="229" t="s">
        <v>819</v>
      </c>
    </row>
    <row r="176" spans="1:5" x14ac:dyDescent="0.25">
      <c r="C176" s="229" t="s">
        <v>820</v>
      </c>
    </row>
    <row r="177" spans="1:3" s="127" customFormat="1" x14ac:dyDescent="0.25">
      <c r="A177" s="127" t="s">
        <v>937</v>
      </c>
      <c r="B177" s="126">
        <v>2</v>
      </c>
      <c r="C177" s="229" t="s">
        <v>855</v>
      </c>
    </row>
    <row r="178" spans="1:3" s="127" customFormat="1" x14ac:dyDescent="0.25">
      <c r="C178" s="229" t="s">
        <v>856</v>
      </c>
    </row>
    <row r="179" spans="1:3" s="127" customFormat="1" x14ac:dyDescent="0.25">
      <c r="C179" s="229" t="s">
        <v>857</v>
      </c>
    </row>
    <row r="180" spans="1:3" s="127" customFormat="1" x14ac:dyDescent="0.25">
      <c r="C180" s="229" t="s">
        <v>858</v>
      </c>
    </row>
    <row r="181" spans="1:3" s="127" customFormat="1" x14ac:dyDescent="0.25">
      <c r="C181" s="229" t="s">
        <v>868</v>
      </c>
    </row>
    <row r="182" spans="1:3" s="127" customFormat="1" x14ac:dyDescent="0.25">
      <c r="C182" s="229" t="s">
        <v>874</v>
      </c>
    </row>
    <row r="183" spans="1:3" s="127" customFormat="1" x14ac:dyDescent="0.25">
      <c r="C183" s="229" t="s">
        <v>875</v>
      </c>
    </row>
    <row r="184" spans="1:3" s="127" customFormat="1" x14ac:dyDescent="0.25">
      <c r="C184" s="229" t="s">
        <v>876</v>
      </c>
    </row>
    <row r="185" spans="1:3" s="127" customFormat="1" x14ac:dyDescent="0.25">
      <c r="C185" s="229" t="s">
        <v>881</v>
      </c>
    </row>
    <row r="186" spans="1:3" s="127" customFormat="1" x14ac:dyDescent="0.25">
      <c r="C186" s="229" t="s">
        <v>877</v>
      </c>
    </row>
    <row r="187" spans="1:3" s="127" customFormat="1" x14ac:dyDescent="0.25">
      <c r="B187" s="127" t="s">
        <v>867</v>
      </c>
      <c r="C187" s="229" t="s">
        <v>869</v>
      </c>
    </row>
    <row r="188" spans="1:3" s="127" customFormat="1" x14ac:dyDescent="0.25">
      <c r="C188" s="229" t="s">
        <v>870</v>
      </c>
    </row>
    <row r="189" spans="1:3" s="127" customFormat="1" x14ac:dyDescent="0.25">
      <c r="C189" s="229" t="s">
        <v>862</v>
      </c>
    </row>
    <row r="190" spans="1:3" s="127" customFormat="1" x14ac:dyDescent="0.25">
      <c r="C190" s="229" t="s">
        <v>863</v>
      </c>
    </row>
    <row r="191" spans="1:3" s="127" customFormat="1" x14ac:dyDescent="0.25">
      <c r="C191" s="229" t="s">
        <v>865</v>
      </c>
    </row>
    <row r="192" spans="1:3" s="127" customFormat="1" x14ac:dyDescent="0.25">
      <c r="C192" s="229" t="s">
        <v>866</v>
      </c>
    </row>
    <row r="193" spans="1:3" s="127" customFormat="1" x14ac:dyDescent="0.25">
      <c r="C193" s="229" t="s">
        <v>871</v>
      </c>
    </row>
    <row r="194" spans="1:3" s="127" customFormat="1" x14ac:dyDescent="0.25">
      <c r="C194" s="229" t="s">
        <v>872</v>
      </c>
    </row>
    <row r="195" spans="1:3" s="127" customFormat="1" x14ac:dyDescent="0.25">
      <c r="C195" s="229" t="s">
        <v>854</v>
      </c>
    </row>
    <row r="196" spans="1:3" s="127" customFormat="1" x14ac:dyDescent="0.25">
      <c r="C196" s="229" t="s">
        <v>859</v>
      </c>
    </row>
    <row r="197" spans="1:3" s="127" customFormat="1" x14ac:dyDescent="0.25">
      <c r="C197" s="229" t="s">
        <v>860</v>
      </c>
    </row>
    <row r="198" spans="1:3" s="127" customFormat="1" x14ac:dyDescent="0.25">
      <c r="C198" s="229" t="s">
        <v>873</v>
      </c>
    </row>
    <row r="199" spans="1:3" s="127" customFormat="1" x14ac:dyDescent="0.25">
      <c r="C199" s="229" t="s">
        <v>880</v>
      </c>
    </row>
    <row r="200" spans="1:3" s="127" customFormat="1" x14ac:dyDescent="0.25">
      <c r="C200" s="229" t="s">
        <v>882</v>
      </c>
    </row>
    <row r="201" spans="1:3" s="127" customFormat="1" x14ac:dyDescent="0.25">
      <c r="C201" s="229" t="s">
        <v>878</v>
      </c>
    </row>
    <row r="202" spans="1:3" s="127" customFormat="1" x14ac:dyDescent="0.25">
      <c r="C202" s="229" t="s">
        <v>883</v>
      </c>
    </row>
    <row r="203" spans="1:3" s="127" customFormat="1" x14ac:dyDescent="0.25">
      <c r="C203" s="229" t="s">
        <v>884</v>
      </c>
    </row>
    <row r="204" spans="1:3" s="127" customFormat="1" x14ac:dyDescent="0.25">
      <c r="C204" s="229" t="s">
        <v>885</v>
      </c>
    </row>
    <row r="205" spans="1:3" s="127" customFormat="1" x14ac:dyDescent="0.25">
      <c r="C205" s="229" t="s">
        <v>879</v>
      </c>
    </row>
    <row r="206" spans="1:3" s="127" customFormat="1" x14ac:dyDescent="0.25">
      <c r="A206" s="127" t="s">
        <v>886</v>
      </c>
      <c r="B206" s="126">
        <v>2</v>
      </c>
      <c r="C206" s="229" t="s">
        <v>889</v>
      </c>
    </row>
    <row r="207" spans="1:3" s="127" customFormat="1" x14ac:dyDescent="0.25">
      <c r="C207" s="229" t="s">
        <v>890</v>
      </c>
    </row>
    <row r="208" spans="1:3" s="127" customFormat="1" x14ac:dyDescent="0.25">
      <c r="C208" s="229" t="s">
        <v>891</v>
      </c>
    </row>
    <row r="209" spans="1:3" s="127" customFormat="1" x14ac:dyDescent="0.25">
      <c r="C209" s="229" t="s">
        <v>892</v>
      </c>
    </row>
    <row r="210" spans="1:3" s="127" customFormat="1" x14ac:dyDescent="0.25">
      <c r="C210" s="229" t="s">
        <v>894</v>
      </c>
    </row>
    <row r="211" spans="1:3" s="127" customFormat="1" x14ac:dyDescent="0.25">
      <c r="C211" s="229" t="s">
        <v>893</v>
      </c>
    </row>
    <row r="212" spans="1:3" s="127" customFormat="1" x14ac:dyDescent="0.25">
      <c r="C212" s="229" t="s">
        <v>902</v>
      </c>
    </row>
    <row r="213" spans="1:3" s="127" customFormat="1" x14ac:dyDescent="0.25">
      <c r="C213" s="229" t="s">
        <v>903</v>
      </c>
    </row>
    <row r="214" spans="1:3" s="127" customFormat="1" x14ac:dyDescent="0.25">
      <c r="C214" s="229" t="s">
        <v>905</v>
      </c>
    </row>
    <row r="215" spans="1:3" s="127" customFormat="1" x14ac:dyDescent="0.25">
      <c r="C215" s="127" t="s">
        <v>904</v>
      </c>
    </row>
    <row r="216" spans="1:3" s="127" customFormat="1" x14ac:dyDescent="0.25">
      <c r="A216" s="127" t="s">
        <v>906</v>
      </c>
      <c r="B216" s="126">
        <v>2</v>
      </c>
      <c r="C216" s="229" t="s">
        <v>907</v>
      </c>
    </row>
    <row r="217" spans="1:3" s="127" customFormat="1" x14ac:dyDescent="0.25">
      <c r="A217" s="127" t="s">
        <v>938</v>
      </c>
      <c r="B217" s="126">
        <v>2</v>
      </c>
      <c r="C217" s="229" t="s">
        <v>939</v>
      </c>
    </row>
    <row r="218" spans="1:3" s="127" customFormat="1" x14ac:dyDescent="0.25">
      <c r="C218" s="229" t="s">
        <v>936</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S78"/>
  <sheetViews>
    <sheetView topLeftCell="H13" zoomScaleNormal="100" workbookViewId="0">
      <selection activeCell="N22" sqref="N22:N40"/>
    </sheetView>
  </sheetViews>
  <sheetFormatPr defaultRowHeight="15" x14ac:dyDescent="0.25"/>
  <cols>
    <col min="1" max="1" width="29.28515625" style="231" customWidth="1"/>
    <col min="2" max="2" width="38.5703125" style="231" customWidth="1"/>
    <col min="3" max="3" width="14.28515625" style="231" customWidth="1"/>
    <col min="4" max="4" width="42" style="231" customWidth="1"/>
    <col min="5" max="5" width="13.42578125" style="231" customWidth="1"/>
    <col min="6" max="6" width="13.7109375" style="231" customWidth="1"/>
    <col min="7" max="7" width="13.85546875" style="231" customWidth="1"/>
    <col min="8" max="8" width="14.140625" style="231" customWidth="1"/>
    <col min="9" max="9" width="13.42578125" style="231" customWidth="1"/>
    <col min="10" max="10" width="17.5703125" style="231" customWidth="1"/>
    <col min="11" max="11" width="30.5703125" style="231" customWidth="1"/>
    <col min="12" max="12" width="18.7109375" style="231" customWidth="1"/>
    <col min="13" max="13" width="43" style="231" customWidth="1"/>
    <col min="14" max="14" width="13.85546875" style="231" customWidth="1"/>
    <col min="15" max="15" width="13.7109375" style="231" customWidth="1"/>
    <col min="16" max="16" width="14" style="231" customWidth="1"/>
    <col min="17" max="17" width="14.28515625" style="231" customWidth="1"/>
    <col min="18" max="18" width="13.42578125" style="231" customWidth="1"/>
    <col min="19" max="19" width="24.42578125" style="231" customWidth="1"/>
    <col min="20" max="20" width="29.42578125" customWidth="1"/>
    <col min="21" max="21" width="17.28515625" customWidth="1"/>
    <col min="22" max="22" width="19.140625" customWidth="1"/>
    <col min="23" max="23" width="19.5703125" customWidth="1"/>
    <col min="24" max="24" width="25.140625" customWidth="1"/>
    <col min="25" max="25" width="27" customWidth="1"/>
    <col min="26" max="26" width="16.7109375" customWidth="1"/>
    <col min="27" max="27" width="12.140625" customWidth="1"/>
    <col min="28" max="28" width="14.140625" customWidth="1"/>
  </cols>
  <sheetData>
    <row r="1" spans="1:19" s="127" customFormat="1" x14ac:dyDescent="0.25">
      <c r="A1" s="231"/>
      <c r="B1" s="231"/>
      <c r="C1" s="231"/>
      <c r="D1" s="231"/>
      <c r="E1" s="231"/>
      <c r="F1" s="231"/>
      <c r="G1" s="231"/>
      <c r="H1" s="231"/>
      <c r="I1" s="231"/>
      <c r="J1" s="231"/>
      <c r="K1" s="231"/>
      <c r="L1" s="231"/>
      <c r="M1" s="231"/>
      <c r="N1" s="231"/>
      <c r="O1" s="231"/>
      <c r="P1" s="231"/>
      <c r="Q1" s="231"/>
      <c r="R1" s="231"/>
      <c r="S1" s="231"/>
    </row>
    <row r="2" spans="1:19" s="127" customFormat="1" x14ac:dyDescent="0.25">
      <c r="A2" s="231"/>
      <c r="B2" s="231"/>
      <c r="C2" s="231"/>
      <c r="D2" s="231"/>
      <c r="E2" s="231"/>
      <c r="F2" s="231"/>
      <c r="G2" s="231"/>
      <c r="H2" s="231"/>
      <c r="I2" s="231"/>
      <c r="J2" s="231"/>
      <c r="K2" s="231"/>
      <c r="L2" s="231"/>
      <c r="M2" s="231"/>
      <c r="N2" s="231"/>
      <c r="O2" s="231"/>
      <c r="P2" s="231"/>
      <c r="Q2" s="231"/>
      <c r="R2" s="231"/>
      <c r="S2" s="231"/>
    </row>
    <row r="3" spans="1:19" s="127" customFormat="1" x14ac:dyDescent="0.25">
      <c r="B3" s="341" t="s">
        <v>769</v>
      </c>
      <c r="C3" s="341"/>
      <c r="D3" s="341"/>
      <c r="E3" s="341"/>
      <c r="F3" s="341"/>
      <c r="G3" s="341"/>
      <c r="H3" s="341"/>
      <c r="I3" s="341"/>
      <c r="J3" s="341"/>
      <c r="K3" s="245" t="s">
        <v>767</v>
      </c>
      <c r="L3" s="245" t="s">
        <v>768</v>
      </c>
      <c r="M3" s="231"/>
      <c r="N3" s="231"/>
      <c r="O3" s="231"/>
      <c r="P3" s="231"/>
      <c r="Q3" s="231"/>
      <c r="R3" s="231"/>
      <c r="S3" s="231"/>
    </row>
    <row r="4" spans="1:19" s="127" customFormat="1" x14ac:dyDescent="0.25">
      <c r="B4" s="342" t="s">
        <v>861</v>
      </c>
      <c r="C4" s="342"/>
      <c r="D4" s="342"/>
      <c r="E4" s="342"/>
      <c r="F4" s="342"/>
      <c r="G4" s="342"/>
      <c r="H4" s="342"/>
      <c r="I4" s="342"/>
      <c r="J4" s="343"/>
      <c r="K4" s="246" t="s">
        <v>770</v>
      </c>
      <c r="L4" s="246"/>
      <c r="M4" s="231"/>
      <c r="N4" s="231"/>
      <c r="O4" s="231"/>
      <c r="P4" s="231"/>
      <c r="Q4" s="231"/>
      <c r="R4" s="231"/>
      <c r="S4" s="231"/>
    </row>
    <row r="5" spans="1:19" s="127" customFormat="1" x14ac:dyDescent="0.25">
      <c r="B5" s="342" t="s">
        <v>763</v>
      </c>
      <c r="C5" s="342"/>
      <c r="D5" s="342"/>
      <c r="E5" s="342"/>
      <c r="F5" s="342"/>
      <c r="G5" s="342"/>
      <c r="H5" s="342"/>
      <c r="I5" s="342"/>
      <c r="J5" s="343"/>
      <c r="K5" s="246" t="s">
        <v>770</v>
      </c>
      <c r="L5" s="246"/>
      <c r="M5" s="231"/>
      <c r="N5" s="231"/>
      <c r="O5" s="231"/>
      <c r="P5" s="231"/>
      <c r="Q5" s="231"/>
      <c r="R5" s="231"/>
      <c r="S5" s="231"/>
    </row>
    <row r="6" spans="1:19" s="127" customFormat="1" x14ac:dyDescent="0.25">
      <c r="B6" s="342" t="s">
        <v>764</v>
      </c>
      <c r="C6" s="342"/>
      <c r="D6" s="342"/>
      <c r="E6" s="342"/>
      <c r="F6" s="342"/>
      <c r="G6" s="342"/>
      <c r="H6" s="342"/>
      <c r="I6" s="342"/>
      <c r="J6" s="343"/>
      <c r="K6" s="246" t="s">
        <v>770</v>
      </c>
      <c r="L6" s="246"/>
      <c r="M6" s="231"/>
      <c r="N6" s="231"/>
      <c r="O6" s="231"/>
      <c r="P6" s="231"/>
      <c r="Q6" s="231"/>
      <c r="R6" s="231"/>
      <c r="S6" s="231"/>
    </row>
    <row r="7" spans="1:19" s="127" customFormat="1" x14ac:dyDescent="0.25">
      <c r="B7" s="342" t="s">
        <v>765</v>
      </c>
      <c r="C7" s="342"/>
      <c r="D7" s="342"/>
      <c r="E7" s="342"/>
      <c r="F7" s="342"/>
      <c r="G7" s="342"/>
      <c r="H7" s="342"/>
      <c r="I7" s="342"/>
      <c r="J7" s="343"/>
      <c r="K7" s="246" t="s">
        <v>770</v>
      </c>
      <c r="L7" s="246"/>
      <c r="M7" s="231"/>
      <c r="N7" s="231"/>
      <c r="O7" s="231"/>
      <c r="P7" s="231"/>
      <c r="Q7" s="231"/>
      <c r="R7" s="231"/>
      <c r="S7" s="231"/>
    </row>
    <row r="8" spans="1:19" s="127" customFormat="1" x14ac:dyDescent="0.25">
      <c r="B8" s="342" t="s">
        <v>766</v>
      </c>
      <c r="C8" s="342"/>
      <c r="D8" s="342"/>
      <c r="E8" s="342"/>
      <c r="F8" s="342"/>
      <c r="G8" s="342"/>
      <c r="H8" s="342"/>
      <c r="I8" s="342"/>
      <c r="J8" s="343"/>
      <c r="K8" s="246" t="s">
        <v>770</v>
      </c>
      <c r="L8" s="246"/>
      <c r="M8" s="231"/>
      <c r="N8" s="231"/>
      <c r="O8" s="231"/>
      <c r="P8" s="231"/>
      <c r="Q8" s="231"/>
      <c r="R8" s="231"/>
      <c r="S8" s="231"/>
    </row>
    <row r="9" spans="1:19" s="127" customFormat="1" x14ac:dyDescent="0.25">
      <c r="B9" s="342" t="s">
        <v>826</v>
      </c>
      <c r="C9" s="342"/>
      <c r="D9" s="342"/>
      <c r="E9" s="342"/>
      <c r="F9" s="342"/>
      <c r="G9" s="342"/>
      <c r="H9" s="342"/>
      <c r="I9" s="342"/>
      <c r="J9" s="343"/>
      <c r="K9" s="246" t="s">
        <v>770</v>
      </c>
      <c r="L9" s="246"/>
      <c r="M9" s="231"/>
      <c r="N9" s="231"/>
      <c r="O9" s="231"/>
      <c r="P9" s="231"/>
      <c r="Q9" s="231"/>
      <c r="R9" s="231"/>
      <c r="S9" s="231"/>
    </row>
    <row r="10" spans="1:19" s="127" customFormat="1" x14ac:dyDescent="0.25">
      <c r="B10" s="342" t="s">
        <v>827</v>
      </c>
      <c r="C10" s="342"/>
      <c r="D10" s="342"/>
      <c r="E10" s="342"/>
      <c r="F10" s="342"/>
      <c r="G10" s="342"/>
      <c r="H10" s="342"/>
      <c r="I10" s="342"/>
      <c r="J10" s="343"/>
      <c r="K10" s="246" t="s">
        <v>770</v>
      </c>
      <c r="L10" s="246"/>
      <c r="M10" s="231"/>
      <c r="N10" s="231"/>
      <c r="O10" s="231"/>
      <c r="P10" s="231"/>
      <c r="Q10" s="231"/>
      <c r="R10" s="231"/>
      <c r="S10" s="231"/>
    </row>
    <row r="11" spans="1:19" s="127" customFormat="1" x14ac:dyDescent="0.25">
      <c r="B11" s="342" t="s">
        <v>823</v>
      </c>
      <c r="C11" s="342"/>
      <c r="D11" s="342"/>
      <c r="E11" s="342"/>
      <c r="F11" s="342"/>
      <c r="G11" s="342"/>
      <c r="H11" s="342"/>
      <c r="I11" s="342"/>
      <c r="J11" s="343"/>
      <c r="K11" s="246"/>
      <c r="L11" s="246" t="s">
        <v>770</v>
      </c>
      <c r="M11" s="231"/>
      <c r="N11" s="231"/>
      <c r="O11" s="231"/>
      <c r="P11" s="231"/>
      <c r="Q11" s="231"/>
      <c r="R11" s="231"/>
      <c r="S11" s="231"/>
    </row>
    <row r="12" spans="1:19" s="127" customFormat="1" x14ac:dyDescent="0.25">
      <c r="B12" s="342" t="s">
        <v>828</v>
      </c>
      <c r="C12" s="342"/>
      <c r="D12" s="342"/>
      <c r="E12" s="342"/>
      <c r="F12" s="342"/>
      <c r="G12" s="342"/>
      <c r="H12" s="342"/>
      <c r="I12" s="342"/>
      <c r="J12" s="343"/>
      <c r="K12" s="246" t="s">
        <v>770</v>
      </c>
      <c r="L12" s="246"/>
      <c r="M12" s="231"/>
      <c r="N12" s="231"/>
      <c r="O12" s="231"/>
      <c r="P12" s="231"/>
      <c r="Q12" s="231"/>
      <c r="R12" s="231"/>
      <c r="S12" s="231"/>
    </row>
    <row r="13" spans="1:19" s="127" customFormat="1" x14ac:dyDescent="0.25">
      <c r="A13" s="231"/>
      <c r="B13" s="231"/>
      <c r="C13" s="231"/>
      <c r="D13" s="231"/>
      <c r="E13" s="231"/>
      <c r="F13" s="231"/>
      <c r="G13" s="231"/>
      <c r="H13" s="231"/>
      <c r="I13" s="231"/>
      <c r="J13" s="231"/>
      <c r="K13" s="231"/>
      <c r="L13" s="231"/>
      <c r="M13" s="231"/>
      <c r="N13" s="231"/>
      <c r="O13" s="231"/>
      <c r="P13" s="231"/>
      <c r="Q13" s="231"/>
      <c r="R13" s="231"/>
      <c r="S13" s="231"/>
    </row>
    <row r="16" spans="1:19" ht="15.75" thickBot="1" x14ac:dyDescent="0.3">
      <c r="E16" s="339" t="s">
        <v>755</v>
      </c>
      <c r="F16" s="340"/>
      <c r="G16" s="340"/>
      <c r="H16" s="340"/>
      <c r="I16" s="339"/>
    </row>
    <row r="17" spans="2:18" x14ac:dyDescent="0.25">
      <c r="B17" s="235" t="s">
        <v>697</v>
      </c>
      <c r="C17" s="235" t="s">
        <v>698</v>
      </c>
      <c r="D17" s="235" t="s">
        <v>772</v>
      </c>
      <c r="E17" s="247" t="s">
        <v>824</v>
      </c>
      <c r="F17" s="254" t="s">
        <v>825</v>
      </c>
      <c r="G17" s="255" t="s">
        <v>18</v>
      </c>
      <c r="H17" s="256" t="s">
        <v>19</v>
      </c>
      <c r="I17" s="249" t="s">
        <v>756</v>
      </c>
    </row>
    <row r="18" spans="2:18" x14ac:dyDescent="0.25">
      <c r="B18" s="236" t="s">
        <v>686</v>
      </c>
      <c r="C18" s="236"/>
      <c r="D18" s="237"/>
      <c r="E18" s="248"/>
      <c r="F18" s="257"/>
      <c r="G18" s="238"/>
      <c r="H18" s="258"/>
      <c r="I18" s="250"/>
      <c r="J18" s="232"/>
    </row>
    <row r="19" spans="2:18" ht="15.75" thickBot="1" x14ac:dyDescent="0.3">
      <c r="B19" s="239" t="s">
        <v>700</v>
      </c>
      <c r="C19" s="239" t="s">
        <v>695</v>
      </c>
      <c r="D19" s="244" t="s">
        <v>774</v>
      </c>
      <c r="F19" s="283">
        <f>pAsympt_NoCare_Asympt_InCare_2013plus</f>
        <v>7.4027434914144222E-2</v>
      </c>
      <c r="G19" s="289">
        <f>Params!F59</f>
        <v>0</v>
      </c>
      <c r="H19" s="290">
        <f>Params!H59</f>
        <v>0</v>
      </c>
      <c r="I19" s="251"/>
      <c r="J19" s="232"/>
      <c r="N19" s="339" t="s">
        <v>755</v>
      </c>
      <c r="O19" s="340"/>
      <c r="P19" s="340"/>
      <c r="Q19" s="340"/>
      <c r="R19" s="339"/>
    </row>
    <row r="20" spans="2:18" x14ac:dyDescent="0.25">
      <c r="B20" s="239" t="s">
        <v>701</v>
      </c>
      <c r="C20" s="239" t="s">
        <v>694</v>
      </c>
      <c r="D20" s="240" t="s">
        <v>776</v>
      </c>
      <c r="F20" s="283">
        <f>pAsympt_InCare_Asympt_LTFU_2013plus</f>
        <v>0.30679530417926698</v>
      </c>
      <c r="G20" s="289">
        <f>Params!F70</f>
        <v>0</v>
      </c>
      <c r="H20" s="290">
        <f>Params!H70</f>
        <v>0</v>
      </c>
      <c r="I20" s="251"/>
      <c r="J20" s="232"/>
      <c r="K20" s="235" t="s">
        <v>697</v>
      </c>
      <c r="L20" s="235" t="s">
        <v>698</v>
      </c>
      <c r="M20" s="235" t="s">
        <v>773</v>
      </c>
      <c r="N20" s="247" t="s">
        <v>824</v>
      </c>
      <c r="O20" s="254" t="s">
        <v>825</v>
      </c>
      <c r="P20" s="255" t="s">
        <v>18</v>
      </c>
      <c r="Q20" s="256" t="s">
        <v>19</v>
      </c>
      <c r="R20" s="261" t="s">
        <v>756</v>
      </c>
    </row>
    <row r="21" spans="2:18" x14ac:dyDescent="0.25">
      <c r="B21" s="236" t="s">
        <v>702</v>
      </c>
      <c r="C21" s="236"/>
      <c r="D21" s="237"/>
      <c r="F21" s="259"/>
      <c r="G21" s="242"/>
      <c r="H21" s="260"/>
      <c r="I21" s="252"/>
      <c r="J21" s="232"/>
      <c r="K21" s="236" t="s">
        <v>686</v>
      </c>
      <c r="L21" s="236"/>
      <c r="M21" s="237"/>
      <c r="N21" s="248"/>
      <c r="O21" s="257"/>
      <c r="P21" s="238"/>
      <c r="Q21" s="258"/>
      <c r="R21" s="262"/>
    </row>
    <row r="22" spans="2:18" x14ac:dyDescent="0.25">
      <c r="B22" s="239" t="s">
        <v>700</v>
      </c>
      <c r="C22" s="239" t="s">
        <v>695</v>
      </c>
      <c r="D22" s="244" t="s">
        <v>779</v>
      </c>
      <c r="F22" s="283">
        <f>pAsympt_NoCare_Int_InCare_2013plus</f>
        <v>7.4027434914144222E-2</v>
      </c>
      <c r="G22" s="289">
        <f>Params!F62</f>
        <v>0</v>
      </c>
      <c r="H22" s="290">
        <f>Params!H62</f>
        <v>0</v>
      </c>
      <c r="I22" s="251"/>
      <c r="J22" s="232"/>
      <c r="K22" s="239" t="s">
        <v>707</v>
      </c>
      <c r="L22" s="239" t="s">
        <v>302</v>
      </c>
      <c r="M22" s="240" t="s">
        <v>775</v>
      </c>
      <c r="O22" s="283">
        <f>pAsympt_NoCare_Asympt_Dead_2013plus</f>
        <v>1.818504441305463E-2</v>
      </c>
      <c r="P22" s="289">
        <f>Params!F60</f>
        <v>9.2111153592935313E-3</v>
      </c>
      <c r="Q22" s="290">
        <f>Params!H60</f>
        <v>3.1458841618638878E-2</v>
      </c>
      <c r="R22" s="263"/>
    </row>
    <row r="23" spans="2:18" x14ac:dyDescent="0.25">
      <c r="B23" s="239" t="s">
        <v>688</v>
      </c>
      <c r="C23" s="239" t="s">
        <v>631</v>
      </c>
      <c r="D23" s="240" t="s">
        <v>780</v>
      </c>
      <c r="F23" s="283">
        <f>pAsympt_NoCare_Int_ART1_2013plus</f>
        <v>0</v>
      </c>
      <c r="G23" s="289">
        <f>Params!F63</f>
        <v>0</v>
      </c>
      <c r="H23" s="290">
        <f>Params!H63</f>
        <v>0</v>
      </c>
      <c r="I23" s="251"/>
      <c r="J23" s="232"/>
      <c r="K23" s="239" t="s">
        <v>708</v>
      </c>
      <c r="L23" s="239" t="s">
        <v>302</v>
      </c>
      <c r="M23" s="240" t="s">
        <v>777</v>
      </c>
      <c r="O23" s="283">
        <f>pAsympt_InCare_Asympt_Dead_2013plus</f>
        <v>1.7063093562521336E-2</v>
      </c>
      <c r="P23" s="289">
        <f>Params!F71</f>
        <v>9.2111153592935313E-3</v>
      </c>
      <c r="Q23" s="290">
        <f>Params!H71</f>
        <v>3.1458841618638878E-2</v>
      </c>
      <c r="R23" s="263"/>
    </row>
    <row r="24" spans="2:18" x14ac:dyDescent="0.25">
      <c r="B24" s="239" t="s">
        <v>701</v>
      </c>
      <c r="C24" s="239" t="s">
        <v>631</v>
      </c>
      <c r="D24" s="240" t="s">
        <v>782</v>
      </c>
      <c r="F24" s="283">
        <f>pAsympt_InCare_Int_ART1_2013plus</f>
        <v>3.7999999999999999E-2</v>
      </c>
      <c r="G24" s="289">
        <f>Params!F73</f>
        <v>3.4000000000000002E-2</v>
      </c>
      <c r="H24" s="290">
        <f>Params!H73</f>
        <v>4.2999999999999997E-2</v>
      </c>
      <c r="I24" s="251"/>
      <c r="J24" s="233"/>
      <c r="K24" s="239" t="s">
        <v>709</v>
      </c>
      <c r="L24" s="239" t="s">
        <v>302</v>
      </c>
      <c r="M24" s="241" t="s">
        <v>778</v>
      </c>
      <c r="O24" s="300">
        <f>pAsympt_LTFU_Asympt_Dead_2013plus</f>
        <v>1.818504441305463E-2</v>
      </c>
      <c r="P24" s="289">
        <f>Params!F80</f>
        <v>9.2111153592935313E-3</v>
      </c>
      <c r="Q24" s="290">
        <f>Params!H80</f>
        <v>3.1458841618638878E-2</v>
      </c>
      <c r="R24" s="263"/>
    </row>
    <row r="25" spans="2:18" x14ac:dyDescent="0.25">
      <c r="B25" s="239" t="s">
        <v>832</v>
      </c>
      <c r="C25" s="239" t="s">
        <v>631</v>
      </c>
      <c r="D25" s="240" t="s">
        <v>911</v>
      </c>
      <c r="F25" s="283">
        <f>pAsympt_LTFU_Int_ART1_2013plus</f>
        <v>0.1313</v>
      </c>
      <c r="G25" s="289"/>
      <c r="H25" s="290"/>
      <c r="I25" s="251"/>
      <c r="J25" s="232"/>
      <c r="K25" s="236" t="s">
        <v>687</v>
      </c>
      <c r="L25" s="236"/>
      <c r="M25" s="237"/>
      <c r="O25" s="259"/>
      <c r="P25" s="243"/>
      <c r="Q25" s="264"/>
      <c r="R25" s="252"/>
    </row>
    <row r="26" spans="2:18" x14ac:dyDescent="0.25">
      <c r="B26" s="236" t="s">
        <v>689</v>
      </c>
      <c r="C26" s="236"/>
      <c r="D26" s="237"/>
      <c r="F26" s="259"/>
      <c r="G26" s="242"/>
      <c r="H26" s="260"/>
      <c r="I26" s="252"/>
      <c r="J26" s="232"/>
      <c r="K26" s="239" t="s">
        <v>707</v>
      </c>
      <c r="L26" s="239" t="s">
        <v>699</v>
      </c>
      <c r="M26" s="240" t="s">
        <v>781</v>
      </c>
      <c r="O26" s="283">
        <f>pAsympt_NoCare_Int_NoCare_2013plus</f>
        <v>0.2</v>
      </c>
      <c r="P26" s="289">
        <f>Params!F61</f>
        <v>0.12407078841161334</v>
      </c>
      <c r="Q26" s="290">
        <f>Params!H61</f>
        <v>0.16643200297100913</v>
      </c>
      <c r="R26" s="263"/>
    </row>
    <row r="27" spans="2:18" x14ac:dyDescent="0.25">
      <c r="B27" s="239" t="s">
        <v>700</v>
      </c>
      <c r="C27" s="239" t="s">
        <v>695</v>
      </c>
      <c r="D27" s="244" t="s">
        <v>785</v>
      </c>
      <c r="F27" s="291">
        <f>pInt_NoCare_Int_InCare_2013plus</f>
        <v>9.8703246552192314E-2</v>
      </c>
      <c r="G27" s="289">
        <f>Params!F84</f>
        <v>0</v>
      </c>
      <c r="H27" s="290">
        <f>Params!H84</f>
        <v>0</v>
      </c>
      <c r="I27" s="253"/>
      <c r="J27" s="233"/>
      <c r="K27" s="239" t="s">
        <v>708</v>
      </c>
      <c r="L27" s="239" t="s">
        <v>695</v>
      </c>
      <c r="M27" s="240" t="s">
        <v>783</v>
      </c>
      <c r="O27" s="283">
        <f>pAsympt_InCare_Int_InCare_2013plus</f>
        <v>0.2</v>
      </c>
      <c r="P27" s="289">
        <f>Params!F72</f>
        <v>0.12407078841161334</v>
      </c>
      <c r="Q27" s="290">
        <f>Params!H72</f>
        <v>0.16643200297100913</v>
      </c>
      <c r="R27" s="263"/>
    </row>
    <row r="28" spans="2:18" x14ac:dyDescent="0.25">
      <c r="B28" s="239"/>
      <c r="C28" s="239" t="s">
        <v>631</v>
      </c>
      <c r="D28" s="240" t="s">
        <v>786</v>
      </c>
      <c r="F28" s="283">
        <f>pInt_NoCare_Int_ART1_2013plus</f>
        <v>0</v>
      </c>
      <c r="G28" s="289">
        <f>Params!F106</f>
        <v>0</v>
      </c>
      <c r="H28" s="290">
        <f>Params!H106</f>
        <v>0</v>
      </c>
      <c r="I28" s="251"/>
      <c r="J28" s="233"/>
      <c r="K28" s="239" t="s">
        <v>709</v>
      </c>
      <c r="L28" s="239" t="s">
        <v>694</v>
      </c>
      <c r="M28" s="241" t="s">
        <v>784</v>
      </c>
      <c r="O28" s="300">
        <f>pAsympt_LTFU_Int_LTFU_2013plus</f>
        <v>0.2</v>
      </c>
      <c r="P28" s="289">
        <f>Params!F77</f>
        <v>0.12407078841161334</v>
      </c>
      <c r="Q28" s="290">
        <f>Params!H77</f>
        <v>0.16643200297100913</v>
      </c>
      <c r="R28" s="263"/>
    </row>
    <row r="29" spans="2:18" x14ac:dyDescent="0.25">
      <c r="B29" s="239" t="s">
        <v>701</v>
      </c>
      <c r="C29" s="239" t="s">
        <v>631</v>
      </c>
      <c r="D29" s="240" t="s">
        <v>788</v>
      </c>
      <c r="F29" s="283">
        <f>pInt_InCare_Int_ART1_2013plus</f>
        <v>0.12845640705966965</v>
      </c>
      <c r="G29" s="289">
        <f>Params!F118</f>
        <v>0</v>
      </c>
      <c r="H29" s="290">
        <f>Params!H118</f>
        <v>0</v>
      </c>
      <c r="I29" s="251"/>
      <c r="J29" s="232"/>
      <c r="K29" s="236" t="s">
        <v>689</v>
      </c>
      <c r="L29" s="236"/>
      <c r="M29" s="237"/>
      <c r="O29" s="259"/>
      <c r="P29" s="242"/>
      <c r="Q29" s="260"/>
      <c r="R29" s="252"/>
    </row>
    <row r="30" spans="2:18" x14ac:dyDescent="0.25">
      <c r="B30" s="239"/>
      <c r="C30" s="239" t="s">
        <v>694</v>
      </c>
      <c r="D30" s="240" t="s">
        <v>790</v>
      </c>
      <c r="F30" s="283">
        <f>pInt_InCare_Int_LTFU_2013plus</f>
        <v>0.18249498008072801</v>
      </c>
      <c r="G30" s="289">
        <f>Params!F119</f>
        <v>0</v>
      </c>
      <c r="H30" s="290">
        <f>Params!H119</f>
        <v>0.85342594198378885</v>
      </c>
      <c r="I30" s="251"/>
      <c r="J30" s="232"/>
      <c r="K30" s="239" t="s">
        <v>707</v>
      </c>
      <c r="L30" s="239" t="s">
        <v>302</v>
      </c>
      <c r="M30" s="240" t="s">
        <v>787</v>
      </c>
      <c r="O30" s="283">
        <f>pInt_NoCare_Int_Dead_2013plus</f>
        <v>2.7888537361361161E-2</v>
      </c>
      <c r="P30" s="289">
        <f>Params!F107</f>
        <v>9.9027400000000002E-3</v>
      </c>
      <c r="Q30" s="290">
        <f>Params!H107</f>
        <v>6.8212510000000004E-2</v>
      </c>
      <c r="R30" s="263"/>
    </row>
    <row r="31" spans="2:18" x14ac:dyDescent="0.25">
      <c r="B31" s="239" t="s">
        <v>703</v>
      </c>
      <c r="C31" s="239" t="s">
        <v>632</v>
      </c>
      <c r="D31" s="240" t="s">
        <v>792</v>
      </c>
      <c r="F31" s="283">
        <f>pInt_ART1_Int_ART2_2013plus</f>
        <v>8.6622645122074182E-3</v>
      </c>
      <c r="G31" s="289">
        <f>Params!F128</f>
        <v>3.7728647931918324E-3</v>
      </c>
      <c r="H31" s="290">
        <f>Params!H128</f>
        <v>1.3527667465056514E-2</v>
      </c>
      <c r="I31" s="251"/>
      <c r="J31" s="232"/>
      <c r="K31" s="239" t="s">
        <v>710</v>
      </c>
      <c r="L31" s="239" t="s">
        <v>302</v>
      </c>
      <c r="M31" s="241" t="s">
        <v>789</v>
      </c>
      <c r="O31" s="300">
        <f>pInt_InCare_Int_Dead_2013plus</f>
        <v>2.6167916421318438E-2</v>
      </c>
      <c r="P31" s="289">
        <f>Params!F120</f>
        <v>9.9027400000000002E-3</v>
      </c>
      <c r="Q31" s="290">
        <f>Params!H120</f>
        <v>6.8212510000000004E-2</v>
      </c>
      <c r="R31" s="263"/>
    </row>
    <row r="32" spans="2:18" x14ac:dyDescent="0.25">
      <c r="B32" s="239"/>
      <c r="C32" s="239" t="s">
        <v>694</v>
      </c>
      <c r="D32" s="240" t="s">
        <v>793</v>
      </c>
      <c r="F32" s="283">
        <f>pInt_ART1_Int_LTFU_2013plus</f>
        <v>1.438552517214986E-2</v>
      </c>
      <c r="G32" s="289">
        <f>Params!F129</f>
        <v>8.106959909557454E-3</v>
      </c>
      <c r="H32" s="290">
        <f>Params!H129</f>
        <v>2.0624347861537995E-2</v>
      </c>
      <c r="I32" s="251"/>
      <c r="J32" s="232"/>
      <c r="K32" s="239" t="s">
        <v>709</v>
      </c>
      <c r="L32" s="239" t="s">
        <v>302</v>
      </c>
      <c r="M32" s="241" t="s">
        <v>791</v>
      </c>
      <c r="O32" s="300">
        <f>pInt_LTFU_Int_Dead_2013plus</f>
        <v>2.7888537361361161E-2</v>
      </c>
      <c r="P32" s="289">
        <f>Params!F143</f>
        <v>9.9027400000000002E-3</v>
      </c>
      <c r="Q32" s="290">
        <f>Params!H143</f>
        <v>6.8212510000000004E-2</v>
      </c>
      <c r="R32" s="263"/>
    </row>
    <row r="33" spans="1:18" x14ac:dyDescent="0.25">
      <c r="B33" s="239"/>
      <c r="C33" s="239" t="s">
        <v>302</v>
      </c>
      <c r="D33" s="240" t="s">
        <v>795</v>
      </c>
      <c r="F33" s="283">
        <f>pInt_ART1_Int_Dead_2013plus</f>
        <v>5.0571692431374826E-3</v>
      </c>
      <c r="G33" s="289">
        <f>Params!F130</f>
        <v>2.0379206142226991E-3</v>
      </c>
      <c r="H33" s="290">
        <f>Params!H130</f>
        <v>1.0395588448508075E-2</v>
      </c>
      <c r="I33" s="251"/>
      <c r="J33" s="232"/>
      <c r="K33" s="236" t="s">
        <v>691</v>
      </c>
      <c r="L33" s="236"/>
      <c r="M33" s="237"/>
      <c r="O33" s="259"/>
      <c r="P33" s="242"/>
      <c r="Q33" s="260"/>
      <c r="R33" s="252"/>
    </row>
    <row r="34" spans="1:18" x14ac:dyDescent="0.25">
      <c r="A34" s="127"/>
      <c r="B34" s="239" t="s">
        <v>704</v>
      </c>
      <c r="C34" s="239" t="s">
        <v>694</v>
      </c>
      <c r="D34" s="240" t="s">
        <v>797</v>
      </c>
      <c r="F34" s="283">
        <f>pInt_ART2_Int_LTFU_2013plus</f>
        <v>1.438552517214986E-2</v>
      </c>
      <c r="G34" s="289">
        <f>Params!F135</f>
        <v>8.106959909557454E-3</v>
      </c>
      <c r="H34" s="290">
        <f>Params!H135</f>
        <v>2.0624347861537995E-2</v>
      </c>
      <c r="I34" s="251"/>
      <c r="J34" s="233"/>
      <c r="K34" s="239" t="s">
        <v>707</v>
      </c>
      <c r="L34" s="239" t="s">
        <v>699</v>
      </c>
      <c r="M34" s="240" t="s">
        <v>794</v>
      </c>
      <c r="O34" s="283">
        <f>pInt_NoCare_AIDS_NoCare_2013plus</f>
        <v>0.3</v>
      </c>
      <c r="P34" s="289">
        <f>Params!F108</f>
        <v>0.18256182011016442</v>
      </c>
      <c r="Q34" s="290">
        <f>Params!H108</f>
        <v>0.27948568817544406</v>
      </c>
      <c r="R34" s="263"/>
    </row>
    <row r="35" spans="1:18" x14ac:dyDescent="0.25">
      <c r="A35" s="127"/>
      <c r="B35" s="239"/>
      <c r="C35" s="239" t="s">
        <v>302</v>
      </c>
      <c r="D35" s="275" t="s">
        <v>798</v>
      </c>
      <c r="F35" s="283">
        <f>pInt_ART2_Int_Dead_2013plus</f>
        <v>5.0571692431374826E-3</v>
      </c>
      <c r="G35" s="289">
        <f>Params!F136</f>
        <v>2.0379206142226991E-3</v>
      </c>
      <c r="H35" s="290">
        <f>Params!H136</f>
        <v>1.0395588448508075E-2</v>
      </c>
      <c r="I35" s="251"/>
      <c r="J35" s="234"/>
      <c r="K35" s="239" t="s">
        <v>708</v>
      </c>
      <c r="L35" s="239" t="s">
        <v>695</v>
      </c>
      <c r="M35" s="240" t="s">
        <v>796</v>
      </c>
      <c r="O35" s="283">
        <f>pInt_InCare_AIDS_InCare_2013plus</f>
        <v>0.3</v>
      </c>
      <c r="P35" s="289">
        <f>Params!F121</f>
        <v>0.18256182011016442</v>
      </c>
      <c r="Q35" s="290">
        <f>Params!H121</f>
        <v>0.27948568817544406</v>
      </c>
      <c r="R35" s="263"/>
    </row>
    <row r="36" spans="1:18" x14ac:dyDescent="0.25">
      <c r="A36" s="127"/>
      <c r="B36" s="239" t="s">
        <v>832</v>
      </c>
      <c r="C36" s="274" t="s">
        <v>631</v>
      </c>
      <c r="D36" s="68" t="s">
        <v>912</v>
      </c>
      <c r="F36" s="283">
        <f>pInt_LTFU_Int_ART1_2013plus</f>
        <v>0.16159999999999999</v>
      </c>
      <c r="G36" s="289"/>
      <c r="H36" s="290"/>
      <c r="I36" s="251"/>
      <c r="J36" s="232"/>
      <c r="K36" s="239" t="s">
        <v>709</v>
      </c>
      <c r="L36" s="239" t="s">
        <v>694</v>
      </c>
      <c r="M36" s="241" t="s">
        <v>802</v>
      </c>
      <c r="O36" s="300">
        <f>pInt_LTFU_AIDS_LTFU_2013plus</f>
        <v>0.24038307785619925</v>
      </c>
      <c r="P36" s="289">
        <f>Params!F141</f>
        <v>0</v>
      </c>
      <c r="Q36" s="290">
        <f>Params!H141</f>
        <v>0</v>
      </c>
      <c r="R36" s="263"/>
    </row>
    <row r="37" spans="1:18" x14ac:dyDescent="0.25">
      <c r="A37" s="127"/>
      <c r="B37" s="239"/>
      <c r="C37" s="274" t="s">
        <v>632</v>
      </c>
      <c r="D37" s="68" t="s">
        <v>913</v>
      </c>
      <c r="F37" s="283">
        <f>pInt_LTFU_Int_ART2_2013plus</f>
        <v>0.17169999999999999</v>
      </c>
      <c r="G37" s="289"/>
      <c r="H37" s="290"/>
      <c r="I37" s="251"/>
      <c r="J37" s="232"/>
      <c r="K37" s="236" t="s">
        <v>690</v>
      </c>
      <c r="L37" s="236"/>
      <c r="M37" s="237"/>
      <c r="O37" s="259"/>
      <c r="P37" s="242"/>
      <c r="Q37" s="260"/>
      <c r="R37" s="252"/>
    </row>
    <row r="38" spans="1:18" x14ac:dyDescent="0.25">
      <c r="A38" s="127"/>
      <c r="B38" s="236" t="s">
        <v>691</v>
      </c>
      <c r="C38" s="236"/>
      <c r="D38" s="276"/>
      <c r="F38" s="259"/>
      <c r="G38" s="242"/>
      <c r="H38" s="260"/>
      <c r="I38" s="252"/>
      <c r="J38" s="233"/>
      <c r="K38" s="239" t="s">
        <v>707</v>
      </c>
      <c r="L38" s="239" t="s">
        <v>302</v>
      </c>
      <c r="M38" s="240" t="s">
        <v>799</v>
      </c>
      <c r="O38" s="283">
        <f>pAIDS_NoCare_AIDS_Dead_2013plus</f>
        <v>0.41051473830285101</v>
      </c>
      <c r="P38" s="289">
        <f>Params!F162</f>
        <v>0.31455704495019521</v>
      </c>
      <c r="Q38" s="290">
        <f>Params!H162</f>
        <v>0.46553551713754737</v>
      </c>
      <c r="R38" s="263"/>
    </row>
    <row r="39" spans="1:18" x14ac:dyDescent="0.25">
      <c r="B39" s="239" t="s">
        <v>700</v>
      </c>
      <c r="C39" s="239" t="s">
        <v>695</v>
      </c>
      <c r="D39" s="244" t="s">
        <v>801</v>
      </c>
      <c r="F39" s="291">
        <f>pInt_NoCare_AIDS_InCare_2013plus</f>
        <v>9.8703246552192314E-2</v>
      </c>
      <c r="G39" s="289">
        <f>Params!F109</f>
        <v>0</v>
      </c>
      <c r="H39" s="290">
        <f>Params!H109</f>
        <v>0</v>
      </c>
      <c r="I39" s="253"/>
      <c r="J39" s="232"/>
      <c r="K39" s="239" t="s">
        <v>708</v>
      </c>
      <c r="L39" s="239" t="s">
        <v>302</v>
      </c>
      <c r="M39" s="240" t="s">
        <v>800</v>
      </c>
      <c r="O39" s="283">
        <f>pAIDS_InCare_AIDS_Dead_2013plus</f>
        <v>0.385187477652077</v>
      </c>
      <c r="P39" s="289">
        <f>Params!F198</f>
        <v>0.31455704495019521</v>
      </c>
      <c r="Q39" s="290">
        <f>Params!H198</f>
        <v>0.46553551713754737</v>
      </c>
      <c r="R39" s="263"/>
    </row>
    <row r="40" spans="1:18" ht="15.75" thickBot="1" x14ac:dyDescent="0.3">
      <c r="B40" s="239"/>
      <c r="C40" s="239" t="s">
        <v>696</v>
      </c>
      <c r="D40" s="240" t="s">
        <v>803</v>
      </c>
      <c r="F40" s="283">
        <f>pInt_NoCare_AIDS_ART1ear_2013plus</f>
        <v>0</v>
      </c>
      <c r="G40" s="289">
        <f>Params!F110</f>
        <v>0</v>
      </c>
      <c r="H40" s="290">
        <f>Params!H110</f>
        <v>0</v>
      </c>
      <c r="I40" s="251"/>
      <c r="J40" s="232"/>
      <c r="K40" s="239" t="s">
        <v>709</v>
      </c>
      <c r="L40" s="239" t="s">
        <v>302</v>
      </c>
      <c r="M40" s="240" t="s">
        <v>804</v>
      </c>
      <c r="O40" s="301">
        <f>pAIDS_LTFU_AIDS_Dead_2013plus</f>
        <v>0.41051473830285101</v>
      </c>
      <c r="P40" s="302">
        <f>Params!F226</f>
        <v>0.31455704495019521</v>
      </c>
      <c r="Q40" s="303">
        <f>Params!H226</f>
        <v>0.46553551713754737</v>
      </c>
      <c r="R40" s="263"/>
    </row>
    <row r="41" spans="1:18" x14ac:dyDescent="0.25">
      <c r="B41" s="239" t="s">
        <v>701</v>
      </c>
      <c r="C41" s="239" t="s">
        <v>696</v>
      </c>
      <c r="D41" s="240" t="s">
        <v>805</v>
      </c>
      <c r="F41" s="283">
        <f>pInt_InCare_AIDS_ART1ear_2013plus</f>
        <v>8.8999999999999996E-2</v>
      </c>
      <c r="G41" s="289">
        <f>Params!F122</f>
        <v>7.8E-2</v>
      </c>
      <c r="H41" s="290">
        <f>Params!H122</f>
        <v>0.1</v>
      </c>
      <c r="I41" s="251"/>
      <c r="J41" s="232"/>
    </row>
    <row r="42" spans="1:18" x14ac:dyDescent="0.25">
      <c r="B42" s="236" t="s">
        <v>690</v>
      </c>
      <c r="C42" s="236"/>
      <c r="D42" s="237"/>
      <c r="F42" s="259"/>
      <c r="G42" s="242"/>
      <c r="H42" s="260"/>
      <c r="I42" s="252"/>
    </row>
    <row r="43" spans="1:18" x14ac:dyDescent="0.25">
      <c r="B43" s="239" t="s">
        <v>700</v>
      </c>
      <c r="C43" s="239" t="s">
        <v>695</v>
      </c>
      <c r="D43" s="244" t="s">
        <v>806</v>
      </c>
      <c r="F43" s="291">
        <f>pAIDS_NoCare_AIDS_InCare_2013plus</f>
        <v>0.46884042112291341</v>
      </c>
      <c r="G43" s="289">
        <f>Params!F160</f>
        <v>0</v>
      </c>
      <c r="H43" s="290">
        <f>Params!H160</f>
        <v>0</v>
      </c>
      <c r="I43" s="253"/>
    </row>
    <row r="44" spans="1:18" x14ac:dyDescent="0.25">
      <c r="B44" s="239"/>
      <c r="C44" s="239" t="s">
        <v>696</v>
      </c>
      <c r="D44" s="240" t="s">
        <v>807</v>
      </c>
      <c r="F44" s="283">
        <f>pAIDS_NoCare_AIDS_ART1ear_2013plus</f>
        <v>5.1587356649849515E-2</v>
      </c>
      <c r="G44" s="289">
        <f>Params!F161</f>
        <v>0</v>
      </c>
      <c r="H44" s="290">
        <f>Params!H161</f>
        <v>0</v>
      </c>
      <c r="I44" s="251"/>
      <c r="J44" s="266"/>
    </row>
    <row r="45" spans="1:18" x14ac:dyDescent="0.25">
      <c r="B45" s="239" t="s">
        <v>701</v>
      </c>
      <c r="C45" s="239" t="s">
        <v>696</v>
      </c>
      <c r="D45" s="240" t="s">
        <v>808</v>
      </c>
      <c r="F45" s="283">
        <f>pAIDS_InCare_AIDS_ART1ear_2013plus</f>
        <v>0.43290702569058864</v>
      </c>
      <c r="G45" s="289">
        <f>Params!F196</f>
        <v>0</v>
      </c>
      <c r="H45" s="290" t="str">
        <f>Params!H196</f>
        <v>Varies</v>
      </c>
      <c r="I45" s="251"/>
    </row>
    <row r="46" spans="1:18" x14ac:dyDescent="0.25">
      <c r="B46" s="239"/>
      <c r="C46" s="239" t="s">
        <v>694</v>
      </c>
      <c r="D46" s="240" t="s">
        <v>809</v>
      </c>
      <c r="F46" s="283">
        <f>pAIDS_InCare_AIDS_LTFU_2013plus</f>
        <v>5.8805476905872532E-2</v>
      </c>
      <c r="G46" s="289">
        <f>Params!F197</f>
        <v>0</v>
      </c>
      <c r="H46" s="290">
        <f>Params!H197</f>
        <v>0.27500000000000002</v>
      </c>
      <c r="I46" s="251"/>
    </row>
    <row r="47" spans="1:18" x14ac:dyDescent="0.25">
      <c r="B47" s="239" t="s">
        <v>705</v>
      </c>
      <c r="C47" s="239" t="s">
        <v>694</v>
      </c>
      <c r="D47" s="240" t="s">
        <v>811</v>
      </c>
      <c r="F47" s="283">
        <f>pAIDS_ART1ear_AIDS_LTFU_2013plus</f>
        <v>3.1705300812410298E-2</v>
      </c>
      <c r="G47" s="289">
        <f>Params!F205</f>
        <v>1.2299732266045416E-2</v>
      </c>
      <c r="H47" s="290">
        <f>Params!H205</f>
        <v>2.0586151466279734E-2</v>
      </c>
      <c r="I47" s="251"/>
    </row>
    <row r="48" spans="1:18" x14ac:dyDescent="0.25">
      <c r="B48" s="239"/>
      <c r="C48" s="239" t="s">
        <v>302</v>
      </c>
      <c r="D48" s="240" t="s">
        <v>812</v>
      </c>
      <c r="F48" s="283">
        <f>pAIDS_ART1ear_AIDS_Dead_2013plus</f>
        <v>0.14780491345800628</v>
      </c>
      <c r="G48" s="289">
        <f>Params!F206</f>
        <v>4.9825854372356537E-2</v>
      </c>
      <c r="H48" s="290">
        <f>Params!H206</f>
        <v>6.4873065421154008E-2</v>
      </c>
      <c r="I48" s="251"/>
    </row>
    <row r="49" spans="2:9" x14ac:dyDescent="0.25">
      <c r="B49" s="239" t="s">
        <v>706</v>
      </c>
      <c r="C49" s="239" t="s">
        <v>632</v>
      </c>
      <c r="D49" s="240" t="s">
        <v>813</v>
      </c>
      <c r="F49" s="283">
        <f>pAIDS_ART1late_AIDS_ART2_2013plus</f>
        <v>3.0593921587134254E-2</v>
      </c>
      <c r="G49" s="289">
        <f>Params!F212</f>
        <v>2.474567905229208E-2</v>
      </c>
      <c r="H49" s="290">
        <f>Params!H212</f>
        <v>3.7797161778324706E-2</v>
      </c>
      <c r="I49" s="251"/>
    </row>
    <row r="50" spans="2:9" x14ac:dyDescent="0.25">
      <c r="B50" s="239"/>
      <c r="C50" s="239" t="s">
        <v>694</v>
      </c>
      <c r="D50" s="240" t="s">
        <v>814</v>
      </c>
      <c r="F50" s="283">
        <f>pAIDS_ART1late_AIDS_LTFU_2013plus</f>
        <v>1.0797654247759469E-2</v>
      </c>
      <c r="G50" s="289">
        <f>Params!F213</f>
        <v>1.2299732266045416E-2</v>
      </c>
      <c r="H50" s="290">
        <f>Params!H213</f>
        <v>2.0586151466279734E-2</v>
      </c>
      <c r="I50" s="251"/>
    </row>
    <row r="51" spans="2:9" x14ac:dyDescent="0.25">
      <c r="B51" s="239"/>
      <c r="C51" s="239" t="s">
        <v>302</v>
      </c>
      <c r="D51" s="240" t="s">
        <v>815</v>
      </c>
      <c r="F51" s="283">
        <f>pAIDS_ART1late_AIDS_Dead_2013plus</f>
        <v>2.5755196485685583E-2</v>
      </c>
      <c r="G51" s="289">
        <f>Params!F214</f>
        <v>4.9825854372356537E-2</v>
      </c>
      <c r="H51" s="290">
        <f>Params!H214</f>
        <v>6.4873065421154008E-2</v>
      </c>
      <c r="I51" s="251"/>
    </row>
    <row r="52" spans="2:9" x14ac:dyDescent="0.25">
      <c r="B52" s="239" t="s">
        <v>704</v>
      </c>
      <c r="C52" s="239" t="s">
        <v>694</v>
      </c>
      <c r="D52" s="240" t="s">
        <v>829</v>
      </c>
      <c r="F52" s="284">
        <f>pAIDS_ART2_AIDS_LTFU_2013plus</f>
        <v>2.7446069457994882E-2</v>
      </c>
      <c r="G52" s="292">
        <f>Params!F220</f>
        <v>6.758286995717866E-2</v>
      </c>
      <c r="H52" s="293">
        <f>Params!H219</f>
        <v>5.2080788220127627E-2</v>
      </c>
      <c r="I52" s="251"/>
    </row>
    <row r="53" spans="2:9" x14ac:dyDescent="0.25">
      <c r="B53" s="270"/>
      <c r="C53" s="270" t="s">
        <v>302</v>
      </c>
      <c r="D53" s="275" t="s">
        <v>816</v>
      </c>
      <c r="F53" s="284">
        <f>pAIDS_ART2_AIDS_Dead_2013plus</f>
        <v>9.4212203246128889E-2</v>
      </c>
      <c r="G53" s="292">
        <f>Params!F220</f>
        <v>6.758286995717866E-2</v>
      </c>
      <c r="H53" s="293">
        <f>Params!H220</f>
        <v>0.13057482143978982</v>
      </c>
      <c r="I53" s="277"/>
    </row>
    <row r="54" spans="2:9" x14ac:dyDescent="0.25">
      <c r="B54" s="278" t="s">
        <v>832</v>
      </c>
      <c r="C54" s="278" t="s">
        <v>631</v>
      </c>
      <c r="D54" s="68" t="s">
        <v>927</v>
      </c>
      <c r="F54" s="294">
        <f>pAIDS_LTFU_AIDS_ART1ear_2013plus</f>
        <v>0.21210000000000001</v>
      </c>
      <c r="G54" s="295"/>
      <c r="H54" s="296"/>
      <c r="I54" s="279"/>
    </row>
    <row r="55" spans="2:9" ht="15.75" thickBot="1" x14ac:dyDescent="0.3">
      <c r="B55" s="278"/>
      <c r="C55" s="278" t="s">
        <v>632</v>
      </c>
      <c r="D55" s="68" t="s">
        <v>914</v>
      </c>
      <c r="F55" s="297">
        <f>pAIDS_LTFU_AIDS_ART2_2013plus</f>
        <v>0.23230000000000001</v>
      </c>
      <c r="G55" s="298"/>
      <c r="H55" s="299"/>
      <c r="I55" s="279"/>
    </row>
    <row r="59" spans="2:9" ht="15.75" thickBot="1" x14ac:dyDescent="0.3">
      <c r="B59" s="267"/>
      <c r="C59" s="267"/>
      <c r="D59" s="267"/>
      <c r="E59" s="339" t="s">
        <v>755</v>
      </c>
      <c r="F59" s="340"/>
      <c r="G59" s="340"/>
      <c r="H59" s="340"/>
      <c r="I59" s="339"/>
    </row>
    <row r="60" spans="2:9" x14ac:dyDescent="0.25">
      <c r="B60" s="235" t="s">
        <v>697</v>
      </c>
      <c r="C60" s="235" t="s">
        <v>698</v>
      </c>
      <c r="D60" s="235" t="s">
        <v>831</v>
      </c>
      <c r="E60" s="247" t="s">
        <v>824</v>
      </c>
      <c r="F60" s="254" t="s">
        <v>825</v>
      </c>
      <c r="G60" s="255" t="s">
        <v>18</v>
      </c>
      <c r="H60" s="256" t="s">
        <v>19</v>
      </c>
      <c r="I60" s="249" t="s">
        <v>756</v>
      </c>
    </row>
    <row r="61" spans="2:9" x14ac:dyDescent="0.25">
      <c r="B61" s="236" t="s">
        <v>686</v>
      </c>
      <c r="C61" s="236"/>
      <c r="D61" s="237"/>
      <c r="E61" s="248"/>
      <c r="F61" s="257"/>
      <c r="G61" s="238"/>
      <c r="H61" s="258"/>
      <c r="I61" s="250"/>
    </row>
    <row r="62" spans="2:9" x14ac:dyDescent="0.25">
      <c r="B62" s="239" t="s">
        <v>700</v>
      </c>
      <c r="C62" s="239" t="s">
        <v>834</v>
      </c>
      <c r="D62" s="268" t="s">
        <v>838</v>
      </c>
      <c r="F62" s="283">
        <f>pAsympt_NoCare_2013plus</f>
        <v>0.63376008575865694</v>
      </c>
      <c r="G62" s="285"/>
      <c r="H62" s="286"/>
      <c r="I62" s="280"/>
    </row>
    <row r="63" spans="2:9" x14ac:dyDescent="0.25">
      <c r="B63" s="239" t="s">
        <v>701</v>
      </c>
      <c r="C63" s="239" t="s">
        <v>835</v>
      </c>
      <c r="D63" s="268" t="s">
        <v>839</v>
      </c>
      <c r="F63" s="283">
        <f>pAsympt_InCare_2013plus</f>
        <v>0.43814160225821164</v>
      </c>
      <c r="G63" s="285"/>
      <c r="H63" s="286"/>
      <c r="I63" s="280"/>
    </row>
    <row r="64" spans="2:9" x14ac:dyDescent="0.25">
      <c r="B64" s="239" t="s">
        <v>832</v>
      </c>
      <c r="C64" s="239" t="s">
        <v>836</v>
      </c>
      <c r="D64" s="268" t="s">
        <v>840</v>
      </c>
      <c r="F64" s="283">
        <f>pAsympt_LTFU_2013plus</f>
        <v>0.65051495558694539</v>
      </c>
      <c r="G64" s="285"/>
      <c r="H64" s="286"/>
      <c r="I64" s="280"/>
    </row>
    <row r="65" spans="2:9" x14ac:dyDescent="0.25">
      <c r="B65" s="236" t="s">
        <v>689</v>
      </c>
      <c r="C65" s="236"/>
      <c r="D65" s="237"/>
      <c r="F65" s="259"/>
      <c r="G65" s="242"/>
      <c r="H65" s="260"/>
      <c r="I65" s="269"/>
    </row>
    <row r="66" spans="2:9" x14ac:dyDescent="0.25">
      <c r="B66" s="239" t="s">
        <v>700</v>
      </c>
      <c r="C66" s="239" t="s">
        <v>834</v>
      </c>
      <c r="D66" s="268" t="s">
        <v>841</v>
      </c>
      <c r="F66" s="283">
        <f>pInt_NoCare_2013plus</f>
        <v>0.47470496953425423</v>
      </c>
      <c r="G66" s="285"/>
      <c r="H66" s="286"/>
      <c r="I66" s="280"/>
    </row>
    <row r="67" spans="2:9" x14ac:dyDescent="0.25">
      <c r="B67" s="239" t="s">
        <v>701</v>
      </c>
      <c r="C67" s="239" t="s">
        <v>835</v>
      </c>
      <c r="D67" s="268" t="s">
        <v>842</v>
      </c>
      <c r="F67" s="283">
        <f>pInt_InCare_2013plus</f>
        <v>0.27388069643828394</v>
      </c>
      <c r="G67" s="285"/>
      <c r="H67" s="286"/>
      <c r="I67" s="280"/>
    </row>
    <row r="68" spans="2:9" x14ac:dyDescent="0.25">
      <c r="B68" s="239" t="s">
        <v>703</v>
      </c>
      <c r="C68" s="239" t="s">
        <v>141</v>
      </c>
      <c r="D68" s="268" t="s">
        <v>843</v>
      </c>
      <c r="F68" s="283">
        <f>pInt_ART1_2013plus</f>
        <v>0.97189504107250524</v>
      </c>
      <c r="G68" s="285"/>
      <c r="H68" s="286"/>
      <c r="I68" s="280"/>
    </row>
    <row r="69" spans="2:9" x14ac:dyDescent="0.25">
      <c r="B69" s="239" t="s">
        <v>833</v>
      </c>
      <c r="C69" s="239" t="s">
        <v>837</v>
      </c>
      <c r="D69" s="268" t="s">
        <v>844</v>
      </c>
      <c r="F69" s="283">
        <f>pInt_ART2_2013plus</f>
        <v>0.98055730558471266</v>
      </c>
      <c r="G69" s="285"/>
      <c r="H69" s="286"/>
      <c r="I69" s="280"/>
    </row>
    <row r="70" spans="2:9" x14ac:dyDescent="0.25">
      <c r="B70" s="239" t="s">
        <v>832</v>
      </c>
      <c r="C70" s="239" t="s">
        <v>836</v>
      </c>
      <c r="D70" s="268" t="s">
        <v>845</v>
      </c>
      <c r="F70" s="283">
        <f>pInt_LTFU_2013plus</f>
        <v>0.39842838478243958</v>
      </c>
      <c r="G70" s="285"/>
      <c r="H70" s="286"/>
      <c r="I70" s="280"/>
    </row>
    <row r="71" spans="2:9" x14ac:dyDescent="0.25">
      <c r="B71" s="236" t="s">
        <v>690</v>
      </c>
      <c r="C71" s="236"/>
      <c r="D71" s="237"/>
      <c r="F71" s="259"/>
      <c r="G71" s="242"/>
      <c r="H71" s="260"/>
      <c r="I71" s="269"/>
    </row>
    <row r="72" spans="2:9" x14ac:dyDescent="0.25">
      <c r="B72" s="239" t="s">
        <v>700</v>
      </c>
      <c r="C72" s="239" t="s">
        <v>834</v>
      </c>
      <c r="D72" s="268" t="s">
        <v>846</v>
      </c>
      <c r="F72" s="283">
        <f>pAIDS_NoCare_2013plus</f>
        <v>6.9057483924386043E-2</v>
      </c>
      <c r="G72" s="285"/>
      <c r="H72" s="286"/>
      <c r="I72" s="280"/>
    </row>
    <row r="73" spans="2:9" x14ac:dyDescent="0.25">
      <c r="B73" s="239" t="s">
        <v>701</v>
      </c>
      <c r="C73" s="239" t="s">
        <v>835</v>
      </c>
      <c r="D73" s="268" t="s">
        <v>847</v>
      </c>
      <c r="F73" s="283">
        <f>pAIDS_InCare_2013plus</f>
        <v>0.12310001975146179</v>
      </c>
      <c r="G73" s="285"/>
      <c r="H73" s="286"/>
      <c r="I73" s="280"/>
    </row>
    <row r="74" spans="2:9" x14ac:dyDescent="0.25">
      <c r="B74" s="239" t="s">
        <v>705</v>
      </c>
      <c r="C74" s="239" t="s">
        <v>852</v>
      </c>
      <c r="D74" s="268" t="s">
        <v>853</v>
      </c>
      <c r="F74" s="283">
        <f>pAIDS_ART1ear_2013plus</f>
        <v>0</v>
      </c>
      <c r="G74" s="285"/>
      <c r="H74" s="286"/>
      <c r="I74" s="280"/>
    </row>
    <row r="75" spans="2:9" x14ac:dyDescent="0.25">
      <c r="B75" s="239" t="s">
        <v>706</v>
      </c>
      <c r="C75" s="239" t="s">
        <v>851</v>
      </c>
      <c r="D75" s="268" t="s">
        <v>848</v>
      </c>
      <c r="F75" s="283">
        <f>pAIDS_ART1late_2013plus</f>
        <v>0.93285322767942069</v>
      </c>
      <c r="G75" s="285"/>
      <c r="H75" s="286"/>
      <c r="I75" s="280"/>
    </row>
    <row r="76" spans="2:9" x14ac:dyDescent="0.25">
      <c r="B76" s="239" t="s">
        <v>833</v>
      </c>
      <c r="C76" s="239" t="s">
        <v>837</v>
      </c>
      <c r="D76" s="268" t="s">
        <v>849</v>
      </c>
      <c r="F76" s="283">
        <f>pAIDS_ART2_2013plus</f>
        <v>0.87834172729587623</v>
      </c>
      <c r="G76" s="285"/>
      <c r="H76" s="286"/>
      <c r="I76" s="280"/>
    </row>
    <row r="77" spans="2:9" x14ac:dyDescent="0.25">
      <c r="B77" s="270" t="s">
        <v>832</v>
      </c>
      <c r="C77" s="270" t="s">
        <v>836</v>
      </c>
      <c r="D77" s="271" t="s">
        <v>850</v>
      </c>
      <c r="F77" s="284">
        <f>pAIDS_LTFU_2013plus</f>
        <v>0.14508526169714897</v>
      </c>
      <c r="G77" s="287"/>
      <c r="H77" s="288"/>
      <c r="I77" s="281"/>
    </row>
    <row r="78" spans="2:9" x14ac:dyDescent="0.25">
      <c r="B78" s="239" t="s">
        <v>705</v>
      </c>
      <c r="C78" s="239" t="s">
        <v>851</v>
      </c>
      <c r="D78" s="240" t="s">
        <v>810</v>
      </c>
      <c r="F78" s="283">
        <f>pAIDS_ART1ear_AIDS_ART1late_2013plus</f>
        <v>0.82048978572958298</v>
      </c>
      <c r="G78" s="289"/>
      <c r="H78" s="290"/>
      <c r="I78" s="282"/>
    </row>
  </sheetData>
  <sheetProtection selectLockedCells="1"/>
  <dataConsolidate/>
  <mergeCells count="13">
    <mergeCell ref="E59:I59"/>
    <mergeCell ref="B3:J3"/>
    <mergeCell ref="E16:I16"/>
    <mergeCell ref="N19:R19"/>
    <mergeCell ref="B4:J4"/>
    <mergeCell ref="B5:J5"/>
    <mergeCell ref="B6:J6"/>
    <mergeCell ref="B7:J7"/>
    <mergeCell ref="B8:J8"/>
    <mergeCell ref="B9:J9"/>
    <mergeCell ref="B10:J10"/>
    <mergeCell ref="B11:J11"/>
    <mergeCell ref="B12:J12"/>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15"/>
  <sheetViews>
    <sheetView tabSelected="1" workbookViewId="0">
      <selection activeCell="G19" sqref="G19"/>
    </sheetView>
  </sheetViews>
  <sheetFormatPr defaultRowHeight="15" x14ac:dyDescent="0.25"/>
  <cols>
    <col min="1" max="1" width="25.5703125" customWidth="1"/>
  </cols>
  <sheetData>
    <row r="1" spans="1:12" x14ac:dyDescent="0.25">
      <c r="A1" s="71" t="s">
        <v>346</v>
      </c>
      <c r="B1" s="71" t="s">
        <v>101</v>
      </c>
    </row>
    <row r="2" spans="1:12" x14ac:dyDescent="0.25">
      <c r="A2" s="127" t="s">
        <v>940</v>
      </c>
      <c r="B2" s="127" t="s">
        <v>941</v>
      </c>
    </row>
    <row r="3" spans="1:12" x14ac:dyDescent="0.25">
      <c r="A3" s="127" t="s">
        <v>439</v>
      </c>
      <c r="B3" s="127" t="s">
        <v>942</v>
      </c>
    </row>
    <row r="4" spans="1:12" x14ac:dyDescent="0.25">
      <c r="A4" s="127" t="s">
        <v>943</v>
      </c>
      <c r="B4" s="127" t="s">
        <v>944</v>
      </c>
    </row>
    <row r="5" spans="1:12" x14ac:dyDescent="0.25">
      <c r="A5" s="127" t="s">
        <v>945</v>
      </c>
      <c r="B5" s="127" t="s">
        <v>946</v>
      </c>
    </row>
    <row r="6" spans="1:12" x14ac:dyDescent="0.25">
      <c r="A6" s="127" t="s">
        <v>947</v>
      </c>
      <c r="B6" s="127" t="s">
        <v>948</v>
      </c>
    </row>
    <row r="7" spans="1:12" x14ac:dyDescent="0.25">
      <c r="A7" s="127" t="s">
        <v>949</v>
      </c>
      <c r="B7" s="127" t="s">
        <v>950</v>
      </c>
    </row>
    <row r="8" spans="1:12" x14ac:dyDescent="0.25">
      <c r="A8" s="127" t="s">
        <v>951</v>
      </c>
      <c r="B8" s="127" t="s">
        <v>952</v>
      </c>
    </row>
    <row r="9" spans="1:12" x14ac:dyDescent="0.25">
      <c r="A9" s="127" t="s">
        <v>953</v>
      </c>
      <c r="B9" s="127" t="s">
        <v>954</v>
      </c>
    </row>
    <row r="10" spans="1:12" x14ac:dyDescent="0.25">
      <c r="A10" s="127" t="s">
        <v>955</v>
      </c>
      <c r="B10" s="127" t="s">
        <v>956</v>
      </c>
    </row>
    <row r="11" spans="1:12" s="127" customFormat="1" x14ac:dyDescent="0.25">
      <c r="A11" s="127" t="s">
        <v>962</v>
      </c>
      <c r="B11" s="127" t="s">
        <v>963</v>
      </c>
    </row>
    <row r="13" spans="1:12" ht="14.45" customHeight="1" x14ac:dyDescent="0.25">
      <c r="A13" s="344" t="s">
        <v>958</v>
      </c>
      <c r="B13" s="344"/>
      <c r="C13" s="344"/>
      <c r="D13" s="344"/>
      <c r="E13" s="344"/>
      <c r="F13" s="344"/>
      <c r="G13" s="344"/>
      <c r="H13" s="344"/>
      <c r="I13" s="344"/>
      <c r="J13" s="344"/>
      <c r="K13" s="344"/>
      <c r="L13" s="344"/>
    </row>
    <row r="14" spans="1:12" x14ac:dyDescent="0.25">
      <c r="A14" s="344"/>
      <c r="B14" s="344"/>
      <c r="C14" s="344"/>
      <c r="D14" s="344"/>
      <c r="E14" s="344"/>
      <c r="F14" s="344"/>
      <c r="G14" s="344"/>
      <c r="H14" s="344"/>
      <c r="I14" s="344"/>
      <c r="J14" s="344"/>
      <c r="K14" s="344"/>
      <c r="L14" s="344"/>
    </row>
    <row r="15" spans="1:12" x14ac:dyDescent="0.25">
      <c r="A15" s="344"/>
      <c r="B15" s="344"/>
      <c r="C15" s="344"/>
      <c r="D15" s="344"/>
      <c r="E15" s="344"/>
      <c r="F15" s="344"/>
      <c r="G15" s="344"/>
      <c r="H15" s="344"/>
      <c r="I15" s="344"/>
      <c r="J15" s="344"/>
      <c r="K15" s="344"/>
      <c r="L15" s="344"/>
    </row>
  </sheetData>
  <mergeCells count="1">
    <mergeCell ref="A13:L1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292"/>
  <sheetViews>
    <sheetView zoomScaleNormal="100" workbookViewId="0"/>
  </sheetViews>
  <sheetFormatPr defaultRowHeight="15" x14ac:dyDescent="0.25"/>
  <cols>
    <col min="1" max="1" width="45.85546875" customWidth="1"/>
    <col min="2" max="2" width="119.140625" style="60" hidden="1" customWidth="1"/>
    <col min="3" max="3" width="30.140625" style="40" customWidth="1"/>
    <col min="4" max="4" width="27.85546875" style="41" hidden="1" customWidth="1"/>
    <col min="5" max="5" width="48.28515625" style="41" hidden="1" customWidth="1"/>
    <col min="6" max="6" width="11.7109375" style="40" hidden="1" customWidth="1"/>
    <col min="7" max="7" width="13.42578125" style="41" hidden="1" customWidth="1"/>
    <col min="8" max="8" width="11.7109375" style="40" hidden="1" customWidth="1"/>
    <col min="9" max="9" width="14.28515625" style="41" hidden="1" customWidth="1"/>
    <col min="10" max="10" width="87.85546875" hidden="1" customWidth="1"/>
  </cols>
  <sheetData>
    <row r="1" spans="1:5" x14ac:dyDescent="0.25">
      <c r="A1" s="322" t="s">
        <v>663</v>
      </c>
      <c r="B1" s="321"/>
      <c r="C1" s="320">
        <v>0.33935327548829924</v>
      </c>
    </row>
    <row r="2" spans="1:5" x14ac:dyDescent="0.25">
      <c r="A2" s="322" t="s">
        <v>664</v>
      </c>
      <c r="B2" s="321"/>
      <c r="C2" s="320">
        <v>7.8413761370211957E-2</v>
      </c>
      <c r="E2" s="127"/>
    </row>
    <row r="3" spans="1:5" x14ac:dyDescent="0.25">
      <c r="A3" s="322" t="s">
        <v>665</v>
      </c>
      <c r="B3" s="321"/>
      <c r="C3" s="320">
        <v>3.4703997125887787E-2</v>
      </c>
      <c r="E3" s="127"/>
    </row>
    <row r="4" spans="1:5" x14ac:dyDescent="0.25">
      <c r="A4" s="322" t="s">
        <v>666</v>
      </c>
      <c r="B4" s="321"/>
      <c r="C4" s="320">
        <v>0</v>
      </c>
      <c r="E4" s="127"/>
    </row>
    <row r="5" spans="1:5" x14ac:dyDescent="0.25">
      <c r="A5" s="322" t="s">
        <v>667</v>
      </c>
      <c r="B5" s="321"/>
      <c r="C5" s="320">
        <v>0.22703131670567872</v>
      </c>
      <c r="E5" s="127"/>
    </row>
    <row r="6" spans="1:5" x14ac:dyDescent="0.25">
      <c r="A6" s="322" t="s">
        <v>668</v>
      </c>
      <c r="B6" s="321"/>
      <c r="C6" s="320">
        <v>5.8157274489896695E-2</v>
      </c>
      <c r="E6" s="127"/>
    </row>
    <row r="7" spans="1:5" x14ac:dyDescent="0.25">
      <c r="A7" s="322" t="s">
        <v>669</v>
      </c>
      <c r="B7" s="321"/>
      <c r="C7" s="320">
        <v>4.5371454792139526E-3</v>
      </c>
    </row>
    <row r="8" spans="1:5" x14ac:dyDescent="0.25">
      <c r="A8" s="322" t="s">
        <v>670</v>
      </c>
      <c r="B8" s="321"/>
      <c r="C8" s="320">
        <v>0</v>
      </c>
    </row>
    <row r="9" spans="1:5" x14ac:dyDescent="0.25">
      <c r="A9" s="322" t="s">
        <v>671</v>
      </c>
      <c r="B9" s="321"/>
      <c r="C9" s="320">
        <v>1.2982685599448913E-2</v>
      </c>
    </row>
    <row r="10" spans="1:5" x14ac:dyDescent="0.25">
      <c r="A10" s="322" t="s">
        <v>672</v>
      </c>
      <c r="B10" s="321"/>
      <c r="C10" s="320">
        <v>0</v>
      </c>
    </row>
    <row r="11" spans="1:5" x14ac:dyDescent="0.25">
      <c r="A11" s="322" t="s">
        <v>673</v>
      </c>
      <c r="B11" s="321"/>
      <c r="C11" s="320">
        <v>0.18361540780602206</v>
      </c>
    </row>
    <row r="12" spans="1:5" x14ac:dyDescent="0.25">
      <c r="A12" s="322" t="s">
        <v>674</v>
      </c>
      <c r="B12" s="321"/>
      <c r="C12" s="320">
        <v>3.6207333664160936E-2</v>
      </c>
    </row>
    <row r="13" spans="1:5" x14ac:dyDescent="0.25">
      <c r="A13" s="322" t="s">
        <v>675</v>
      </c>
      <c r="B13" s="321"/>
      <c r="C13" s="320">
        <v>2.2735581793513319E-2</v>
      </c>
    </row>
    <row r="14" spans="1:5" x14ac:dyDescent="0.25">
      <c r="A14" s="322" t="s">
        <v>676</v>
      </c>
      <c r="B14" s="321"/>
      <c r="C14" s="320">
        <v>0</v>
      </c>
    </row>
    <row r="15" spans="1:5" x14ac:dyDescent="0.25">
      <c r="A15" s="322" t="s">
        <v>677</v>
      </c>
      <c r="B15" s="321"/>
      <c r="C15" s="320">
        <v>0</v>
      </c>
    </row>
    <row r="16" spans="1:5" x14ac:dyDescent="0.25">
      <c r="A16" s="322" t="s">
        <v>678</v>
      </c>
      <c r="B16" s="321"/>
      <c r="C16" s="320">
        <v>2.2622204776664425E-3</v>
      </c>
    </row>
    <row r="17" spans="1:10" x14ac:dyDescent="0.25">
      <c r="A17" s="322" t="s">
        <v>679</v>
      </c>
      <c r="B17" s="321"/>
      <c r="C17" s="320">
        <v>0</v>
      </c>
    </row>
    <row r="18" spans="1:10" s="12" customFormat="1" x14ac:dyDescent="0.25">
      <c r="A18" s="13" t="s">
        <v>957</v>
      </c>
      <c r="B18" s="14"/>
      <c r="C18" s="323">
        <v>110000</v>
      </c>
      <c r="D18" s="16" t="s">
        <v>23</v>
      </c>
      <c r="E18" s="16" t="s">
        <v>24</v>
      </c>
      <c r="F18" s="15">
        <v>98000</v>
      </c>
      <c r="G18" s="21"/>
      <c r="H18" s="15">
        <v>130000</v>
      </c>
      <c r="I18" s="16"/>
    </row>
    <row r="19" spans="1:10" s="12" customFormat="1" x14ac:dyDescent="0.25">
      <c r="A19" s="13" t="s">
        <v>266</v>
      </c>
      <c r="B19" s="26" t="s">
        <v>0</v>
      </c>
      <c r="C19" s="202">
        <v>10964.36</v>
      </c>
      <c r="D19" s="20" t="s">
        <v>20</v>
      </c>
      <c r="E19" s="20"/>
      <c r="F19" s="27"/>
      <c r="G19" s="28"/>
      <c r="H19" s="27"/>
      <c r="I19" s="20"/>
      <c r="J19" s="29"/>
    </row>
    <row r="20" spans="1:10" s="12" customFormat="1" x14ac:dyDescent="0.25">
      <c r="A20" s="13" t="s">
        <v>267</v>
      </c>
      <c r="B20" s="26" t="s">
        <v>1</v>
      </c>
      <c r="C20" s="202">
        <v>10075.44</v>
      </c>
      <c r="D20" s="20" t="s">
        <v>20</v>
      </c>
      <c r="E20" s="20"/>
      <c r="F20" s="27"/>
      <c r="G20" s="28"/>
      <c r="H20" s="27"/>
      <c r="I20" s="20"/>
      <c r="J20" s="29"/>
    </row>
    <row r="21" spans="1:10" s="12" customFormat="1" x14ac:dyDescent="0.25">
      <c r="A21" s="13" t="s">
        <v>268</v>
      </c>
      <c r="B21" s="26" t="s">
        <v>2</v>
      </c>
      <c r="C21" s="202">
        <v>10186</v>
      </c>
      <c r="D21" s="20" t="s">
        <v>20</v>
      </c>
      <c r="E21" s="20"/>
      <c r="F21" s="27"/>
      <c r="G21" s="28"/>
      <c r="H21" s="27"/>
      <c r="I21" s="20"/>
      <c r="J21" s="29"/>
    </row>
    <row r="22" spans="1:10" s="12" customFormat="1" x14ac:dyDescent="0.25">
      <c r="A22" s="13" t="s">
        <v>269</v>
      </c>
      <c r="B22" s="26" t="s">
        <v>3</v>
      </c>
      <c r="C22" s="202">
        <v>9220.1200000000008</v>
      </c>
      <c r="D22" s="20" t="s">
        <v>20</v>
      </c>
      <c r="E22" s="20"/>
      <c r="F22" s="27"/>
      <c r="G22" s="28"/>
      <c r="H22" s="27"/>
      <c r="I22" s="20"/>
      <c r="J22" s="29"/>
    </row>
    <row r="23" spans="1:10" s="12" customFormat="1" x14ac:dyDescent="0.25">
      <c r="A23" s="13" t="s">
        <v>270</v>
      </c>
      <c r="B23" s="26" t="s">
        <v>4</v>
      </c>
      <c r="C23" s="202">
        <v>8588.0400000000009</v>
      </c>
      <c r="D23" s="20" t="s">
        <v>20</v>
      </c>
      <c r="E23" s="20"/>
      <c r="F23" s="27"/>
      <c r="G23" s="28"/>
      <c r="H23" s="27"/>
      <c r="I23" s="20"/>
      <c r="J23" s="29"/>
    </row>
    <row r="24" spans="1:10" s="12" customFormat="1" x14ac:dyDescent="0.25">
      <c r="A24" s="13" t="s">
        <v>271</v>
      </c>
      <c r="B24" s="26" t="s">
        <v>5</v>
      </c>
      <c r="C24" s="202">
        <f t="shared" ref="C24:C37" si="0">Inc_2009</f>
        <v>8588.0400000000009</v>
      </c>
      <c r="D24" s="19" t="s">
        <v>21</v>
      </c>
      <c r="E24" s="20"/>
      <c r="F24" s="27"/>
      <c r="G24" s="28"/>
      <c r="H24" s="27"/>
      <c r="I24" s="19"/>
      <c r="J24" s="13" t="s">
        <v>26</v>
      </c>
    </row>
    <row r="25" spans="1:10" s="12" customFormat="1" x14ac:dyDescent="0.25">
      <c r="A25" s="13" t="s">
        <v>272</v>
      </c>
      <c r="B25" s="26" t="s">
        <v>6</v>
      </c>
      <c r="C25" s="202">
        <f t="shared" si="0"/>
        <v>8588.0400000000009</v>
      </c>
      <c r="D25" s="19" t="s">
        <v>21</v>
      </c>
      <c r="E25" s="20"/>
      <c r="F25" s="27"/>
      <c r="G25" s="28"/>
      <c r="H25" s="27"/>
      <c r="I25" s="19"/>
      <c r="J25" s="13" t="s">
        <v>27</v>
      </c>
    </row>
    <row r="26" spans="1:10" s="12" customFormat="1" x14ac:dyDescent="0.25">
      <c r="A26" s="13" t="s">
        <v>273</v>
      </c>
      <c r="B26" s="26" t="s">
        <v>7</v>
      </c>
      <c r="C26" s="202">
        <f t="shared" si="0"/>
        <v>8588.0400000000009</v>
      </c>
      <c r="D26" s="19" t="s">
        <v>21</v>
      </c>
      <c r="E26" s="20"/>
      <c r="F26" s="27"/>
      <c r="G26" s="28"/>
      <c r="H26" s="27"/>
      <c r="I26" s="19"/>
      <c r="J26" s="13" t="s">
        <v>28</v>
      </c>
    </row>
    <row r="27" spans="1:10" s="12" customFormat="1" x14ac:dyDescent="0.25">
      <c r="A27" s="13" t="s">
        <v>274</v>
      </c>
      <c r="B27" s="26" t="s">
        <v>8</v>
      </c>
      <c r="C27" s="202">
        <f t="shared" si="0"/>
        <v>8588.0400000000009</v>
      </c>
      <c r="D27" s="19" t="s">
        <v>21</v>
      </c>
      <c r="E27" s="20"/>
      <c r="F27" s="27"/>
      <c r="G27" s="28"/>
      <c r="H27" s="27"/>
      <c r="I27" s="19"/>
      <c r="J27" s="13" t="s">
        <v>29</v>
      </c>
    </row>
    <row r="28" spans="1:10" s="12" customFormat="1" x14ac:dyDescent="0.25">
      <c r="A28" s="13" t="s">
        <v>260</v>
      </c>
      <c r="B28" s="26" t="s">
        <v>9</v>
      </c>
      <c r="C28" s="202">
        <f t="shared" si="0"/>
        <v>8588.0400000000009</v>
      </c>
      <c r="D28" s="19" t="s">
        <v>21</v>
      </c>
      <c r="E28" s="20"/>
      <c r="F28" s="27"/>
      <c r="G28" s="28"/>
      <c r="H28" s="27"/>
      <c r="I28" s="19"/>
      <c r="J28" s="13" t="s">
        <v>30</v>
      </c>
    </row>
    <row r="29" spans="1:10" s="12" customFormat="1" x14ac:dyDescent="0.25">
      <c r="A29" s="13" t="s">
        <v>261</v>
      </c>
      <c r="B29" s="26" t="s">
        <v>10</v>
      </c>
      <c r="C29" s="202">
        <f t="shared" si="0"/>
        <v>8588.0400000000009</v>
      </c>
      <c r="D29" s="19" t="s">
        <v>21</v>
      </c>
      <c r="E29" s="20"/>
      <c r="F29" s="27"/>
      <c r="G29" s="28"/>
      <c r="H29" s="27"/>
      <c r="I29" s="19"/>
      <c r="J29" s="13" t="s">
        <v>31</v>
      </c>
    </row>
    <row r="30" spans="1:10" s="12" customFormat="1" x14ac:dyDescent="0.25">
      <c r="A30" s="13" t="s">
        <v>262</v>
      </c>
      <c r="B30" s="26" t="s">
        <v>11</v>
      </c>
      <c r="C30" s="202">
        <f t="shared" si="0"/>
        <v>8588.0400000000009</v>
      </c>
      <c r="D30" s="19" t="s">
        <v>21</v>
      </c>
      <c r="E30" s="20"/>
      <c r="F30" s="27"/>
      <c r="G30" s="28"/>
      <c r="H30" s="27"/>
      <c r="I30" s="19"/>
      <c r="J30" s="13" t="s">
        <v>32</v>
      </c>
    </row>
    <row r="31" spans="1:10" s="12" customFormat="1" x14ac:dyDescent="0.25">
      <c r="A31" s="13" t="s">
        <v>263</v>
      </c>
      <c r="B31" s="26" t="s">
        <v>12</v>
      </c>
      <c r="C31" s="202">
        <f t="shared" si="0"/>
        <v>8588.0400000000009</v>
      </c>
      <c r="D31" s="19" t="s">
        <v>21</v>
      </c>
      <c r="E31" s="20"/>
      <c r="F31" s="27"/>
      <c r="G31" s="28"/>
      <c r="H31" s="27"/>
      <c r="I31" s="19"/>
      <c r="J31" s="13" t="s">
        <v>33</v>
      </c>
    </row>
    <row r="32" spans="1:10" s="12" customFormat="1" x14ac:dyDescent="0.25">
      <c r="A32" s="13" t="s">
        <v>264</v>
      </c>
      <c r="B32" s="26" t="s">
        <v>13</v>
      </c>
      <c r="C32" s="202">
        <f t="shared" si="0"/>
        <v>8588.0400000000009</v>
      </c>
      <c r="D32" s="19" t="s">
        <v>21</v>
      </c>
      <c r="E32" s="20"/>
      <c r="F32" s="27"/>
      <c r="G32" s="28"/>
      <c r="H32" s="27"/>
      <c r="I32" s="19"/>
      <c r="J32" s="13" t="s">
        <v>34</v>
      </c>
    </row>
    <row r="33" spans="1:10" s="12" customFormat="1" x14ac:dyDescent="0.25">
      <c r="A33" s="13" t="s">
        <v>265</v>
      </c>
      <c r="B33" s="26"/>
      <c r="C33" s="202">
        <f t="shared" si="0"/>
        <v>8588.0400000000009</v>
      </c>
      <c r="D33" s="19" t="s">
        <v>21</v>
      </c>
      <c r="E33" s="20"/>
      <c r="F33" s="27"/>
      <c r="G33" s="28"/>
      <c r="H33" s="27"/>
      <c r="I33" s="19"/>
      <c r="J33" s="13" t="s">
        <v>35</v>
      </c>
    </row>
    <row r="34" spans="1:10" s="12" customFormat="1" x14ac:dyDescent="0.25">
      <c r="A34" s="13" t="s">
        <v>440</v>
      </c>
      <c r="B34" s="26"/>
      <c r="C34" s="202">
        <f t="shared" si="0"/>
        <v>8588.0400000000009</v>
      </c>
      <c r="D34" s="19" t="s">
        <v>21</v>
      </c>
      <c r="E34" s="19"/>
      <c r="F34" s="27"/>
      <c r="G34" s="28"/>
      <c r="H34" s="27"/>
      <c r="I34" s="19"/>
    </row>
    <row r="35" spans="1:10" s="12" customFormat="1" x14ac:dyDescent="0.25">
      <c r="A35" s="13" t="s">
        <v>453</v>
      </c>
      <c r="B35" s="26"/>
      <c r="C35" s="202">
        <f t="shared" si="0"/>
        <v>8588.0400000000009</v>
      </c>
      <c r="D35" s="19" t="s">
        <v>21</v>
      </c>
      <c r="E35" s="19"/>
      <c r="F35" s="27"/>
      <c r="G35" s="28"/>
      <c r="H35" s="27"/>
      <c r="I35" s="19"/>
    </row>
    <row r="36" spans="1:10" s="12" customFormat="1" x14ac:dyDescent="0.25">
      <c r="A36" s="13" t="s">
        <v>454</v>
      </c>
      <c r="B36" s="26"/>
      <c r="C36" s="202">
        <f t="shared" si="0"/>
        <v>8588.0400000000009</v>
      </c>
      <c r="D36" s="19" t="s">
        <v>21</v>
      </c>
      <c r="E36" s="19"/>
      <c r="F36" s="27"/>
      <c r="G36" s="28"/>
      <c r="H36" s="27"/>
      <c r="I36" s="19"/>
    </row>
    <row r="37" spans="1:10" s="12" customFormat="1" x14ac:dyDescent="0.25">
      <c r="A37" s="13" t="s">
        <v>455</v>
      </c>
      <c r="B37" s="26"/>
      <c r="C37" s="202">
        <f t="shared" si="0"/>
        <v>8588.0400000000009</v>
      </c>
      <c r="D37" s="19" t="s">
        <v>21</v>
      </c>
      <c r="E37" s="19"/>
      <c r="F37" s="27"/>
      <c r="G37" s="28"/>
      <c r="H37" s="27"/>
      <c r="I37" s="19"/>
    </row>
    <row r="38" spans="1:10" x14ac:dyDescent="0.25">
      <c r="A38" t="s">
        <v>233</v>
      </c>
      <c r="B38" t="s">
        <v>36</v>
      </c>
      <c r="C38" s="314">
        <v>3.1033670617592319</v>
      </c>
      <c r="D38" s="30" t="s">
        <v>21</v>
      </c>
      <c r="E38" s="30"/>
      <c r="F38" s="31">
        <v>1</v>
      </c>
      <c r="G38" s="30" t="s">
        <v>21</v>
      </c>
      <c r="H38" s="31">
        <v>5</v>
      </c>
      <c r="I38" s="30" t="s">
        <v>21</v>
      </c>
      <c r="J38" s="127"/>
    </row>
    <row r="39" spans="1:10" x14ac:dyDescent="0.25">
      <c r="A39" t="s">
        <v>232</v>
      </c>
      <c r="B39" t="s">
        <v>37</v>
      </c>
      <c r="C39" s="314">
        <v>5.2171212669585421</v>
      </c>
      <c r="D39" s="30" t="s">
        <v>21</v>
      </c>
      <c r="E39" s="30"/>
      <c r="F39" s="31">
        <v>1</v>
      </c>
      <c r="G39" s="30" t="s">
        <v>21</v>
      </c>
      <c r="H39" s="31">
        <v>6</v>
      </c>
      <c r="I39" s="30" t="s">
        <v>21</v>
      </c>
      <c r="J39" s="127"/>
    </row>
    <row r="40" spans="1:10" s="12" customFormat="1" x14ac:dyDescent="0.25">
      <c r="A40" s="12" t="s">
        <v>38</v>
      </c>
      <c r="B40" s="9"/>
      <c r="C40" s="315">
        <v>1.0657530738152683</v>
      </c>
      <c r="D40" s="11"/>
      <c r="E40" s="11"/>
      <c r="F40" s="10"/>
      <c r="G40" s="11"/>
      <c r="H40" s="10"/>
      <c r="I40" s="11"/>
    </row>
    <row r="41" spans="1:10" s="13" customFormat="1" x14ac:dyDescent="0.25">
      <c r="A41" s="32" t="s">
        <v>275</v>
      </c>
      <c r="B41" s="14" t="s">
        <v>39</v>
      </c>
      <c r="C41" s="312">
        <v>5.6310401217746525E-2</v>
      </c>
      <c r="D41" s="16" t="s">
        <v>20</v>
      </c>
      <c r="E41" s="16"/>
      <c r="F41" s="34">
        <v>0</v>
      </c>
      <c r="G41" s="35">
        <v>0</v>
      </c>
      <c r="H41" s="34">
        <v>0</v>
      </c>
      <c r="I41" s="16">
        <v>0</v>
      </c>
    </row>
    <row r="42" spans="1:10" s="13" customFormat="1" x14ac:dyDescent="0.25">
      <c r="A42" s="13" t="s">
        <v>472</v>
      </c>
      <c r="B42" s="14" t="s">
        <v>40</v>
      </c>
      <c r="C42" s="312">
        <v>1.818504441305463E-2</v>
      </c>
      <c r="D42" s="36" t="s">
        <v>21</v>
      </c>
      <c r="E42" s="16" t="str">
        <f t="shared" ref="E42:E43" si="1">E66</f>
        <v>Empiric data: Seroc/Asympt to Death | No Sympt &amp; No AIDS</v>
      </c>
      <c r="F42" s="37">
        <v>9.2111153592935313E-3</v>
      </c>
      <c r="G42" s="36" t="s">
        <v>42</v>
      </c>
      <c r="H42" s="37">
        <v>3.1458841618638878E-2</v>
      </c>
      <c r="I42" s="36" t="str">
        <f t="shared" ref="I42:I43" si="2">I66</f>
        <v>Same</v>
      </c>
    </row>
    <row r="43" spans="1:10" s="13" customFormat="1" x14ac:dyDescent="0.25">
      <c r="A43" s="13" t="s">
        <v>473</v>
      </c>
      <c r="B43" s="14" t="s">
        <v>234</v>
      </c>
      <c r="C43" s="312">
        <v>0.2</v>
      </c>
      <c r="D43" s="36" t="s">
        <v>21</v>
      </c>
      <c r="E43" s="36" t="str">
        <f t="shared" si="1"/>
        <v>Reflects internally calibrated value</v>
      </c>
      <c r="F43" s="37">
        <v>0.12407078841161334</v>
      </c>
      <c r="G43" s="36" t="s">
        <v>50</v>
      </c>
      <c r="H43" s="37">
        <v>0.16643200297100913</v>
      </c>
      <c r="I43" s="36" t="str">
        <f t="shared" si="2"/>
        <v>Orig empiric UB</v>
      </c>
    </row>
    <row r="44" spans="1:10" s="13" customFormat="1" x14ac:dyDescent="0.25">
      <c r="A44" s="32" t="s">
        <v>276</v>
      </c>
      <c r="B44" s="14" t="s">
        <v>235</v>
      </c>
      <c r="C44" s="312">
        <v>5.6310401217746525E-2</v>
      </c>
      <c r="D44" s="36" t="s">
        <v>20</v>
      </c>
      <c r="E44" s="36"/>
      <c r="F44" s="34">
        <v>0</v>
      </c>
      <c r="G44" s="36">
        <v>0</v>
      </c>
      <c r="H44" s="34">
        <v>0</v>
      </c>
      <c r="I44" s="36">
        <v>0</v>
      </c>
    </row>
    <row r="45" spans="1:10" s="13" customFormat="1" x14ac:dyDescent="0.25">
      <c r="A45" s="13" t="s">
        <v>474</v>
      </c>
      <c r="B45" s="14" t="s">
        <v>236</v>
      </c>
      <c r="C45" s="312">
        <v>0</v>
      </c>
      <c r="D45" s="36" t="s">
        <v>41</v>
      </c>
      <c r="E45" s="16"/>
      <c r="F45" s="38">
        <v>0</v>
      </c>
      <c r="G45" s="36" t="s">
        <v>42</v>
      </c>
      <c r="H45" s="38">
        <v>0</v>
      </c>
      <c r="I45" s="36" t="s">
        <v>42</v>
      </c>
    </row>
    <row r="46" spans="1:10" s="13" customFormat="1" x14ac:dyDescent="0.25">
      <c r="A46" s="13" t="s">
        <v>334</v>
      </c>
      <c r="B46" s="14" t="s">
        <v>43</v>
      </c>
      <c r="C46" s="316">
        <f>1-SUM(C41:C45)</f>
        <v>0.66919415315145225</v>
      </c>
      <c r="D46" s="36">
        <f>SUM(C41:C46)</f>
        <v>1</v>
      </c>
      <c r="E46" s="16"/>
      <c r="F46" s="39">
        <v>0.86671809622909313</v>
      </c>
      <c r="G46" s="16"/>
      <c r="H46" s="39">
        <v>0.80210915541035199</v>
      </c>
      <c r="I46" s="16"/>
    </row>
    <row r="47" spans="1:10" s="13" customFormat="1" x14ac:dyDescent="0.25">
      <c r="A47" s="32" t="s">
        <v>404</v>
      </c>
      <c r="B47" s="14"/>
      <c r="C47" s="312">
        <v>7.4027434914144222E-2</v>
      </c>
      <c r="D47" s="16" t="s">
        <v>20</v>
      </c>
      <c r="E47" s="16"/>
      <c r="F47" s="34">
        <v>0</v>
      </c>
      <c r="G47" s="35">
        <v>0</v>
      </c>
      <c r="H47" s="34">
        <v>0</v>
      </c>
      <c r="I47" s="16">
        <v>0</v>
      </c>
    </row>
    <row r="48" spans="1:10" s="13" customFormat="1" x14ac:dyDescent="0.25">
      <c r="A48" s="13" t="s">
        <v>475</v>
      </c>
      <c r="B48" s="14" t="s">
        <v>40</v>
      </c>
      <c r="C48" s="312">
        <v>1.818504441305463E-2</v>
      </c>
      <c r="D48" s="36" t="s">
        <v>21</v>
      </c>
      <c r="E48" s="16" t="s">
        <v>48</v>
      </c>
      <c r="F48" s="37">
        <v>9.2111153592935313E-3</v>
      </c>
      <c r="G48" s="36" t="s">
        <v>42</v>
      </c>
      <c r="H48" s="37">
        <v>3.1458841618638878E-2</v>
      </c>
      <c r="I48" s="36" t="s">
        <v>42</v>
      </c>
    </row>
    <row r="49" spans="1:9" s="13" customFormat="1" x14ac:dyDescent="0.25">
      <c r="A49" s="13" t="s">
        <v>476</v>
      </c>
      <c r="B49" s="14" t="s">
        <v>234</v>
      </c>
      <c r="C49" s="312">
        <v>0.2</v>
      </c>
      <c r="D49" s="36" t="s">
        <v>21</v>
      </c>
      <c r="E49" s="36" t="s">
        <v>335</v>
      </c>
      <c r="F49" s="37">
        <v>0.12407078841161334</v>
      </c>
      <c r="G49" s="36" t="s">
        <v>50</v>
      </c>
      <c r="H49" s="37">
        <v>0.16643200297100913</v>
      </c>
      <c r="I49" s="36" t="s">
        <v>51</v>
      </c>
    </row>
    <row r="50" spans="1:9" s="13" customFormat="1" x14ac:dyDescent="0.25">
      <c r="A50" s="32" t="s">
        <v>405</v>
      </c>
      <c r="B50" s="14"/>
      <c r="C50" s="312">
        <v>7.4027434914144222E-2</v>
      </c>
      <c r="D50" s="36" t="s">
        <v>413</v>
      </c>
      <c r="E50" s="36"/>
      <c r="F50" s="34">
        <v>0</v>
      </c>
      <c r="G50" s="36">
        <v>0</v>
      </c>
      <c r="H50" s="34">
        <v>0</v>
      </c>
      <c r="I50" s="36">
        <v>0</v>
      </c>
    </row>
    <row r="51" spans="1:9" s="13" customFormat="1" x14ac:dyDescent="0.25">
      <c r="A51" s="13" t="s">
        <v>477</v>
      </c>
      <c r="B51" s="14" t="s">
        <v>236</v>
      </c>
      <c r="C51" s="312">
        <v>0</v>
      </c>
      <c r="D51" s="36" t="s">
        <v>41</v>
      </c>
      <c r="E51" s="16"/>
      <c r="F51" s="38">
        <v>0</v>
      </c>
      <c r="G51" s="36" t="s">
        <v>42</v>
      </c>
      <c r="H51" s="38">
        <v>0</v>
      </c>
      <c r="I51" s="36" t="s">
        <v>42</v>
      </c>
    </row>
    <row r="52" spans="1:9" s="13" customFormat="1" x14ac:dyDescent="0.25">
      <c r="A52" s="13" t="s">
        <v>406</v>
      </c>
      <c r="B52" s="14" t="s">
        <v>43</v>
      </c>
      <c r="C52" s="316">
        <f>1-SUM(C47:C51)</f>
        <v>0.63376008575865694</v>
      </c>
      <c r="D52" s="36">
        <f>SUM(C47:C52)</f>
        <v>1</v>
      </c>
      <c r="E52" s="16"/>
      <c r="F52" s="39">
        <v>0.86671809622909313</v>
      </c>
      <c r="G52" s="16"/>
      <c r="H52" s="39">
        <v>0.80210915541035199</v>
      </c>
      <c r="I52" s="16"/>
    </row>
    <row r="53" spans="1:9" s="13" customFormat="1" x14ac:dyDescent="0.25">
      <c r="A53" s="32" t="s">
        <v>407</v>
      </c>
      <c r="B53" s="14"/>
      <c r="C53" s="312">
        <v>7.4027434914144222E-2</v>
      </c>
      <c r="D53" s="16" t="s">
        <v>413</v>
      </c>
      <c r="E53" s="16"/>
      <c r="F53" s="34">
        <v>0</v>
      </c>
      <c r="G53" s="35">
        <v>0</v>
      </c>
      <c r="H53" s="34">
        <v>0</v>
      </c>
      <c r="I53" s="16">
        <v>0</v>
      </c>
    </row>
    <row r="54" spans="1:9" s="13" customFormat="1" x14ac:dyDescent="0.25">
      <c r="A54" s="13" t="s">
        <v>478</v>
      </c>
      <c r="B54" s="14"/>
      <c r="C54" s="312">
        <v>1.818504441305463E-2</v>
      </c>
      <c r="D54" s="36" t="s">
        <v>21</v>
      </c>
      <c r="E54" s="16" t="s">
        <v>48</v>
      </c>
      <c r="F54" s="37">
        <v>9.2111153592935313E-3</v>
      </c>
      <c r="G54" s="36" t="s">
        <v>42</v>
      </c>
      <c r="H54" s="37">
        <v>3.1458841618638878E-2</v>
      </c>
      <c r="I54" s="36" t="s">
        <v>42</v>
      </c>
    </row>
    <row r="55" spans="1:9" s="13" customFormat="1" x14ac:dyDescent="0.25">
      <c r="A55" s="13" t="s">
        <v>479</v>
      </c>
      <c r="B55" s="14"/>
      <c r="C55" s="312">
        <v>0.2</v>
      </c>
      <c r="D55" s="36" t="s">
        <v>21</v>
      </c>
      <c r="E55" s="36" t="s">
        <v>335</v>
      </c>
      <c r="F55" s="37">
        <v>0.12407078841161334</v>
      </c>
      <c r="G55" s="36" t="s">
        <v>50</v>
      </c>
      <c r="H55" s="37">
        <v>0.16643200297100913</v>
      </c>
      <c r="I55" s="36" t="s">
        <v>51</v>
      </c>
    </row>
    <row r="56" spans="1:9" s="13" customFormat="1" ht="14.45" customHeight="1" x14ac:dyDescent="0.25">
      <c r="A56" s="32" t="s">
        <v>408</v>
      </c>
      <c r="B56" s="14"/>
      <c r="C56" s="312">
        <v>7.4027434914144222E-2</v>
      </c>
      <c r="D56" s="36" t="s">
        <v>967</v>
      </c>
      <c r="E56" s="36"/>
      <c r="F56" s="34">
        <v>0</v>
      </c>
      <c r="G56" s="36">
        <v>0</v>
      </c>
      <c r="H56" s="34">
        <v>0</v>
      </c>
      <c r="I56" s="36">
        <v>0</v>
      </c>
    </row>
    <row r="57" spans="1:9" s="13" customFormat="1" x14ac:dyDescent="0.25">
      <c r="A57" s="13" t="s">
        <v>480</v>
      </c>
      <c r="B57" s="14"/>
      <c r="C57" s="312">
        <v>0</v>
      </c>
      <c r="D57" s="36" t="s">
        <v>41</v>
      </c>
      <c r="E57" s="16"/>
      <c r="F57" s="38">
        <v>0</v>
      </c>
      <c r="G57" s="36" t="s">
        <v>42</v>
      </c>
      <c r="H57" s="38">
        <v>0</v>
      </c>
      <c r="I57" s="36" t="s">
        <v>42</v>
      </c>
    </row>
    <row r="58" spans="1:9" s="13" customFormat="1" x14ac:dyDescent="0.25">
      <c r="A58" s="13" t="s">
        <v>409</v>
      </c>
      <c r="B58" s="14"/>
      <c r="C58" s="316">
        <f>1-SUM(C53:C57)</f>
        <v>0.63376008575865694</v>
      </c>
      <c r="D58" s="36">
        <f>SUM(C53:C58)</f>
        <v>1</v>
      </c>
      <c r="E58" s="16"/>
      <c r="F58" s="39">
        <v>0.86671809622909313</v>
      </c>
      <c r="G58" s="16"/>
      <c r="H58" s="39">
        <v>0.80210915541035199</v>
      </c>
      <c r="I58" s="16"/>
    </row>
    <row r="59" spans="1:9" s="13" customFormat="1" x14ac:dyDescent="0.25">
      <c r="A59" s="32" t="s">
        <v>410</v>
      </c>
      <c r="B59" s="14"/>
      <c r="C59" s="312">
        <v>7.4027434914144222E-2</v>
      </c>
      <c r="D59" s="16" t="s">
        <v>413</v>
      </c>
      <c r="E59" s="16"/>
      <c r="F59" s="34">
        <v>0</v>
      </c>
      <c r="G59" s="35">
        <v>0</v>
      </c>
      <c r="H59" s="34">
        <v>0</v>
      </c>
      <c r="I59" s="16">
        <v>0</v>
      </c>
    </row>
    <row r="60" spans="1:9" s="13" customFormat="1" x14ac:dyDescent="0.25">
      <c r="A60" s="13" t="s">
        <v>481</v>
      </c>
      <c r="B60" s="14"/>
      <c r="C60" s="312">
        <v>1.818504441305463E-2</v>
      </c>
      <c r="D60" s="36" t="s">
        <v>21</v>
      </c>
      <c r="E60" s="16" t="s">
        <v>48</v>
      </c>
      <c r="F60" s="37">
        <v>9.2111153592935313E-3</v>
      </c>
      <c r="G60" s="36" t="s">
        <v>42</v>
      </c>
      <c r="H60" s="37">
        <v>3.1458841618638878E-2</v>
      </c>
      <c r="I60" s="36" t="s">
        <v>42</v>
      </c>
    </row>
    <row r="61" spans="1:9" s="13" customFormat="1" x14ac:dyDescent="0.25">
      <c r="A61" s="13" t="s">
        <v>482</v>
      </c>
      <c r="B61" s="14"/>
      <c r="C61" s="312">
        <v>0.2</v>
      </c>
      <c r="D61" s="36" t="s">
        <v>21</v>
      </c>
      <c r="E61" s="36" t="s">
        <v>335</v>
      </c>
      <c r="F61" s="37">
        <v>0.12407078841161334</v>
      </c>
      <c r="G61" s="36" t="s">
        <v>50</v>
      </c>
      <c r="H61" s="37">
        <v>0.16643200297100913</v>
      </c>
      <c r="I61" s="36" t="s">
        <v>51</v>
      </c>
    </row>
    <row r="62" spans="1:9" s="13" customFormat="1" x14ac:dyDescent="0.25">
      <c r="A62" s="32" t="s">
        <v>411</v>
      </c>
      <c r="B62" s="14"/>
      <c r="C62" s="312">
        <v>7.4027434914144222E-2</v>
      </c>
      <c r="D62" s="36">
        <v>0</v>
      </c>
      <c r="E62" s="36"/>
      <c r="F62" s="34">
        <v>0</v>
      </c>
      <c r="G62" s="36">
        <v>0</v>
      </c>
      <c r="H62" s="34">
        <v>0</v>
      </c>
      <c r="I62" s="36">
        <v>0</v>
      </c>
    </row>
    <row r="63" spans="1:9" s="13" customFormat="1" x14ac:dyDescent="0.25">
      <c r="A63" s="13" t="s">
        <v>483</v>
      </c>
      <c r="B63" s="14"/>
      <c r="C63" s="312">
        <v>0</v>
      </c>
      <c r="D63" s="36" t="s">
        <v>41</v>
      </c>
      <c r="E63" s="16"/>
      <c r="F63" s="38">
        <v>0</v>
      </c>
      <c r="G63" s="36" t="s">
        <v>42</v>
      </c>
      <c r="H63" s="38">
        <v>0</v>
      </c>
      <c r="I63" s="36" t="s">
        <v>42</v>
      </c>
    </row>
    <row r="64" spans="1:9" s="13" customFormat="1" x14ac:dyDescent="0.25">
      <c r="A64" s="13" t="s">
        <v>412</v>
      </c>
      <c r="B64" s="14"/>
      <c r="C64" s="316">
        <f>1-SUM(C59:C63)</f>
        <v>0.63376008575865694</v>
      </c>
      <c r="D64" s="36">
        <f>SUM(C59:C64)</f>
        <v>1</v>
      </c>
      <c r="E64" s="16"/>
      <c r="F64" s="39">
        <v>0.86671809622909313</v>
      </c>
      <c r="G64" s="16"/>
      <c r="H64" s="39">
        <v>0.80210915541035199</v>
      </c>
      <c r="I64" s="16"/>
    </row>
    <row r="65" spans="1:9" s="13" customFormat="1" x14ac:dyDescent="0.25">
      <c r="A65" s="13" t="s">
        <v>456</v>
      </c>
      <c r="B65" s="14" t="s">
        <v>45</v>
      </c>
      <c r="C65" s="312">
        <v>0.30679530417926698</v>
      </c>
      <c r="D65" s="16" t="s">
        <v>21</v>
      </c>
      <c r="E65" s="16"/>
      <c r="F65" s="34"/>
      <c r="G65" s="16" t="s">
        <v>21</v>
      </c>
      <c r="H65" s="34"/>
      <c r="I65" s="16" t="s">
        <v>21</v>
      </c>
    </row>
    <row r="66" spans="1:9" s="13" customFormat="1" x14ac:dyDescent="0.25">
      <c r="A66" s="13" t="s">
        <v>457</v>
      </c>
      <c r="B66" s="14" t="s">
        <v>46</v>
      </c>
      <c r="C66" s="312">
        <v>1.7063093562521336E-2</v>
      </c>
      <c r="D66" s="36" t="s">
        <v>47</v>
      </c>
      <c r="E66" s="16" t="s">
        <v>48</v>
      </c>
      <c r="F66" s="37">
        <v>9.2111153592935313E-3</v>
      </c>
      <c r="G66" s="16" t="s">
        <v>42</v>
      </c>
      <c r="H66" s="37">
        <v>3.1458841618638878E-2</v>
      </c>
      <c r="I66" s="16" t="s">
        <v>42</v>
      </c>
    </row>
    <row r="67" spans="1:9" s="13" customFormat="1" x14ac:dyDescent="0.25">
      <c r="A67" s="13" t="s">
        <v>458</v>
      </c>
      <c r="B67" s="14" t="s">
        <v>237</v>
      </c>
      <c r="C67" s="312">
        <v>0.2</v>
      </c>
      <c r="D67" s="36" t="s">
        <v>47</v>
      </c>
      <c r="E67" s="36" t="s">
        <v>49</v>
      </c>
      <c r="F67" s="37">
        <v>0.12407078841161334</v>
      </c>
      <c r="G67" s="36" t="s">
        <v>50</v>
      </c>
      <c r="H67" s="37">
        <v>0.16643200297100913</v>
      </c>
      <c r="I67" s="36" t="s">
        <v>51</v>
      </c>
    </row>
    <row r="68" spans="1:9" s="13" customFormat="1" x14ac:dyDescent="0.25">
      <c r="A68" s="13" t="s">
        <v>459</v>
      </c>
      <c r="B68" s="14" t="s">
        <v>238</v>
      </c>
      <c r="C68" s="312">
        <v>3.7999999999999999E-2</v>
      </c>
      <c r="D68" s="36" t="s">
        <v>337</v>
      </c>
      <c r="E68" s="16" t="s">
        <v>968</v>
      </c>
      <c r="F68" s="17">
        <v>3.4000000000000002E-2</v>
      </c>
      <c r="G68" s="36" t="s">
        <v>42</v>
      </c>
      <c r="H68" s="17">
        <v>4.2999999999999997E-2</v>
      </c>
      <c r="I68" s="36" t="s">
        <v>42</v>
      </c>
    </row>
    <row r="69" spans="1:9" s="13" customFormat="1" x14ac:dyDescent="0.25">
      <c r="A69" s="13" t="s">
        <v>460</v>
      </c>
      <c r="B69" s="14" t="s">
        <v>52</v>
      </c>
      <c r="C69" s="317">
        <f>1-SUM(C65:C68)</f>
        <v>0.43814160225821164</v>
      </c>
      <c r="D69" s="36"/>
      <c r="E69" s="16"/>
      <c r="F69" s="43">
        <v>0.8327180962290931</v>
      </c>
      <c r="G69" s="16"/>
      <c r="H69" s="43">
        <v>0.75910915541035195</v>
      </c>
      <c r="I69" s="16"/>
    </row>
    <row r="70" spans="1:9" s="13" customFormat="1" x14ac:dyDescent="0.25">
      <c r="A70" s="13" t="s">
        <v>461</v>
      </c>
      <c r="B70" s="14" t="s">
        <v>45</v>
      </c>
      <c r="C70" s="312">
        <v>0.30679530417926698</v>
      </c>
      <c r="D70" s="16" t="s">
        <v>21</v>
      </c>
      <c r="E70" s="16"/>
      <c r="F70" s="34"/>
      <c r="G70" s="16" t="s">
        <v>21</v>
      </c>
      <c r="H70" s="34"/>
      <c r="I70" s="16" t="s">
        <v>21</v>
      </c>
    </row>
    <row r="71" spans="1:9" s="13" customFormat="1" x14ac:dyDescent="0.25">
      <c r="A71" s="13" t="s">
        <v>462</v>
      </c>
      <c r="B71" s="14" t="s">
        <v>46</v>
      </c>
      <c r="C71" s="312">
        <v>1.7063093562521336E-2</v>
      </c>
      <c r="D71" s="36" t="s">
        <v>47</v>
      </c>
      <c r="E71" s="16" t="s">
        <v>48</v>
      </c>
      <c r="F71" s="37">
        <v>9.2111153592935313E-3</v>
      </c>
      <c r="G71" s="16" t="s">
        <v>42</v>
      </c>
      <c r="H71" s="37">
        <v>3.1458841618638878E-2</v>
      </c>
      <c r="I71" s="16" t="s">
        <v>42</v>
      </c>
    </row>
    <row r="72" spans="1:9" s="13" customFormat="1" x14ac:dyDescent="0.25">
      <c r="A72" s="13" t="s">
        <v>463</v>
      </c>
      <c r="B72" s="14" t="s">
        <v>237</v>
      </c>
      <c r="C72" s="312">
        <v>0.2</v>
      </c>
      <c r="D72" s="36" t="s">
        <v>47</v>
      </c>
      <c r="E72" s="36" t="s">
        <v>49</v>
      </c>
      <c r="F72" s="37">
        <v>0.12407078841161334</v>
      </c>
      <c r="G72" s="36" t="s">
        <v>50</v>
      </c>
      <c r="H72" s="37">
        <v>0.16643200297100913</v>
      </c>
      <c r="I72" s="36" t="s">
        <v>51</v>
      </c>
    </row>
    <row r="73" spans="1:9" s="13" customFormat="1" x14ac:dyDescent="0.25">
      <c r="A73" s="13" t="s">
        <v>464</v>
      </c>
      <c r="B73" s="14" t="s">
        <v>238</v>
      </c>
      <c r="C73" s="312">
        <v>3.7999999999999999E-2</v>
      </c>
      <c r="D73" s="36">
        <v>0</v>
      </c>
      <c r="E73" s="16">
        <v>0</v>
      </c>
      <c r="F73" s="17">
        <v>3.4000000000000002E-2</v>
      </c>
      <c r="G73" s="36" t="s">
        <v>42</v>
      </c>
      <c r="H73" s="17">
        <v>4.2999999999999997E-2</v>
      </c>
      <c r="I73" s="36">
        <v>0</v>
      </c>
    </row>
    <row r="74" spans="1:9" s="13" customFormat="1" x14ac:dyDescent="0.25">
      <c r="A74" s="13" t="s">
        <v>465</v>
      </c>
      <c r="B74" s="14" t="s">
        <v>52</v>
      </c>
      <c r="C74" s="317">
        <f>1-SUM(C70:C73)</f>
        <v>0.43814160225821164</v>
      </c>
      <c r="D74" s="36"/>
      <c r="E74" s="16"/>
      <c r="F74" s="43">
        <v>0.8327180962290931</v>
      </c>
      <c r="G74" s="16"/>
      <c r="H74" s="43">
        <v>0.75910915541035195</v>
      </c>
      <c r="I74" s="16"/>
    </row>
    <row r="75" spans="1:9" s="13" customFormat="1" hidden="1" x14ac:dyDescent="0.25">
      <c r="B75" s="14"/>
      <c r="C75" s="317"/>
      <c r="D75" s="36"/>
      <c r="E75" s="16"/>
      <c r="F75" s="175"/>
      <c r="G75" s="16"/>
      <c r="H75" s="175"/>
      <c r="I75" s="16"/>
    </row>
    <row r="76" spans="1:9" s="44" customFormat="1" x14ac:dyDescent="0.25">
      <c r="A76" s="44" t="s">
        <v>466</v>
      </c>
      <c r="B76" s="22" t="s">
        <v>53</v>
      </c>
      <c r="C76" s="313">
        <v>1.818504441305463E-2</v>
      </c>
      <c r="D76" s="45" t="s">
        <v>21</v>
      </c>
      <c r="E76" s="23" t="str">
        <f>E66</f>
        <v>Empiric data: Seroc/Asympt to Death | No Sympt &amp; No AIDS</v>
      </c>
      <c r="F76" s="46">
        <v>9.2111153592935313E-3</v>
      </c>
      <c r="G76" s="47" t="s">
        <v>42</v>
      </c>
      <c r="H76" s="46">
        <v>3.1458841618638878E-2</v>
      </c>
      <c r="I76" s="23" t="str">
        <f>I66</f>
        <v>Same</v>
      </c>
    </row>
    <row r="77" spans="1:9" s="44" customFormat="1" x14ac:dyDescent="0.25">
      <c r="A77" s="44" t="s">
        <v>467</v>
      </c>
      <c r="B77" s="22"/>
      <c r="C77" s="313">
        <v>0.2</v>
      </c>
      <c r="D77" s="45" t="s">
        <v>21</v>
      </c>
      <c r="E77" s="45" t="str">
        <f>E67</f>
        <v>Reflects internally calibrated value</v>
      </c>
      <c r="F77" s="48">
        <v>0.12407078841161334</v>
      </c>
      <c r="G77" s="45" t="s">
        <v>50</v>
      </c>
      <c r="H77" s="48">
        <v>0.16643200297100913</v>
      </c>
      <c r="I77" s="45" t="str">
        <f>I67</f>
        <v>Orig empiric UB</v>
      </c>
    </row>
    <row r="78" spans="1:9" s="44" customFormat="1" x14ac:dyDescent="0.25">
      <c r="A78" s="44" t="s">
        <v>916</v>
      </c>
      <c r="B78" s="22"/>
      <c r="C78" s="313">
        <v>0.1212</v>
      </c>
      <c r="D78" s="45"/>
      <c r="E78" s="45"/>
      <c r="F78" s="48"/>
      <c r="G78" s="45"/>
      <c r="H78" s="48"/>
      <c r="I78" s="45"/>
    </row>
    <row r="79" spans="1:9" s="13" customFormat="1" x14ac:dyDescent="0.25">
      <c r="A79" s="13" t="s">
        <v>468</v>
      </c>
      <c r="B79" s="14" t="s">
        <v>54</v>
      </c>
      <c r="C79" s="317">
        <f>1-SUM(C76:C78)</f>
        <v>0.66061495558694538</v>
      </c>
      <c r="D79" s="36"/>
      <c r="E79" s="16"/>
      <c r="F79" s="43">
        <v>0.99078888464070647</v>
      </c>
      <c r="G79" s="16"/>
      <c r="H79" s="43">
        <v>0.96854115838136112</v>
      </c>
      <c r="I79" s="16"/>
    </row>
    <row r="80" spans="1:9" s="13" customFormat="1" x14ac:dyDescent="0.25">
      <c r="A80" s="44" t="s">
        <v>469</v>
      </c>
      <c r="B80" s="22" t="s">
        <v>53</v>
      </c>
      <c r="C80" s="313">
        <v>1.818504441305463E-2</v>
      </c>
      <c r="D80" s="45" t="s">
        <v>21</v>
      </c>
      <c r="E80" s="23" t="e">
        <f>#REF!</f>
        <v>#REF!</v>
      </c>
      <c r="F80" s="46">
        <v>9.2111153592935313E-3</v>
      </c>
      <c r="G80" s="47" t="s">
        <v>42</v>
      </c>
      <c r="H80" s="46">
        <v>3.1458841618638878E-2</v>
      </c>
      <c r="I80" s="23" t="e">
        <f>#REF!</f>
        <v>#REF!</v>
      </c>
    </row>
    <row r="81" spans="1:9" s="13" customFormat="1" x14ac:dyDescent="0.25">
      <c r="A81" s="44" t="s">
        <v>470</v>
      </c>
      <c r="B81" s="22"/>
      <c r="C81" s="313">
        <v>0.2</v>
      </c>
      <c r="D81" s="45" t="s">
        <v>21</v>
      </c>
      <c r="E81" s="45">
        <f>E70</f>
        <v>0</v>
      </c>
      <c r="F81" s="48">
        <v>0.12407078841161334</v>
      </c>
      <c r="G81" s="45" t="s">
        <v>50</v>
      </c>
      <c r="H81" s="48">
        <v>0.16643200297100913</v>
      </c>
      <c r="I81" s="45" t="str">
        <f>I70</f>
        <v>Assumption</v>
      </c>
    </row>
    <row r="82" spans="1:9" s="13" customFormat="1" x14ac:dyDescent="0.25">
      <c r="A82" s="44" t="s">
        <v>917</v>
      </c>
      <c r="B82" s="22"/>
      <c r="C82" s="313">
        <v>0.1313</v>
      </c>
      <c r="D82" s="45"/>
      <c r="E82" s="45"/>
      <c r="F82" s="48"/>
      <c r="G82" s="45"/>
      <c r="H82" s="48"/>
      <c r="I82" s="45"/>
    </row>
    <row r="83" spans="1:9" s="13" customFormat="1" x14ac:dyDescent="0.25">
      <c r="A83" s="13" t="s">
        <v>471</v>
      </c>
      <c r="B83" s="14" t="s">
        <v>54</v>
      </c>
      <c r="C83" s="317">
        <f>1-SUM(C80:C82)</f>
        <v>0.65051495558694539</v>
      </c>
      <c r="D83" s="36"/>
      <c r="E83" s="16"/>
      <c r="F83" s="43">
        <v>0.99078888464070647</v>
      </c>
      <c r="G83" s="16"/>
      <c r="H83" s="43">
        <v>0.96854115838136112</v>
      </c>
      <c r="I83" s="16"/>
    </row>
    <row r="84" spans="1:9" s="13" customFormat="1" x14ac:dyDescent="0.25">
      <c r="A84" s="32" t="s">
        <v>277</v>
      </c>
      <c r="B84" s="14" t="s">
        <v>239</v>
      </c>
      <c r="C84" s="312">
        <v>7.5080534956995348E-2</v>
      </c>
      <c r="D84" s="41" t="s">
        <v>20</v>
      </c>
      <c r="E84" s="41"/>
      <c r="F84" s="34">
        <v>0</v>
      </c>
      <c r="G84" s="49">
        <v>0</v>
      </c>
      <c r="H84" s="34">
        <v>0</v>
      </c>
      <c r="I84" s="41">
        <v>0</v>
      </c>
    </row>
    <row r="85" spans="1:9" s="13" customFormat="1" x14ac:dyDescent="0.25">
      <c r="A85" s="13" t="s">
        <v>484</v>
      </c>
      <c r="B85" s="14" t="s">
        <v>240</v>
      </c>
      <c r="C85" s="312">
        <v>0</v>
      </c>
      <c r="D85" s="16" t="s">
        <v>41</v>
      </c>
      <c r="E85" s="16"/>
      <c r="F85" s="50">
        <v>0</v>
      </c>
      <c r="G85" s="35" t="s">
        <v>42</v>
      </c>
      <c r="H85" s="50">
        <v>0</v>
      </c>
      <c r="I85" s="35" t="s">
        <v>42</v>
      </c>
    </row>
    <row r="86" spans="1:9" s="13" customFormat="1" x14ac:dyDescent="0.25">
      <c r="A86" s="13" t="s">
        <v>485</v>
      </c>
      <c r="B86" s="14" t="s">
        <v>241</v>
      </c>
      <c r="C86" s="313">
        <v>2.7888537361361161E-2</v>
      </c>
      <c r="D86" s="45" t="s">
        <v>21</v>
      </c>
      <c r="E86" s="23" t="e">
        <f>#REF!</f>
        <v>#REF!</v>
      </c>
      <c r="F86" s="46">
        <v>9.9027400000000002E-3</v>
      </c>
      <c r="G86" s="47" t="s">
        <v>42</v>
      </c>
      <c r="H86" s="46">
        <v>6.8212510000000004E-2</v>
      </c>
      <c r="I86" s="23" t="e">
        <f>#REF!</f>
        <v>#REF!</v>
      </c>
    </row>
    <row r="87" spans="1:9" s="13" customFormat="1" x14ac:dyDescent="0.25">
      <c r="A87" s="13" t="s">
        <v>486</v>
      </c>
      <c r="B87" s="14" t="s">
        <v>242</v>
      </c>
      <c r="C87" s="312">
        <v>0.3</v>
      </c>
      <c r="D87" s="41" t="s">
        <v>21</v>
      </c>
      <c r="E87" s="41" t="e">
        <f>#REF!</f>
        <v>#REF!</v>
      </c>
      <c r="F87" s="46">
        <v>0.18256182011016442</v>
      </c>
      <c r="G87" s="47" t="s">
        <v>50</v>
      </c>
      <c r="H87" s="46">
        <v>0.27948568817544406</v>
      </c>
      <c r="I87" s="23" t="e">
        <f>#REF!</f>
        <v>#REF!</v>
      </c>
    </row>
    <row r="88" spans="1:9" s="13" customFormat="1" x14ac:dyDescent="0.25">
      <c r="A88" s="32" t="s">
        <v>278</v>
      </c>
      <c r="B88" s="14" t="s">
        <v>243</v>
      </c>
      <c r="C88" s="312">
        <v>7.5080534956995348E-2</v>
      </c>
      <c r="D88" s="41" t="s">
        <v>20</v>
      </c>
      <c r="E88" s="41"/>
      <c r="F88" s="34">
        <v>0</v>
      </c>
      <c r="G88" s="35">
        <v>0</v>
      </c>
      <c r="H88" s="34">
        <v>0</v>
      </c>
      <c r="I88" s="41">
        <v>0</v>
      </c>
    </row>
    <row r="89" spans="1:9" s="13" customFormat="1" x14ac:dyDescent="0.25">
      <c r="A89" s="13" t="s">
        <v>487</v>
      </c>
      <c r="B89" s="14" t="s">
        <v>244</v>
      </c>
      <c r="C89" s="312">
        <v>0</v>
      </c>
      <c r="D89" s="16" t="s">
        <v>41</v>
      </c>
      <c r="E89" s="16"/>
      <c r="F89" s="50">
        <v>0</v>
      </c>
      <c r="G89" s="35" t="s">
        <v>42</v>
      </c>
      <c r="H89" s="50">
        <v>0</v>
      </c>
      <c r="I89" s="35" t="s">
        <v>42</v>
      </c>
    </row>
    <row r="90" spans="1:9" s="13" customFormat="1" x14ac:dyDescent="0.25">
      <c r="A90" s="13" t="s">
        <v>336</v>
      </c>
      <c r="B90" s="14" t="s">
        <v>245</v>
      </c>
      <c r="C90" s="312">
        <f>1-SUM(C84:C89)</f>
        <v>0.52195039272464816</v>
      </c>
      <c r="D90" s="36"/>
      <c r="E90" s="16"/>
      <c r="F90" s="51">
        <v>0.80753543988983556</v>
      </c>
      <c r="G90" s="16"/>
      <c r="H90" s="51">
        <v>0.65230180182455588</v>
      </c>
      <c r="I90" s="16"/>
    </row>
    <row r="91" spans="1:9" s="13" customFormat="1" x14ac:dyDescent="0.25">
      <c r="A91" s="32" t="s">
        <v>414</v>
      </c>
      <c r="B91" s="14"/>
      <c r="C91" s="312">
        <v>9.8703246552192314E-2</v>
      </c>
      <c r="D91" s="41" t="s">
        <v>20</v>
      </c>
      <c r="E91" s="41"/>
      <c r="F91" s="34">
        <v>0</v>
      </c>
      <c r="G91" s="49">
        <v>0</v>
      </c>
      <c r="H91" s="34">
        <v>0</v>
      </c>
      <c r="I91" s="41">
        <v>0</v>
      </c>
    </row>
    <row r="92" spans="1:9" s="13" customFormat="1" x14ac:dyDescent="0.25">
      <c r="A92" s="13" t="s">
        <v>488</v>
      </c>
      <c r="B92" s="14" t="s">
        <v>240</v>
      </c>
      <c r="C92" s="312">
        <v>0</v>
      </c>
      <c r="D92" s="16" t="s">
        <v>41</v>
      </c>
      <c r="E92" s="16"/>
      <c r="F92" s="50">
        <v>0</v>
      </c>
      <c r="G92" s="35" t="s">
        <v>42</v>
      </c>
      <c r="H92" s="50">
        <v>0</v>
      </c>
      <c r="I92" s="35" t="s">
        <v>42</v>
      </c>
    </row>
    <row r="93" spans="1:9" s="13" customFormat="1" x14ac:dyDescent="0.25">
      <c r="A93" s="13" t="s">
        <v>489</v>
      </c>
      <c r="B93" s="14" t="s">
        <v>241</v>
      </c>
      <c r="C93" s="313">
        <v>2.7888537361361161E-2</v>
      </c>
      <c r="D93" s="45" t="s">
        <v>21</v>
      </c>
      <c r="E93" s="23" t="s">
        <v>55</v>
      </c>
      <c r="F93" s="46">
        <v>9.9027400000000002E-3</v>
      </c>
      <c r="G93" s="47" t="s">
        <v>42</v>
      </c>
      <c r="H93" s="46">
        <v>6.8212510000000004E-2</v>
      </c>
      <c r="I93" s="23" t="e">
        <f>#REF!</f>
        <v>#REF!</v>
      </c>
    </row>
    <row r="94" spans="1:9" s="13" customFormat="1" x14ac:dyDescent="0.25">
      <c r="A94" s="13" t="s">
        <v>490</v>
      </c>
      <c r="B94" s="14" t="s">
        <v>242</v>
      </c>
      <c r="C94" s="312">
        <v>0.3</v>
      </c>
      <c r="D94" s="41" t="s">
        <v>21</v>
      </c>
      <c r="E94" s="41" t="s">
        <v>49</v>
      </c>
      <c r="F94" s="46">
        <v>0.18256182011016442</v>
      </c>
      <c r="G94" s="47" t="s">
        <v>50</v>
      </c>
      <c r="H94" s="46">
        <v>0.27948568817544406</v>
      </c>
      <c r="I94" s="23" t="e">
        <f>#REF!</f>
        <v>#REF!</v>
      </c>
    </row>
    <row r="95" spans="1:9" s="13" customFormat="1" x14ac:dyDescent="0.25">
      <c r="A95" s="32" t="s">
        <v>415</v>
      </c>
      <c r="B95" s="14"/>
      <c r="C95" s="312">
        <v>9.8703246552192314E-2</v>
      </c>
      <c r="D95" s="41">
        <v>0</v>
      </c>
      <c r="E95" s="41"/>
      <c r="F95" s="34">
        <v>0</v>
      </c>
      <c r="G95" s="35">
        <v>0</v>
      </c>
      <c r="H95" s="34">
        <v>0</v>
      </c>
      <c r="I95" s="41">
        <v>0</v>
      </c>
    </row>
    <row r="96" spans="1:9" s="13" customFormat="1" x14ac:dyDescent="0.25">
      <c r="A96" s="13" t="s">
        <v>491</v>
      </c>
      <c r="B96" s="14" t="s">
        <v>244</v>
      </c>
      <c r="C96" s="312">
        <v>0</v>
      </c>
      <c r="D96" s="16" t="s">
        <v>41</v>
      </c>
      <c r="E96" s="16"/>
      <c r="F96" s="50">
        <v>0</v>
      </c>
      <c r="G96" s="35" t="s">
        <v>42</v>
      </c>
      <c r="H96" s="50">
        <v>0</v>
      </c>
      <c r="I96" s="35" t="s">
        <v>42</v>
      </c>
    </row>
    <row r="97" spans="1:9" s="13" customFormat="1" x14ac:dyDescent="0.25">
      <c r="A97" s="13" t="s">
        <v>416</v>
      </c>
      <c r="B97" s="14" t="s">
        <v>245</v>
      </c>
      <c r="C97" s="312">
        <f>1-SUM(C91:C96)</f>
        <v>0.47470496953425423</v>
      </c>
      <c r="D97" s="36"/>
      <c r="E97" s="16"/>
      <c r="F97" s="51">
        <v>0.80753543988983556</v>
      </c>
      <c r="G97" s="16"/>
      <c r="H97" s="51">
        <v>0.65230180182455588</v>
      </c>
      <c r="I97" s="16"/>
    </row>
    <row r="98" spans="1:9" s="13" customFormat="1" x14ac:dyDescent="0.25">
      <c r="A98" s="32" t="s">
        <v>417</v>
      </c>
      <c r="B98" s="14"/>
      <c r="C98" s="312">
        <v>9.8703246552192314E-2</v>
      </c>
      <c r="D98" s="41" t="s">
        <v>20</v>
      </c>
      <c r="E98" s="41"/>
      <c r="F98" s="34">
        <v>0</v>
      </c>
      <c r="G98" s="49">
        <v>0</v>
      </c>
      <c r="H98" s="34">
        <v>0</v>
      </c>
      <c r="I98" s="41">
        <v>0</v>
      </c>
    </row>
    <row r="99" spans="1:9" s="13" customFormat="1" x14ac:dyDescent="0.25">
      <c r="A99" s="13" t="s">
        <v>492</v>
      </c>
      <c r="B99" s="14" t="s">
        <v>240</v>
      </c>
      <c r="C99" s="312">
        <v>0</v>
      </c>
      <c r="D99" s="16" t="s">
        <v>41</v>
      </c>
      <c r="E99" s="16"/>
      <c r="F99" s="50">
        <v>0</v>
      </c>
      <c r="G99" s="35" t="s">
        <v>42</v>
      </c>
      <c r="H99" s="50">
        <v>0</v>
      </c>
      <c r="I99" s="35" t="s">
        <v>42</v>
      </c>
    </row>
    <row r="100" spans="1:9" s="13" customFormat="1" x14ac:dyDescent="0.25">
      <c r="A100" s="13" t="s">
        <v>493</v>
      </c>
      <c r="B100" s="14" t="s">
        <v>241</v>
      </c>
      <c r="C100" s="313">
        <v>2.7888537361361161E-2</v>
      </c>
      <c r="D100" s="45" t="s">
        <v>21</v>
      </c>
      <c r="E100" s="23" t="s">
        <v>55</v>
      </c>
      <c r="F100" s="46">
        <v>9.9027400000000002E-3</v>
      </c>
      <c r="G100" s="47" t="s">
        <v>42</v>
      </c>
      <c r="H100" s="46">
        <v>6.8212510000000004E-2</v>
      </c>
      <c r="I100" s="23">
        <f t="shared" ref="I100" si="3">I142</f>
        <v>0</v>
      </c>
    </row>
    <row r="101" spans="1:9" s="13" customFormat="1" x14ac:dyDescent="0.25">
      <c r="A101" s="13" t="s">
        <v>494</v>
      </c>
      <c r="B101" s="14" t="s">
        <v>242</v>
      </c>
      <c r="C101" s="312">
        <v>0.3</v>
      </c>
      <c r="D101" s="41" t="s">
        <v>21</v>
      </c>
      <c r="E101" s="41" t="s">
        <v>49</v>
      </c>
      <c r="F101" s="46">
        <v>0.18256182011016442</v>
      </c>
      <c r="G101" s="47" t="s">
        <v>50</v>
      </c>
      <c r="H101" s="46">
        <v>0.27948568817544406</v>
      </c>
      <c r="I101" s="23" t="e">
        <f>#REF!</f>
        <v>#REF!</v>
      </c>
    </row>
    <row r="102" spans="1:9" s="13" customFormat="1" x14ac:dyDescent="0.25">
      <c r="A102" s="32" t="s">
        <v>418</v>
      </c>
      <c r="B102" s="14"/>
      <c r="C102" s="312">
        <v>9.8703246552192314E-2</v>
      </c>
      <c r="D102" s="41" t="s">
        <v>337</v>
      </c>
      <c r="E102" s="41"/>
      <c r="F102" s="34">
        <v>0</v>
      </c>
      <c r="G102" s="35">
        <v>0</v>
      </c>
      <c r="H102" s="34">
        <v>0</v>
      </c>
      <c r="I102" s="41" t="s">
        <v>42</v>
      </c>
    </row>
    <row r="103" spans="1:9" s="13" customFormat="1" x14ac:dyDescent="0.25">
      <c r="A103" s="13" t="s">
        <v>495</v>
      </c>
      <c r="B103" s="14" t="s">
        <v>244</v>
      </c>
      <c r="C103" s="312">
        <v>0</v>
      </c>
      <c r="D103" s="16" t="s">
        <v>41</v>
      </c>
      <c r="E103" s="16"/>
      <c r="F103" s="50">
        <v>0</v>
      </c>
      <c r="G103" s="35" t="s">
        <v>42</v>
      </c>
      <c r="H103" s="50">
        <v>0</v>
      </c>
      <c r="I103" s="35" t="s">
        <v>42</v>
      </c>
    </row>
    <row r="104" spans="1:9" s="13" customFormat="1" x14ac:dyDescent="0.25">
      <c r="A104" s="13" t="s">
        <v>419</v>
      </c>
      <c r="B104" s="14" t="s">
        <v>245</v>
      </c>
      <c r="C104" s="312">
        <f>1-SUM(C98:C103)</f>
        <v>0.47470496953425423</v>
      </c>
      <c r="D104" s="36"/>
      <c r="E104" s="16"/>
      <c r="F104" s="51">
        <v>0.80753543988983556</v>
      </c>
      <c r="G104" s="16"/>
      <c r="H104" s="51">
        <v>0.65230180182455588</v>
      </c>
      <c r="I104" s="16"/>
    </row>
    <row r="105" spans="1:9" s="13" customFormat="1" x14ac:dyDescent="0.25">
      <c r="A105" s="32" t="s">
        <v>420</v>
      </c>
      <c r="B105" s="14"/>
      <c r="C105" s="312">
        <v>9.8703246552192314E-2</v>
      </c>
      <c r="D105" s="41" t="s">
        <v>20</v>
      </c>
      <c r="E105" s="41"/>
      <c r="F105" s="34">
        <v>0</v>
      </c>
      <c r="G105" s="49">
        <v>0</v>
      </c>
      <c r="H105" s="34">
        <v>0</v>
      </c>
      <c r="I105" s="41">
        <v>0</v>
      </c>
    </row>
    <row r="106" spans="1:9" s="13" customFormat="1" x14ac:dyDescent="0.25">
      <c r="A106" s="13" t="s">
        <v>496</v>
      </c>
      <c r="B106" s="14" t="s">
        <v>240</v>
      </c>
      <c r="C106" s="312">
        <v>0</v>
      </c>
      <c r="D106" s="16" t="s">
        <v>41</v>
      </c>
      <c r="E106" s="16"/>
      <c r="F106" s="50">
        <v>0</v>
      </c>
      <c r="G106" s="35" t="s">
        <v>42</v>
      </c>
      <c r="H106" s="50">
        <v>0</v>
      </c>
      <c r="I106" s="35" t="s">
        <v>42</v>
      </c>
    </row>
    <row r="107" spans="1:9" s="13" customFormat="1" x14ac:dyDescent="0.25">
      <c r="A107" s="13" t="s">
        <v>497</v>
      </c>
      <c r="B107" s="14" t="s">
        <v>241</v>
      </c>
      <c r="C107" s="313">
        <v>2.7888537361361161E-2</v>
      </c>
      <c r="D107" s="45" t="s">
        <v>21</v>
      </c>
      <c r="E107" s="23" t="s">
        <v>55</v>
      </c>
      <c r="F107" s="46">
        <v>9.9027400000000002E-3</v>
      </c>
      <c r="G107" s="47" t="s">
        <v>42</v>
      </c>
      <c r="H107" s="46">
        <v>6.8212510000000004E-2</v>
      </c>
      <c r="I107" s="23">
        <f t="shared" ref="I107:I108" si="4">I152</f>
        <v>0</v>
      </c>
    </row>
    <row r="108" spans="1:9" s="13" customFormat="1" x14ac:dyDescent="0.25">
      <c r="A108" s="13" t="s">
        <v>498</v>
      </c>
      <c r="B108" s="14" t="s">
        <v>242</v>
      </c>
      <c r="C108" s="312">
        <v>0.3</v>
      </c>
      <c r="D108" s="41" t="s">
        <v>21</v>
      </c>
      <c r="E108" s="41" t="s">
        <v>49</v>
      </c>
      <c r="F108" s="46">
        <v>0.18256182011016442</v>
      </c>
      <c r="G108" s="47" t="s">
        <v>50</v>
      </c>
      <c r="H108" s="46">
        <v>0.27948568817544406</v>
      </c>
      <c r="I108" s="23" t="str">
        <f t="shared" si="4"/>
        <v>n/a</v>
      </c>
    </row>
    <row r="109" spans="1:9" s="13" customFormat="1" x14ac:dyDescent="0.25">
      <c r="A109" s="32" t="s">
        <v>421</v>
      </c>
      <c r="B109" s="14"/>
      <c r="C109" s="312">
        <v>9.8703246552192314E-2</v>
      </c>
      <c r="D109" s="41">
        <v>0</v>
      </c>
      <c r="E109" s="41"/>
      <c r="F109" s="34">
        <v>0</v>
      </c>
      <c r="G109" s="35">
        <v>0</v>
      </c>
      <c r="H109" s="34">
        <v>0</v>
      </c>
      <c r="I109" s="41">
        <v>0</v>
      </c>
    </row>
    <row r="110" spans="1:9" s="13" customFormat="1" x14ac:dyDescent="0.25">
      <c r="A110" s="13" t="s">
        <v>499</v>
      </c>
      <c r="B110" s="14" t="s">
        <v>244</v>
      </c>
      <c r="C110" s="312">
        <v>0</v>
      </c>
      <c r="D110" s="16" t="s">
        <v>41</v>
      </c>
      <c r="E110" s="16"/>
      <c r="F110" s="50">
        <v>0</v>
      </c>
      <c r="G110" s="35" t="s">
        <v>42</v>
      </c>
      <c r="H110" s="50">
        <v>0</v>
      </c>
      <c r="I110" s="35" t="s">
        <v>42</v>
      </c>
    </row>
    <row r="111" spans="1:9" s="13" customFormat="1" x14ac:dyDescent="0.25">
      <c r="A111" s="13" t="s">
        <v>422</v>
      </c>
      <c r="B111" s="14" t="s">
        <v>245</v>
      </c>
      <c r="C111" s="312">
        <f>1-SUM(C105:C110)</f>
        <v>0.47470496953425423</v>
      </c>
      <c r="D111" s="36"/>
      <c r="E111" s="16"/>
      <c r="F111" s="51">
        <v>0.80753543988983556</v>
      </c>
      <c r="G111" s="16"/>
      <c r="H111" s="51">
        <v>0.65230180182455588</v>
      </c>
      <c r="I111" s="16"/>
    </row>
    <row r="112" spans="1:9" s="13" customFormat="1" ht="14.45" customHeight="1" x14ac:dyDescent="0.25">
      <c r="A112" s="13" t="s">
        <v>500</v>
      </c>
      <c r="B112" s="14" t="s">
        <v>246</v>
      </c>
      <c r="C112" s="312">
        <v>0.12845640705966965</v>
      </c>
      <c r="D112" s="16" t="s">
        <v>967</v>
      </c>
      <c r="E112" s="16">
        <v>0</v>
      </c>
      <c r="F112" s="42">
        <v>0</v>
      </c>
      <c r="G112" s="16">
        <v>0</v>
      </c>
      <c r="H112" s="42">
        <v>0</v>
      </c>
      <c r="I112" s="16">
        <v>0</v>
      </c>
    </row>
    <row r="113" spans="1:9" s="13" customFormat="1" x14ac:dyDescent="0.25">
      <c r="A113" s="13" t="s">
        <v>501</v>
      </c>
      <c r="B113" s="14" t="s">
        <v>247</v>
      </c>
      <c r="C113" s="312">
        <v>0.18249498008072801</v>
      </c>
      <c r="D113" s="16" t="s">
        <v>20</v>
      </c>
      <c r="E113" s="16"/>
      <c r="F113" s="34">
        <v>0</v>
      </c>
      <c r="G113" s="16"/>
      <c r="H113" s="33">
        <v>0.85342594198378885</v>
      </c>
      <c r="I113" s="16"/>
    </row>
    <row r="114" spans="1:9" s="13" customFormat="1" x14ac:dyDescent="0.25">
      <c r="A114" s="44" t="s">
        <v>502</v>
      </c>
      <c r="B114" s="22" t="s">
        <v>248</v>
      </c>
      <c r="C114" s="313">
        <v>2.6167916421318438E-2</v>
      </c>
      <c r="D114" s="45" t="s">
        <v>47</v>
      </c>
      <c r="E114" s="23" t="s">
        <v>55</v>
      </c>
      <c r="F114" s="52">
        <v>9.9027400000000002E-3</v>
      </c>
      <c r="G114" s="23" t="s">
        <v>42</v>
      </c>
      <c r="H114" s="52">
        <v>6.8212510000000004E-2</v>
      </c>
      <c r="I114" s="23" t="s">
        <v>42</v>
      </c>
    </row>
    <row r="115" spans="1:9" s="13" customFormat="1" x14ac:dyDescent="0.25">
      <c r="A115" s="13" t="s">
        <v>503</v>
      </c>
      <c r="B115" s="14" t="s">
        <v>249</v>
      </c>
      <c r="C115" s="312">
        <v>0.3</v>
      </c>
      <c r="D115" s="36" t="s">
        <v>47</v>
      </c>
      <c r="E115" s="16" t="s">
        <v>49</v>
      </c>
      <c r="F115" s="37">
        <v>0.18256182011016442</v>
      </c>
      <c r="G115" s="36" t="s">
        <v>50</v>
      </c>
      <c r="H115" s="37">
        <v>0.27948568817544406</v>
      </c>
      <c r="I115" s="36" t="s">
        <v>51</v>
      </c>
    </row>
    <row r="116" spans="1:9" s="13" customFormat="1" x14ac:dyDescent="0.25">
      <c r="A116" s="13" t="s">
        <v>504</v>
      </c>
      <c r="B116" s="14" t="s">
        <v>246</v>
      </c>
      <c r="C116" s="312">
        <v>8.8999999999999996E-2</v>
      </c>
      <c r="D116" s="16">
        <v>0</v>
      </c>
      <c r="E116" s="16">
        <v>0</v>
      </c>
      <c r="F116" s="38">
        <v>7.8E-2</v>
      </c>
      <c r="G116" s="35" t="s">
        <v>42</v>
      </c>
      <c r="H116" s="38">
        <v>0.1</v>
      </c>
      <c r="I116" s="16">
        <v>0</v>
      </c>
    </row>
    <row r="117" spans="1:9" s="13" customFormat="1" x14ac:dyDescent="0.25">
      <c r="A117" s="13" t="s">
        <v>505</v>
      </c>
      <c r="B117" s="14" t="s">
        <v>250</v>
      </c>
      <c r="C117" s="312">
        <f>1-SUM(C112:C116)</f>
        <v>0.27388069643828394</v>
      </c>
      <c r="D117" s="36"/>
      <c r="E117" s="16"/>
      <c r="F117" s="51" t="s">
        <v>44</v>
      </c>
      <c r="G117" s="16"/>
      <c r="H117" s="51" t="s">
        <v>44</v>
      </c>
      <c r="I117" s="16"/>
    </row>
    <row r="118" spans="1:9" s="13" customFormat="1" x14ac:dyDescent="0.25">
      <c r="A118" s="13" t="s">
        <v>429</v>
      </c>
      <c r="B118" s="14"/>
      <c r="C118" s="312">
        <v>0.12845640705966965</v>
      </c>
      <c r="D118" s="16">
        <v>0</v>
      </c>
      <c r="E118" s="16">
        <v>0</v>
      </c>
      <c r="F118" s="42">
        <v>0</v>
      </c>
      <c r="G118" s="16">
        <v>0</v>
      </c>
      <c r="H118" s="42">
        <v>0</v>
      </c>
      <c r="I118" s="16">
        <v>0</v>
      </c>
    </row>
    <row r="119" spans="1:9" s="13" customFormat="1" x14ac:dyDescent="0.25">
      <c r="A119" s="13" t="s">
        <v>506</v>
      </c>
      <c r="B119" s="14" t="s">
        <v>247</v>
      </c>
      <c r="C119" s="312">
        <v>0.18249498008072801</v>
      </c>
      <c r="D119" s="16" t="s">
        <v>20</v>
      </c>
      <c r="E119" s="16"/>
      <c r="F119" s="34">
        <v>0</v>
      </c>
      <c r="G119" s="16"/>
      <c r="H119" s="33">
        <v>0.85342594198378885</v>
      </c>
      <c r="I119" s="16"/>
    </row>
    <row r="120" spans="1:9" s="13" customFormat="1" x14ac:dyDescent="0.25">
      <c r="A120" s="44" t="s">
        <v>507</v>
      </c>
      <c r="B120" s="22" t="s">
        <v>248</v>
      </c>
      <c r="C120" s="313">
        <v>2.6167916421318438E-2</v>
      </c>
      <c r="D120" s="45" t="s">
        <v>47</v>
      </c>
      <c r="E120" s="23" t="s">
        <v>55</v>
      </c>
      <c r="F120" s="52">
        <v>9.9027400000000002E-3</v>
      </c>
      <c r="G120" s="23" t="s">
        <v>42</v>
      </c>
      <c r="H120" s="52">
        <v>6.8212510000000004E-2</v>
      </c>
      <c r="I120" s="23" t="s">
        <v>42</v>
      </c>
    </row>
    <row r="121" spans="1:9" s="13" customFormat="1" x14ac:dyDescent="0.25">
      <c r="A121" s="13" t="s">
        <v>508</v>
      </c>
      <c r="B121" s="14" t="s">
        <v>249</v>
      </c>
      <c r="C121" s="312">
        <v>0.3</v>
      </c>
      <c r="D121" s="36" t="s">
        <v>47</v>
      </c>
      <c r="E121" s="16" t="s">
        <v>49</v>
      </c>
      <c r="F121" s="37">
        <v>0.18256182011016442</v>
      </c>
      <c r="G121" s="36" t="s">
        <v>50</v>
      </c>
      <c r="H121" s="37">
        <v>0.27948568817544406</v>
      </c>
      <c r="I121" s="36" t="s">
        <v>51</v>
      </c>
    </row>
    <row r="122" spans="1:9" s="13" customFormat="1" x14ac:dyDescent="0.25">
      <c r="A122" s="13" t="s">
        <v>509</v>
      </c>
      <c r="B122" s="14" t="s">
        <v>246</v>
      </c>
      <c r="C122" s="312">
        <v>8.8999999999999996E-2</v>
      </c>
      <c r="D122" s="16" t="s">
        <v>337</v>
      </c>
      <c r="E122" s="16" t="s">
        <v>338</v>
      </c>
      <c r="F122" s="38">
        <v>7.8E-2</v>
      </c>
      <c r="G122" s="35" t="s">
        <v>42</v>
      </c>
      <c r="H122" s="38">
        <v>0.1</v>
      </c>
      <c r="I122" s="16">
        <v>0</v>
      </c>
    </row>
    <row r="123" spans="1:9" s="13" customFormat="1" x14ac:dyDescent="0.25">
      <c r="A123" s="13" t="s">
        <v>430</v>
      </c>
      <c r="B123" s="14" t="s">
        <v>250</v>
      </c>
      <c r="C123" s="312">
        <f>1-SUM(C118:C122)</f>
        <v>0.27388069643828394</v>
      </c>
      <c r="D123" s="36"/>
      <c r="E123" s="16"/>
      <c r="F123" s="51" t="s">
        <v>44</v>
      </c>
      <c r="G123" s="16"/>
      <c r="H123" s="51" t="s">
        <v>44</v>
      </c>
      <c r="I123" s="16"/>
    </row>
    <row r="124" spans="1:9" s="13" customFormat="1" x14ac:dyDescent="0.25">
      <c r="A124" s="13" t="s">
        <v>510</v>
      </c>
      <c r="B124" s="14" t="s">
        <v>251</v>
      </c>
      <c r="C124" s="312">
        <v>8.6622645122074182E-3</v>
      </c>
      <c r="D124" s="36" t="s">
        <v>56</v>
      </c>
      <c r="E124" s="36" t="s">
        <v>57</v>
      </c>
      <c r="F124" s="53">
        <v>3.7728647931918324E-3</v>
      </c>
      <c r="G124" s="36" t="s">
        <v>42</v>
      </c>
      <c r="H124" s="53">
        <v>1.3527667465056514E-2</v>
      </c>
      <c r="I124" s="36" t="s">
        <v>42</v>
      </c>
    </row>
    <row r="125" spans="1:9" s="13" customFormat="1" x14ac:dyDescent="0.25">
      <c r="A125" s="13" t="s">
        <v>511</v>
      </c>
      <c r="B125" s="14" t="s">
        <v>252</v>
      </c>
      <c r="C125" s="312">
        <v>1.438552517214986E-2</v>
      </c>
      <c r="D125" s="36" t="s">
        <v>21</v>
      </c>
      <c r="E125" s="36" t="str">
        <f>E209</f>
        <v>Empiric data: ART1 to LTFU</v>
      </c>
      <c r="F125" s="53">
        <v>8.106959909557454E-3</v>
      </c>
      <c r="G125" s="36" t="s">
        <v>42</v>
      </c>
      <c r="H125" s="53">
        <v>2.0624347861537995E-2</v>
      </c>
      <c r="I125" s="36" t="s">
        <v>42</v>
      </c>
    </row>
    <row r="126" spans="1:9" s="13" customFormat="1" x14ac:dyDescent="0.25">
      <c r="A126" s="13" t="s">
        <v>512</v>
      </c>
      <c r="B126" s="14" t="s">
        <v>253</v>
      </c>
      <c r="C126" s="312">
        <v>5.0571692431374826E-3</v>
      </c>
      <c r="D126" s="36" t="s">
        <v>21</v>
      </c>
      <c r="E126" s="36" t="str">
        <f>E210</f>
        <v>Empiric data: ART1 to any death</v>
      </c>
      <c r="F126" s="53">
        <v>2.0379206142226991E-3</v>
      </c>
      <c r="G126" s="36" t="s">
        <v>42</v>
      </c>
      <c r="H126" s="53">
        <v>1.0395588448508075E-2</v>
      </c>
      <c r="I126" s="36" t="s">
        <v>42</v>
      </c>
    </row>
    <row r="127" spans="1:9" s="13" customFormat="1" x14ac:dyDescent="0.25">
      <c r="A127" s="13" t="s">
        <v>513</v>
      </c>
      <c r="B127" s="14" t="s">
        <v>254</v>
      </c>
      <c r="C127" s="312">
        <f>1-SUM(C124:C126)</f>
        <v>0.97189504107250524</v>
      </c>
      <c r="D127" s="36"/>
      <c r="E127" s="36"/>
      <c r="F127" s="51">
        <v>0.98608225468302801</v>
      </c>
      <c r="G127" s="36"/>
      <c r="H127" s="51">
        <v>0.95545239622489742</v>
      </c>
      <c r="I127" s="16"/>
    </row>
    <row r="128" spans="1:9" s="13" customFormat="1" x14ac:dyDescent="0.25">
      <c r="A128" s="13" t="s">
        <v>514</v>
      </c>
      <c r="B128" s="14" t="s">
        <v>251</v>
      </c>
      <c r="C128" s="312">
        <v>8.6622645122074182E-3</v>
      </c>
      <c r="D128" s="36" t="s">
        <v>56</v>
      </c>
      <c r="E128" s="36" t="s">
        <v>57</v>
      </c>
      <c r="F128" s="53">
        <v>3.7728647931918324E-3</v>
      </c>
      <c r="G128" s="36" t="s">
        <v>42</v>
      </c>
      <c r="H128" s="53">
        <v>1.3527667465056514E-2</v>
      </c>
      <c r="I128" s="36" t="s">
        <v>42</v>
      </c>
    </row>
    <row r="129" spans="1:9" s="13" customFormat="1" x14ac:dyDescent="0.25">
      <c r="A129" s="13" t="s">
        <v>515</v>
      </c>
      <c r="B129" s="14" t="s">
        <v>252</v>
      </c>
      <c r="C129" s="312">
        <v>1.438552517214986E-2</v>
      </c>
      <c r="D129" s="36" t="s">
        <v>21</v>
      </c>
      <c r="E129" s="36" t="str">
        <f>E217</f>
        <v>Empiric data (complete dataset): ART2 to death</v>
      </c>
      <c r="F129" s="53">
        <v>8.106959909557454E-3</v>
      </c>
      <c r="G129" s="36" t="s">
        <v>42</v>
      </c>
      <c r="H129" s="53">
        <v>2.0624347861537995E-2</v>
      </c>
      <c r="I129" s="36" t="s">
        <v>42</v>
      </c>
    </row>
    <row r="130" spans="1:9" s="13" customFormat="1" x14ac:dyDescent="0.25">
      <c r="A130" s="13" t="s">
        <v>516</v>
      </c>
      <c r="B130" s="14" t="s">
        <v>253</v>
      </c>
      <c r="C130" s="312">
        <v>5.0571692431374826E-3</v>
      </c>
      <c r="D130" s="36" t="s">
        <v>21</v>
      </c>
      <c r="E130" s="36">
        <f>E218</f>
        <v>0</v>
      </c>
      <c r="F130" s="53">
        <v>2.0379206142226991E-3</v>
      </c>
      <c r="G130" s="36" t="s">
        <v>42</v>
      </c>
      <c r="H130" s="53">
        <v>1.0395588448508075E-2</v>
      </c>
      <c r="I130" s="36" t="s">
        <v>42</v>
      </c>
    </row>
    <row r="131" spans="1:9" s="13" customFormat="1" x14ac:dyDescent="0.25">
      <c r="A131" s="13" t="s">
        <v>517</v>
      </c>
      <c r="B131" s="14" t="s">
        <v>254</v>
      </c>
      <c r="C131" s="312">
        <f>1-SUM(C128:C130)</f>
        <v>0.97189504107250524</v>
      </c>
      <c r="D131" s="36"/>
      <c r="E131" s="36"/>
      <c r="F131" s="51">
        <v>0.98608225468302801</v>
      </c>
      <c r="G131" s="36"/>
      <c r="H131" s="51">
        <v>0.95545239622489742</v>
      </c>
      <c r="I131" s="16"/>
    </row>
    <row r="132" spans="1:9" s="13" customFormat="1" x14ac:dyDescent="0.25">
      <c r="A132" s="13" t="s">
        <v>518</v>
      </c>
      <c r="B132" s="14" t="s">
        <v>255</v>
      </c>
      <c r="C132" s="312">
        <v>1.438552517214986E-2</v>
      </c>
      <c r="D132" s="36" t="s">
        <v>21</v>
      </c>
      <c r="E132" s="36" t="str">
        <f>E125</f>
        <v>Empiric data: ART1 to LTFU</v>
      </c>
      <c r="F132" s="53">
        <v>8.106959909557454E-3</v>
      </c>
      <c r="G132" s="36" t="s">
        <v>42</v>
      </c>
      <c r="H132" s="53">
        <v>2.0624347861537995E-2</v>
      </c>
      <c r="I132" s="36" t="s">
        <v>42</v>
      </c>
    </row>
    <row r="133" spans="1:9" s="13" customFormat="1" x14ac:dyDescent="0.25">
      <c r="A133" s="13" t="s">
        <v>519</v>
      </c>
      <c r="B133" s="14" t="s">
        <v>256</v>
      </c>
      <c r="C133" s="312">
        <v>5.0571692431374826E-3</v>
      </c>
      <c r="D133" s="36" t="s">
        <v>21</v>
      </c>
      <c r="E133" s="36" t="str">
        <f>E126</f>
        <v>Empiric data: ART1 to any death</v>
      </c>
      <c r="F133" s="53">
        <v>2.0379206142226991E-3</v>
      </c>
      <c r="G133" s="36" t="s">
        <v>42</v>
      </c>
      <c r="H133" s="53">
        <v>1.0395588448508075E-2</v>
      </c>
      <c r="I133" s="36" t="s">
        <v>42</v>
      </c>
    </row>
    <row r="134" spans="1:9" s="13" customFormat="1" x14ac:dyDescent="0.25">
      <c r="A134" s="13" t="s">
        <v>520</v>
      </c>
      <c r="B134" s="14" t="s">
        <v>257</v>
      </c>
      <c r="C134" s="312">
        <f>1-SUM(C132:C133)</f>
        <v>0.98055730558471266</v>
      </c>
      <c r="D134" s="36"/>
      <c r="E134" s="36"/>
      <c r="F134" s="51">
        <v>0.98985511947621985</v>
      </c>
      <c r="G134" s="36"/>
      <c r="H134" s="51">
        <v>0.96898006368995393</v>
      </c>
      <c r="I134" s="16"/>
    </row>
    <row r="135" spans="1:9" s="13" customFormat="1" x14ac:dyDescent="0.25">
      <c r="A135" s="13" t="s">
        <v>521</v>
      </c>
      <c r="B135" s="14" t="s">
        <v>255</v>
      </c>
      <c r="C135" s="312">
        <v>1.438552517214986E-2</v>
      </c>
      <c r="D135" s="36" t="s">
        <v>21</v>
      </c>
      <c r="E135" s="36" t="str">
        <f>E128</f>
        <v>Event 14 in data analysis results dated 2/23/2011</v>
      </c>
      <c r="F135" s="53">
        <v>8.106959909557454E-3</v>
      </c>
      <c r="G135" s="36" t="s">
        <v>42</v>
      </c>
      <c r="H135" s="53">
        <v>2.0624347861537995E-2</v>
      </c>
      <c r="I135" s="36" t="s">
        <v>42</v>
      </c>
    </row>
    <row r="136" spans="1:9" s="13" customFormat="1" x14ac:dyDescent="0.25">
      <c r="A136" s="13" t="s">
        <v>522</v>
      </c>
      <c r="B136" s="14" t="s">
        <v>256</v>
      </c>
      <c r="C136" s="312">
        <v>5.0571692431374826E-3</v>
      </c>
      <c r="D136" s="36" t="s">
        <v>21</v>
      </c>
      <c r="E136" s="36" t="str">
        <f>E129</f>
        <v>Empiric data (complete dataset): ART2 to death</v>
      </c>
      <c r="F136" s="53">
        <v>2.0379206142226991E-3</v>
      </c>
      <c r="G136" s="36" t="s">
        <v>42</v>
      </c>
      <c r="H136" s="53">
        <v>1.0395588448508075E-2</v>
      </c>
      <c r="I136" s="36" t="s">
        <v>42</v>
      </c>
    </row>
    <row r="137" spans="1:9" s="13" customFormat="1" x14ac:dyDescent="0.25">
      <c r="A137" s="13" t="s">
        <v>523</v>
      </c>
      <c r="B137" s="14" t="s">
        <v>257</v>
      </c>
      <c r="C137" s="312">
        <f>1-SUM(C135:C136)</f>
        <v>0.98055730558471266</v>
      </c>
      <c r="D137" s="36"/>
      <c r="E137" s="36"/>
      <c r="F137" s="51">
        <v>0.98985511947621985</v>
      </c>
      <c r="G137" s="36"/>
      <c r="H137" s="51">
        <v>0.96898006368995393</v>
      </c>
      <c r="I137" s="16"/>
    </row>
    <row r="138" spans="1:9" s="44" customFormat="1" x14ac:dyDescent="0.25">
      <c r="A138" s="44" t="s">
        <v>524</v>
      </c>
      <c r="B138" s="22" t="s">
        <v>258</v>
      </c>
      <c r="C138" s="312">
        <v>2.7888537361361161E-2</v>
      </c>
      <c r="D138" s="36" t="s">
        <v>21</v>
      </c>
      <c r="E138" s="36" t="e">
        <f>#REF!</f>
        <v>#REF!</v>
      </c>
      <c r="F138" s="54">
        <v>9.9027400000000002E-3</v>
      </c>
      <c r="G138" s="55" t="s">
        <v>42</v>
      </c>
      <c r="H138" s="54">
        <v>6.8212510000000004E-2</v>
      </c>
      <c r="I138" s="23" t="e">
        <f>#REF!</f>
        <v>#REF!</v>
      </c>
    </row>
    <row r="139" spans="1:9" s="44" customFormat="1" x14ac:dyDescent="0.25">
      <c r="A139" s="44" t="s">
        <v>918</v>
      </c>
      <c r="B139" s="22"/>
      <c r="C139" s="312">
        <v>0.1414</v>
      </c>
      <c r="D139" s="36"/>
      <c r="E139" s="36"/>
      <c r="F139" s="54"/>
      <c r="G139" s="55"/>
      <c r="H139" s="54"/>
      <c r="I139" s="23"/>
    </row>
    <row r="140" spans="1:9" s="44" customFormat="1" x14ac:dyDescent="0.25">
      <c r="A140" s="44" t="s">
        <v>920</v>
      </c>
      <c r="B140" s="22"/>
      <c r="C140" s="312">
        <v>0.1515</v>
      </c>
      <c r="D140" s="36"/>
      <c r="E140" s="36"/>
      <c r="F140" s="54"/>
      <c r="G140" s="55"/>
      <c r="H140" s="54"/>
      <c r="I140" s="23"/>
    </row>
    <row r="141" spans="1:9" s="44" customFormat="1" x14ac:dyDescent="0.25">
      <c r="A141" s="44" t="s">
        <v>525</v>
      </c>
      <c r="B141" s="22"/>
      <c r="C141" s="312">
        <v>0.24038307785619925</v>
      </c>
      <c r="D141" s="36" t="s">
        <v>20</v>
      </c>
      <c r="E141" s="36"/>
      <c r="F141" s="54"/>
      <c r="G141" s="55"/>
      <c r="H141" s="54"/>
      <c r="I141" s="23"/>
    </row>
    <row r="142" spans="1:9" s="13" customFormat="1" x14ac:dyDescent="0.25">
      <c r="A142" s="13" t="s">
        <v>526</v>
      </c>
      <c r="B142" s="14" t="s">
        <v>259</v>
      </c>
      <c r="C142" s="312">
        <f>1-SUM(C138:C141)</f>
        <v>0.43882838478243957</v>
      </c>
      <c r="D142" s="36"/>
      <c r="E142" s="36"/>
      <c r="F142" s="51">
        <v>0.99009725999999998</v>
      </c>
      <c r="G142" s="36"/>
      <c r="H142" s="51">
        <v>0.93178749000000005</v>
      </c>
      <c r="I142" s="16"/>
    </row>
    <row r="143" spans="1:9" s="13" customFormat="1" x14ac:dyDescent="0.25">
      <c r="A143" s="44" t="s">
        <v>527</v>
      </c>
      <c r="B143" s="22" t="s">
        <v>258</v>
      </c>
      <c r="C143" s="312">
        <v>2.7888537361361161E-2</v>
      </c>
      <c r="D143" s="36" t="s">
        <v>21</v>
      </c>
      <c r="E143" s="36" t="e">
        <f>#REF!</f>
        <v>#REF!</v>
      </c>
      <c r="F143" s="54">
        <v>9.9027400000000002E-3</v>
      </c>
      <c r="G143" s="55" t="s">
        <v>42</v>
      </c>
      <c r="H143" s="54">
        <v>6.8212510000000004E-2</v>
      </c>
      <c r="I143" s="23" t="e">
        <f>#REF!</f>
        <v>#REF!</v>
      </c>
    </row>
    <row r="144" spans="1:9" s="13" customFormat="1" x14ac:dyDescent="0.25">
      <c r="A144" s="44" t="s">
        <v>919</v>
      </c>
      <c r="B144" s="22"/>
      <c r="C144" s="312">
        <v>0.16159999999999999</v>
      </c>
      <c r="D144" s="36"/>
      <c r="E144" s="36"/>
      <c r="F144" s="54"/>
      <c r="G144" s="55"/>
      <c r="H144" s="54"/>
      <c r="I144" s="23"/>
    </row>
    <row r="145" spans="1:9" s="13" customFormat="1" x14ac:dyDescent="0.25">
      <c r="A145" s="44" t="s">
        <v>921</v>
      </c>
      <c r="B145" s="22"/>
      <c r="C145" s="312">
        <v>0.17169999999999999</v>
      </c>
      <c r="D145" s="36"/>
      <c r="E145" s="36"/>
      <c r="F145" s="54"/>
      <c r="G145" s="55"/>
      <c r="H145" s="54"/>
      <c r="I145" s="23"/>
    </row>
    <row r="146" spans="1:9" s="13" customFormat="1" x14ac:dyDescent="0.25">
      <c r="A146" s="44" t="s">
        <v>528</v>
      </c>
      <c r="B146" s="22"/>
      <c r="C146" s="312">
        <v>0.24038307785619925</v>
      </c>
      <c r="D146" s="36">
        <v>0</v>
      </c>
      <c r="E146" s="36"/>
      <c r="F146" s="54"/>
      <c r="G146" s="55"/>
      <c r="H146" s="54"/>
      <c r="I146" s="23"/>
    </row>
    <row r="147" spans="1:9" s="13" customFormat="1" x14ac:dyDescent="0.25">
      <c r="A147" s="13" t="s">
        <v>529</v>
      </c>
      <c r="B147" s="14" t="s">
        <v>259</v>
      </c>
      <c r="C147" s="312">
        <f>1-SUM(C143:C146)</f>
        <v>0.39842838478243958</v>
      </c>
      <c r="D147" s="36"/>
      <c r="E147" s="36"/>
      <c r="F147" s="51">
        <v>0.99009725999999998</v>
      </c>
      <c r="G147" s="36"/>
      <c r="H147" s="51">
        <v>0.93178749000000005</v>
      </c>
      <c r="I147" s="16"/>
    </row>
    <row r="148" spans="1:9" s="13" customFormat="1" x14ac:dyDescent="0.25">
      <c r="A148" s="32" t="s">
        <v>279</v>
      </c>
      <c r="B148" s="14" t="s">
        <v>58</v>
      </c>
      <c r="C148" s="312">
        <v>9.3850668696244199E-2</v>
      </c>
      <c r="D148" s="36" t="s">
        <v>20</v>
      </c>
      <c r="E148" s="36"/>
      <c r="F148" s="33">
        <v>0</v>
      </c>
      <c r="G148" s="55">
        <v>0</v>
      </c>
      <c r="H148" s="33">
        <v>0</v>
      </c>
      <c r="I148" s="16">
        <v>0</v>
      </c>
    </row>
    <row r="149" spans="1:9" s="13" customFormat="1" x14ac:dyDescent="0.25">
      <c r="A149" s="13" t="s">
        <v>530</v>
      </c>
      <c r="B149" s="14" t="s">
        <v>59</v>
      </c>
      <c r="C149" s="312">
        <v>5.1587356649849515E-2</v>
      </c>
      <c r="D149" s="36" t="s">
        <v>41</v>
      </c>
      <c r="E149" s="36"/>
      <c r="F149" s="56">
        <v>0</v>
      </c>
      <c r="G149" s="55" t="s">
        <v>41</v>
      </c>
      <c r="H149" s="56">
        <v>0</v>
      </c>
      <c r="I149" s="16" t="s">
        <v>41</v>
      </c>
    </row>
    <row r="150" spans="1:9" s="13" customFormat="1" x14ac:dyDescent="0.25">
      <c r="A150" s="13" t="s">
        <v>531</v>
      </c>
      <c r="B150" s="14" t="s">
        <v>60</v>
      </c>
      <c r="C150" s="312">
        <v>0.41051473830285101</v>
      </c>
      <c r="D150" s="36" t="s">
        <v>21</v>
      </c>
      <c r="E150" s="36" t="str">
        <f>E166</f>
        <v>Empiric data: AIDS to death</v>
      </c>
      <c r="F150" s="37">
        <v>0.31455704495019521</v>
      </c>
      <c r="G150" s="36" t="s">
        <v>42</v>
      </c>
      <c r="H150" s="37">
        <v>0.46553551713754737</v>
      </c>
      <c r="I150" s="16" t="str">
        <f>I166</f>
        <v>Same</v>
      </c>
    </row>
    <row r="151" spans="1:9" s="13" customFormat="1" x14ac:dyDescent="0.25">
      <c r="A151" s="13" t="s">
        <v>339</v>
      </c>
      <c r="B151" s="14" t="s">
        <v>61</v>
      </c>
      <c r="C151" s="312">
        <f>1-SUM(C148:C150)</f>
        <v>0.44404723635105525</v>
      </c>
      <c r="D151" s="36"/>
      <c r="E151" s="36"/>
      <c r="F151" s="51">
        <v>0.68544295504980479</v>
      </c>
      <c r="G151" s="36"/>
      <c r="H151" s="51">
        <v>0.53446448286245263</v>
      </c>
      <c r="I151" s="16"/>
    </row>
    <row r="152" spans="1:9" s="13" customFormat="1" x14ac:dyDescent="0.25">
      <c r="A152" s="32" t="s">
        <v>423</v>
      </c>
      <c r="B152" s="14"/>
      <c r="C152" s="312">
        <v>0.46884042112291341</v>
      </c>
      <c r="D152" s="36" t="s">
        <v>20</v>
      </c>
      <c r="E152" s="36"/>
      <c r="F152" s="33">
        <v>0</v>
      </c>
      <c r="G152" s="55">
        <v>0</v>
      </c>
      <c r="H152" s="33">
        <v>0</v>
      </c>
      <c r="I152" s="16">
        <v>0</v>
      </c>
    </row>
    <row r="153" spans="1:9" s="13" customFormat="1" x14ac:dyDescent="0.25">
      <c r="A153" s="13" t="s">
        <v>532</v>
      </c>
      <c r="B153" s="14" t="s">
        <v>59</v>
      </c>
      <c r="C153" s="312">
        <v>5.1587356649849515E-2</v>
      </c>
      <c r="D153" s="36" t="s">
        <v>41</v>
      </c>
      <c r="E153" s="36"/>
      <c r="F153" s="56">
        <v>0</v>
      </c>
      <c r="G153" s="55" t="s">
        <v>41</v>
      </c>
      <c r="H153" s="56">
        <v>0</v>
      </c>
      <c r="I153" s="16" t="s">
        <v>41</v>
      </c>
    </row>
    <row r="154" spans="1:9" s="13" customFormat="1" x14ac:dyDescent="0.25">
      <c r="A154" s="13" t="s">
        <v>533</v>
      </c>
      <c r="B154" s="14" t="s">
        <v>60</v>
      </c>
      <c r="C154" s="312">
        <v>0.41051473830285101</v>
      </c>
      <c r="D154" s="36" t="s">
        <v>21</v>
      </c>
      <c r="E154" s="36" t="str">
        <f>E202</f>
        <v>Empiric data: ART1 to any death</v>
      </c>
      <c r="F154" s="37">
        <v>0.31455704495019521</v>
      </c>
      <c r="G154" s="36" t="s">
        <v>42</v>
      </c>
      <c r="H154" s="37">
        <v>0.46553551713754737</v>
      </c>
      <c r="I154" s="16" t="str">
        <f>I202</f>
        <v>Same</v>
      </c>
    </row>
    <row r="155" spans="1:9" s="13" customFormat="1" x14ac:dyDescent="0.25">
      <c r="A155" s="13" t="s">
        <v>424</v>
      </c>
      <c r="B155" s="14" t="s">
        <v>61</v>
      </c>
      <c r="C155" s="312">
        <f>1-SUM(C152:C154)</f>
        <v>6.9057483924386043E-2</v>
      </c>
      <c r="D155" s="36"/>
      <c r="E155" s="36"/>
      <c r="F155" s="51">
        <v>0.68544295504980479</v>
      </c>
      <c r="G155" s="36"/>
      <c r="H155" s="51">
        <v>0.53446448286245263</v>
      </c>
      <c r="I155" s="16"/>
    </row>
    <row r="156" spans="1:9" s="13" customFormat="1" x14ac:dyDescent="0.25">
      <c r="A156" s="32" t="s">
        <v>427</v>
      </c>
      <c r="B156" s="14"/>
      <c r="C156" s="312">
        <v>0.46884042112291341</v>
      </c>
      <c r="D156" s="36">
        <v>0</v>
      </c>
      <c r="E156" s="36"/>
      <c r="F156" s="33">
        <v>0</v>
      </c>
      <c r="G156" s="55">
        <v>0</v>
      </c>
      <c r="H156" s="33">
        <v>0</v>
      </c>
      <c r="I156" s="16">
        <v>0</v>
      </c>
    </row>
    <row r="157" spans="1:9" s="13" customFormat="1" x14ac:dyDescent="0.25">
      <c r="A157" s="13" t="s">
        <v>534</v>
      </c>
      <c r="B157" s="14" t="s">
        <v>59</v>
      </c>
      <c r="C157" s="312">
        <v>5.1587356649849515E-2</v>
      </c>
      <c r="D157" s="36" t="s">
        <v>41</v>
      </c>
      <c r="E157" s="36"/>
      <c r="F157" s="56">
        <v>0</v>
      </c>
      <c r="G157" s="55" t="s">
        <v>41</v>
      </c>
      <c r="H157" s="56">
        <v>0</v>
      </c>
      <c r="I157" s="16" t="s">
        <v>41</v>
      </c>
    </row>
    <row r="158" spans="1:9" s="13" customFormat="1" x14ac:dyDescent="0.25">
      <c r="A158" s="13" t="s">
        <v>535</v>
      </c>
      <c r="B158" s="14" t="s">
        <v>60</v>
      </c>
      <c r="C158" s="312">
        <v>0.41051473830285101</v>
      </c>
      <c r="D158" s="36" t="s">
        <v>21</v>
      </c>
      <c r="E158" s="36" t="str">
        <f>E210</f>
        <v>Empiric data: ART1 to any death</v>
      </c>
      <c r="F158" s="37">
        <v>0.31455704495019521</v>
      </c>
      <c r="G158" s="36" t="s">
        <v>42</v>
      </c>
      <c r="H158" s="37">
        <v>0.46553551713754737</v>
      </c>
      <c r="I158" s="16" t="str">
        <f>I210</f>
        <v>Same</v>
      </c>
    </row>
    <row r="159" spans="1:9" s="13" customFormat="1" x14ac:dyDescent="0.25">
      <c r="A159" s="13" t="s">
        <v>428</v>
      </c>
      <c r="B159" s="14" t="s">
        <v>61</v>
      </c>
      <c r="C159" s="312">
        <f>1-SUM(C156:C158)</f>
        <v>6.9057483924386043E-2</v>
      </c>
      <c r="D159" s="36"/>
      <c r="E159" s="36"/>
      <c r="F159" s="51">
        <v>0.68544295504980479</v>
      </c>
      <c r="G159" s="36"/>
      <c r="H159" s="51">
        <v>0.53446448286245263</v>
      </c>
      <c r="I159" s="16"/>
    </row>
    <row r="160" spans="1:9" s="13" customFormat="1" x14ac:dyDescent="0.25">
      <c r="A160" s="32" t="s">
        <v>425</v>
      </c>
      <c r="B160" s="14"/>
      <c r="C160" s="312">
        <v>0.46884042112291341</v>
      </c>
      <c r="D160" s="36" t="s">
        <v>20</v>
      </c>
      <c r="E160" s="36"/>
      <c r="F160" s="33">
        <v>0</v>
      </c>
      <c r="G160" s="55">
        <v>0</v>
      </c>
      <c r="H160" s="33">
        <v>0</v>
      </c>
      <c r="I160" s="16">
        <v>0</v>
      </c>
    </row>
    <row r="161" spans="1:9" s="13" customFormat="1" x14ac:dyDescent="0.25">
      <c r="A161" s="13" t="s">
        <v>536</v>
      </c>
      <c r="B161" s="14" t="s">
        <v>59</v>
      </c>
      <c r="C161" s="312">
        <v>5.1587356649849515E-2</v>
      </c>
      <c r="D161" s="36" t="s">
        <v>41</v>
      </c>
      <c r="E161" s="36"/>
      <c r="F161" s="56">
        <v>0</v>
      </c>
      <c r="G161" s="55" t="s">
        <v>41</v>
      </c>
      <c r="H161" s="56">
        <v>0</v>
      </c>
      <c r="I161" s="16" t="s">
        <v>41</v>
      </c>
    </row>
    <row r="162" spans="1:9" s="13" customFormat="1" x14ac:dyDescent="0.25">
      <c r="A162" s="13" t="s">
        <v>537</v>
      </c>
      <c r="B162" s="14" t="s">
        <v>60</v>
      </c>
      <c r="C162" s="312">
        <v>0.41051473830285101</v>
      </c>
      <c r="D162" s="36" t="s">
        <v>21</v>
      </c>
      <c r="E162" s="36">
        <f>E218</f>
        <v>0</v>
      </c>
      <c r="F162" s="37">
        <v>0.31455704495019521</v>
      </c>
      <c r="G162" s="36" t="s">
        <v>42</v>
      </c>
      <c r="H162" s="37">
        <v>0.46553551713754737</v>
      </c>
      <c r="I162" s="16">
        <f>I218</f>
        <v>0</v>
      </c>
    </row>
    <row r="163" spans="1:9" s="13" customFormat="1" x14ac:dyDescent="0.25">
      <c r="A163" s="13" t="s">
        <v>426</v>
      </c>
      <c r="B163" s="14" t="s">
        <v>61</v>
      </c>
      <c r="C163" s="312">
        <f>1-SUM(C160:C162)</f>
        <v>6.9057483924386043E-2</v>
      </c>
      <c r="D163" s="36"/>
      <c r="E163" s="36"/>
      <c r="F163" s="51">
        <v>0.68544295504980479</v>
      </c>
      <c r="G163" s="36"/>
      <c r="H163" s="51">
        <v>0.53446448286245263</v>
      </c>
      <c r="I163" s="16"/>
    </row>
    <row r="164" spans="1:9" s="13" customFormat="1" x14ac:dyDescent="0.25">
      <c r="A164" s="13" t="s">
        <v>283</v>
      </c>
      <c r="B164" s="14" t="s">
        <v>62</v>
      </c>
      <c r="C164" s="312">
        <v>0.35989042068732152</v>
      </c>
      <c r="D164" s="36" t="s">
        <v>20</v>
      </c>
      <c r="E164" s="36"/>
      <c r="F164" s="33">
        <v>0</v>
      </c>
      <c r="G164" s="55"/>
      <c r="H164" s="33" t="s">
        <v>44</v>
      </c>
      <c r="I164" s="16"/>
    </row>
    <row r="165" spans="1:9" s="13" customFormat="1" x14ac:dyDescent="0.25">
      <c r="A165" s="13" t="s">
        <v>538</v>
      </c>
      <c r="B165" s="14" t="s">
        <v>63</v>
      </c>
      <c r="C165" s="312">
        <v>5.8805476905872532E-2</v>
      </c>
      <c r="D165" s="36" t="s">
        <v>64</v>
      </c>
      <c r="E165" s="36"/>
      <c r="F165" s="33">
        <v>0</v>
      </c>
      <c r="G165" s="36" t="s">
        <v>21</v>
      </c>
      <c r="H165" s="33">
        <v>0.27500000000000002</v>
      </c>
      <c r="I165" s="20" t="s">
        <v>65</v>
      </c>
    </row>
    <row r="166" spans="1:9" s="13" customFormat="1" x14ac:dyDescent="0.25">
      <c r="A166" s="13" t="s">
        <v>539</v>
      </c>
      <c r="B166" s="14" t="s">
        <v>66</v>
      </c>
      <c r="C166" s="312">
        <v>0.385187477652077</v>
      </c>
      <c r="D166" s="36" t="s">
        <v>47</v>
      </c>
      <c r="E166" s="36" t="s">
        <v>67</v>
      </c>
      <c r="F166" s="37">
        <v>0.31455704495019521</v>
      </c>
      <c r="G166" s="36" t="s">
        <v>42</v>
      </c>
      <c r="H166" s="37">
        <v>0.46553551713754737</v>
      </c>
      <c r="I166" s="16" t="s">
        <v>42</v>
      </c>
    </row>
    <row r="167" spans="1:9" s="13" customFormat="1" x14ac:dyDescent="0.25">
      <c r="A167" s="13" t="s">
        <v>344</v>
      </c>
      <c r="B167" s="14" t="s">
        <v>68</v>
      </c>
      <c r="C167" s="312">
        <f>1-SUM(C164:C166)</f>
        <v>0.19611662475472902</v>
      </c>
      <c r="D167" s="57"/>
      <c r="E167" s="36"/>
      <c r="F167" s="51">
        <v>0.68544295504980479</v>
      </c>
      <c r="G167" s="36"/>
      <c r="H167" s="51">
        <v>0.25946448286245261</v>
      </c>
      <c r="I167" s="16"/>
    </row>
    <row r="168" spans="1:9" s="13" customFormat="1" x14ac:dyDescent="0.25">
      <c r="A168" s="13" t="s">
        <v>284</v>
      </c>
      <c r="B168" s="14"/>
      <c r="C168" s="312">
        <v>0.1304184671743987</v>
      </c>
      <c r="D168" s="36" t="s">
        <v>20</v>
      </c>
      <c r="E168" s="36"/>
      <c r="F168" s="33">
        <v>0</v>
      </c>
      <c r="G168" s="55"/>
      <c r="H168" s="33" t="s">
        <v>44</v>
      </c>
      <c r="I168" s="16"/>
    </row>
    <row r="169" spans="1:9" s="13" customFormat="1" x14ac:dyDescent="0.25">
      <c r="A169" s="13" t="s">
        <v>538</v>
      </c>
      <c r="B169" s="14" t="s">
        <v>63</v>
      </c>
      <c r="C169" s="312">
        <f>pAIDS_InCare_AIDS_LTFU_2004_2012</f>
        <v>5.8805476905872532E-2</v>
      </c>
      <c r="D169" s="36" t="s">
        <v>64</v>
      </c>
      <c r="E169" s="36"/>
      <c r="F169" s="33">
        <v>0</v>
      </c>
      <c r="G169" s="36" t="s">
        <v>21</v>
      </c>
      <c r="H169" s="33">
        <v>0.27500000000000002</v>
      </c>
      <c r="I169" s="20" t="s">
        <v>65</v>
      </c>
    </row>
    <row r="170" spans="1:9" s="13" customFormat="1" x14ac:dyDescent="0.25">
      <c r="A170" s="13" t="s">
        <v>539</v>
      </c>
      <c r="B170" s="14" t="s">
        <v>66</v>
      </c>
      <c r="C170" s="312">
        <f>pAIDS_InCare_AIDS_Dead_2004_2012</f>
        <v>0.385187477652077</v>
      </c>
      <c r="D170" s="36" t="s">
        <v>47</v>
      </c>
      <c r="E170" s="36" t="s">
        <v>67</v>
      </c>
      <c r="F170" s="37">
        <v>0.31455704495019521</v>
      </c>
      <c r="G170" s="36" t="s">
        <v>42</v>
      </c>
      <c r="H170" s="37">
        <v>0.46553551713754737</v>
      </c>
      <c r="I170" s="16" t="s">
        <v>42</v>
      </c>
    </row>
    <row r="171" spans="1:9" s="13" customFormat="1" x14ac:dyDescent="0.25">
      <c r="A171" s="13" t="s">
        <v>340</v>
      </c>
      <c r="B171" s="14" t="s">
        <v>68</v>
      </c>
      <c r="C171" s="312">
        <f>1-SUM(C168:C170)</f>
        <v>0.42558857826765173</v>
      </c>
      <c r="D171" s="57"/>
      <c r="E171" s="36"/>
      <c r="F171" s="51">
        <v>0.68544295504980479</v>
      </c>
      <c r="G171" s="36"/>
      <c r="H171" s="51">
        <v>0.25946448286245261</v>
      </c>
      <c r="I171" s="16"/>
    </row>
    <row r="172" spans="1:9" s="13" customFormat="1" x14ac:dyDescent="0.25">
      <c r="A172" s="13" t="s">
        <v>285</v>
      </c>
      <c r="B172" s="14"/>
      <c r="C172" s="312">
        <v>0.38378962260532939</v>
      </c>
      <c r="D172" s="36" t="s">
        <v>20</v>
      </c>
      <c r="E172" s="36"/>
      <c r="F172" s="33">
        <v>0</v>
      </c>
      <c r="G172" s="55"/>
      <c r="H172" s="33" t="s">
        <v>44</v>
      </c>
      <c r="I172" s="16"/>
    </row>
    <row r="173" spans="1:9" s="13" customFormat="1" x14ac:dyDescent="0.25">
      <c r="A173" s="13" t="s">
        <v>538</v>
      </c>
      <c r="B173" s="14" t="s">
        <v>63</v>
      </c>
      <c r="C173" s="312">
        <f>pAIDS_InCare_AIDS_LTFU_2004_2012</f>
        <v>5.8805476905872532E-2</v>
      </c>
      <c r="D173" s="36" t="s">
        <v>64</v>
      </c>
      <c r="E173" s="36"/>
      <c r="F173" s="33">
        <v>0</v>
      </c>
      <c r="G173" s="36" t="s">
        <v>21</v>
      </c>
      <c r="H173" s="33">
        <v>0.27500000000000002</v>
      </c>
      <c r="I173" s="20" t="s">
        <v>65</v>
      </c>
    </row>
    <row r="174" spans="1:9" s="13" customFormat="1" x14ac:dyDescent="0.25">
      <c r="A174" s="13" t="s">
        <v>539</v>
      </c>
      <c r="B174" s="14" t="s">
        <v>66</v>
      </c>
      <c r="C174" s="312">
        <f>pAIDS_InCare_AIDS_Dead_2004_2012</f>
        <v>0.385187477652077</v>
      </c>
      <c r="D174" s="36" t="s">
        <v>47</v>
      </c>
      <c r="E174" s="36" t="s">
        <v>67</v>
      </c>
      <c r="F174" s="37">
        <v>0.31455704495019521</v>
      </c>
      <c r="G174" s="36" t="s">
        <v>42</v>
      </c>
      <c r="H174" s="37">
        <v>0.46553551713754737</v>
      </c>
      <c r="I174" s="16" t="s">
        <v>42</v>
      </c>
    </row>
    <row r="175" spans="1:9" s="13" customFormat="1" x14ac:dyDescent="0.25">
      <c r="A175" s="13" t="s">
        <v>341</v>
      </c>
      <c r="B175" s="14" t="s">
        <v>68</v>
      </c>
      <c r="C175" s="312">
        <f>1-SUM(C172:C174)</f>
        <v>0.17221742283672103</v>
      </c>
      <c r="D175" s="57"/>
      <c r="E175" s="36"/>
      <c r="F175" s="51">
        <v>0.68544295504980479</v>
      </c>
      <c r="G175" s="36"/>
      <c r="H175" s="51">
        <v>0.25946448286245261</v>
      </c>
      <c r="I175" s="16"/>
    </row>
    <row r="176" spans="1:9" s="13" customFormat="1" x14ac:dyDescent="0.25">
      <c r="A176" s="13" t="s">
        <v>286</v>
      </c>
      <c r="B176" s="14"/>
      <c r="C176" s="312">
        <v>0.42046106174679715</v>
      </c>
      <c r="D176" s="36" t="s">
        <v>20</v>
      </c>
      <c r="E176" s="36"/>
      <c r="F176" s="33">
        <v>0</v>
      </c>
      <c r="G176" s="55"/>
      <c r="H176" s="33" t="s">
        <v>44</v>
      </c>
      <c r="I176" s="16"/>
    </row>
    <row r="177" spans="1:9" s="13" customFormat="1" x14ac:dyDescent="0.25">
      <c r="A177" s="13" t="s">
        <v>538</v>
      </c>
      <c r="B177" s="14" t="s">
        <v>63</v>
      </c>
      <c r="C177" s="312">
        <f>pAIDS_InCare_AIDS_LTFU_2004_2012</f>
        <v>5.8805476905872532E-2</v>
      </c>
      <c r="D177" s="36" t="s">
        <v>64</v>
      </c>
      <c r="E177" s="36"/>
      <c r="F177" s="33">
        <v>0</v>
      </c>
      <c r="G177" s="36" t="s">
        <v>21</v>
      </c>
      <c r="H177" s="33">
        <v>0.27500000000000002</v>
      </c>
      <c r="I177" s="20" t="s">
        <v>65</v>
      </c>
    </row>
    <row r="178" spans="1:9" s="13" customFormat="1" x14ac:dyDescent="0.25">
      <c r="A178" s="13" t="s">
        <v>539</v>
      </c>
      <c r="B178" s="14" t="s">
        <v>66</v>
      </c>
      <c r="C178" s="312">
        <f>pAIDS_InCare_AIDS_Dead_2004_2012</f>
        <v>0.385187477652077</v>
      </c>
      <c r="D178" s="36" t="s">
        <v>47</v>
      </c>
      <c r="E178" s="36" t="s">
        <v>67</v>
      </c>
      <c r="F178" s="37">
        <v>0.31455704495019521</v>
      </c>
      <c r="G178" s="36" t="s">
        <v>42</v>
      </c>
      <c r="H178" s="37">
        <v>0.46553551713754737</v>
      </c>
      <c r="I178" s="16" t="s">
        <v>42</v>
      </c>
    </row>
    <row r="179" spans="1:9" s="13" customFormat="1" x14ac:dyDescent="0.25">
      <c r="A179" s="13" t="s">
        <v>342</v>
      </c>
      <c r="B179" s="14" t="s">
        <v>68</v>
      </c>
      <c r="C179" s="312">
        <f>1-SUM(C176:C178)</f>
        <v>0.13554598369525328</v>
      </c>
      <c r="D179" s="57"/>
      <c r="E179" s="36"/>
      <c r="F179" s="51">
        <v>0.68544295504980479</v>
      </c>
      <c r="G179" s="36"/>
      <c r="H179" s="51">
        <v>0.25946448286245261</v>
      </c>
      <c r="I179" s="16"/>
    </row>
    <row r="180" spans="1:9" s="13" customFormat="1" x14ac:dyDescent="0.25">
      <c r="A180" s="13" t="s">
        <v>287</v>
      </c>
      <c r="B180" s="14"/>
      <c r="C180" s="312">
        <v>0.43290702569058864</v>
      </c>
      <c r="D180" s="36" t="s">
        <v>20</v>
      </c>
      <c r="E180" s="36"/>
      <c r="F180" s="33">
        <v>0</v>
      </c>
      <c r="G180" s="55"/>
      <c r="H180" s="33" t="s">
        <v>44</v>
      </c>
      <c r="I180" s="16"/>
    </row>
    <row r="181" spans="1:9" s="13" customFormat="1" x14ac:dyDescent="0.25">
      <c r="A181" s="13" t="s">
        <v>538</v>
      </c>
      <c r="B181" s="14" t="s">
        <v>63</v>
      </c>
      <c r="C181" s="312">
        <f>pAIDS_InCare_AIDS_LTFU_2004_2012</f>
        <v>5.8805476905872532E-2</v>
      </c>
      <c r="D181" s="36" t="s">
        <v>64</v>
      </c>
      <c r="E181" s="36"/>
      <c r="F181" s="33">
        <v>0</v>
      </c>
      <c r="G181" s="36" t="s">
        <v>21</v>
      </c>
      <c r="H181" s="33">
        <v>0.27500000000000002</v>
      </c>
      <c r="I181" s="20" t="s">
        <v>65</v>
      </c>
    </row>
    <row r="182" spans="1:9" s="13" customFormat="1" x14ac:dyDescent="0.25">
      <c r="A182" s="13" t="s">
        <v>539</v>
      </c>
      <c r="B182" s="14" t="s">
        <v>66</v>
      </c>
      <c r="C182" s="312">
        <f>pAIDS_InCare_AIDS_Dead_2004_2012</f>
        <v>0.385187477652077</v>
      </c>
      <c r="D182" s="36" t="s">
        <v>47</v>
      </c>
      <c r="E182" s="36" t="s">
        <v>67</v>
      </c>
      <c r="F182" s="37">
        <v>0.31455704495019521</v>
      </c>
      <c r="G182" s="36" t="s">
        <v>42</v>
      </c>
      <c r="H182" s="37">
        <v>0.46553551713754737</v>
      </c>
      <c r="I182" s="16" t="s">
        <v>42</v>
      </c>
    </row>
    <row r="183" spans="1:9" s="13" customFormat="1" x14ac:dyDescent="0.25">
      <c r="A183" s="13" t="s">
        <v>343</v>
      </c>
      <c r="B183" s="14" t="s">
        <v>68</v>
      </c>
      <c r="C183" s="312">
        <f>1-SUM(C180:C182)</f>
        <v>0.12310001975146179</v>
      </c>
      <c r="D183" s="57"/>
      <c r="E183" s="36"/>
      <c r="F183" s="51">
        <v>0.68544295504980479</v>
      </c>
      <c r="G183" s="36"/>
      <c r="H183" s="51">
        <v>0.25946448286245261</v>
      </c>
      <c r="I183" s="16"/>
    </row>
    <row r="184" spans="1:9" s="13" customFormat="1" x14ac:dyDescent="0.25">
      <c r="A184" s="13" t="s">
        <v>431</v>
      </c>
      <c r="B184" s="14"/>
      <c r="C184" s="312">
        <v>0.43290702569058864</v>
      </c>
      <c r="D184" s="36" t="s">
        <v>20</v>
      </c>
      <c r="E184" s="36"/>
      <c r="F184" s="33">
        <v>0</v>
      </c>
      <c r="G184" s="55"/>
      <c r="H184" s="33" t="s">
        <v>44</v>
      </c>
      <c r="I184" s="16"/>
    </row>
    <row r="185" spans="1:9" s="13" customFormat="1" x14ac:dyDescent="0.25">
      <c r="A185" s="13" t="s">
        <v>538</v>
      </c>
      <c r="B185" s="14" t="s">
        <v>63</v>
      </c>
      <c r="C185" s="312">
        <f>pAIDS_InCare_AIDS_LTFU_2004_2012</f>
        <v>5.8805476905872532E-2</v>
      </c>
      <c r="D185" s="36" t="s">
        <v>64</v>
      </c>
      <c r="E185" s="36"/>
      <c r="F185" s="33">
        <v>0</v>
      </c>
      <c r="G185" s="36" t="s">
        <v>21</v>
      </c>
      <c r="H185" s="33">
        <v>0.27500000000000002</v>
      </c>
      <c r="I185" s="20" t="s">
        <v>65</v>
      </c>
    </row>
    <row r="186" spans="1:9" s="13" customFormat="1" x14ac:dyDescent="0.25">
      <c r="A186" s="13" t="s">
        <v>539</v>
      </c>
      <c r="B186" s="14" t="s">
        <v>66</v>
      </c>
      <c r="C186" s="312">
        <f>pAIDS_InCare_AIDS_Dead_2004_2012</f>
        <v>0.385187477652077</v>
      </c>
      <c r="D186" s="36" t="s">
        <v>47</v>
      </c>
      <c r="E186" s="36" t="s">
        <v>67</v>
      </c>
      <c r="F186" s="37">
        <v>0.31455704495019521</v>
      </c>
      <c r="G186" s="36" t="s">
        <v>42</v>
      </c>
      <c r="H186" s="37">
        <v>0.46553551713754737</v>
      </c>
      <c r="I186" s="16" t="s">
        <v>42</v>
      </c>
    </row>
    <row r="187" spans="1:9" s="13" customFormat="1" x14ac:dyDescent="0.25">
      <c r="A187" s="13" t="s">
        <v>432</v>
      </c>
      <c r="B187" s="14" t="s">
        <v>68</v>
      </c>
      <c r="C187" s="312">
        <f>1-SUM(C184:C186)</f>
        <v>0.12310001975146179</v>
      </c>
      <c r="D187" s="57"/>
      <c r="E187" s="36"/>
      <c r="F187" s="51">
        <v>0.68544295504980479</v>
      </c>
      <c r="G187" s="36"/>
      <c r="H187" s="51">
        <v>0.25946448286245261</v>
      </c>
      <c r="I187" s="16"/>
    </row>
    <row r="188" spans="1:9" s="13" customFormat="1" x14ac:dyDescent="0.25">
      <c r="A188" s="13" t="s">
        <v>433</v>
      </c>
      <c r="B188" s="14"/>
      <c r="C188" s="312">
        <v>0.43290702569058864</v>
      </c>
      <c r="D188" s="36" t="s">
        <v>20</v>
      </c>
      <c r="E188" s="36"/>
      <c r="F188" s="33">
        <v>0</v>
      </c>
      <c r="G188" s="55"/>
      <c r="H188" s="33" t="s">
        <v>44</v>
      </c>
      <c r="I188" s="16"/>
    </row>
    <row r="189" spans="1:9" s="13" customFormat="1" x14ac:dyDescent="0.25">
      <c r="A189" s="13" t="s">
        <v>538</v>
      </c>
      <c r="B189" s="14" t="s">
        <v>63</v>
      </c>
      <c r="C189" s="312">
        <f>pAIDS_InCare_AIDS_LTFU_2004_2012</f>
        <v>5.8805476905872532E-2</v>
      </c>
      <c r="D189" s="36" t="s">
        <v>64</v>
      </c>
      <c r="E189" s="36"/>
      <c r="F189" s="33">
        <v>0</v>
      </c>
      <c r="G189" s="36" t="s">
        <v>21</v>
      </c>
      <c r="H189" s="33">
        <v>0.27500000000000002</v>
      </c>
      <c r="I189" s="20" t="s">
        <v>65</v>
      </c>
    </row>
    <row r="190" spans="1:9" s="13" customFormat="1" x14ac:dyDescent="0.25">
      <c r="A190" s="13" t="s">
        <v>539</v>
      </c>
      <c r="B190" s="14" t="s">
        <v>66</v>
      </c>
      <c r="C190" s="312">
        <f>pAIDS_InCare_AIDS_Dead_2004_2012</f>
        <v>0.385187477652077</v>
      </c>
      <c r="D190" s="36" t="s">
        <v>47</v>
      </c>
      <c r="E190" s="36" t="s">
        <v>67</v>
      </c>
      <c r="F190" s="37">
        <v>0.31455704495019521</v>
      </c>
      <c r="G190" s="36" t="s">
        <v>42</v>
      </c>
      <c r="H190" s="37">
        <v>0.46553551713754737</v>
      </c>
      <c r="I190" s="16" t="s">
        <v>42</v>
      </c>
    </row>
    <row r="191" spans="1:9" s="13" customFormat="1" x14ac:dyDescent="0.25">
      <c r="A191" s="13" t="s">
        <v>434</v>
      </c>
      <c r="B191" s="14" t="s">
        <v>68</v>
      </c>
      <c r="C191" s="312">
        <f>1-SUM(C188:C190)</f>
        <v>0.12310001975146179</v>
      </c>
      <c r="D191" s="57"/>
      <c r="E191" s="36"/>
      <c r="F191" s="51">
        <v>0.68544295504980479</v>
      </c>
      <c r="G191" s="36"/>
      <c r="H191" s="51">
        <v>0.25946448286245261</v>
      </c>
      <c r="I191" s="16"/>
    </row>
    <row r="192" spans="1:9" s="13" customFormat="1" x14ac:dyDescent="0.25">
      <c r="A192" s="13" t="s">
        <v>435</v>
      </c>
      <c r="B192" s="14"/>
      <c r="C192" s="312">
        <v>0.43290702569058864</v>
      </c>
      <c r="D192" s="36" t="s">
        <v>20</v>
      </c>
      <c r="E192" s="36"/>
      <c r="F192" s="33">
        <v>0</v>
      </c>
      <c r="G192" s="55"/>
      <c r="H192" s="33" t="s">
        <v>44</v>
      </c>
      <c r="I192" s="16"/>
    </row>
    <row r="193" spans="1:9" s="13" customFormat="1" x14ac:dyDescent="0.25">
      <c r="A193" s="13" t="s">
        <v>538</v>
      </c>
      <c r="B193" s="14" t="s">
        <v>63</v>
      </c>
      <c r="C193" s="312">
        <f>pAIDS_InCare_AIDS_LTFU_2004_2012</f>
        <v>5.8805476905872532E-2</v>
      </c>
      <c r="D193" s="36" t="s">
        <v>64</v>
      </c>
      <c r="E193" s="36"/>
      <c r="F193" s="33">
        <v>0</v>
      </c>
      <c r="G193" s="36" t="s">
        <v>21</v>
      </c>
      <c r="H193" s="33">
        <v>0.27500000000000002</v>
      </c>
      <c r="I193" s="20" t="s">
        <v>65</v>
      </c>
    </row>
    <row r="194" spans="1:9" s="13" customFormat="1" x14ac:dyDescent="0.25">
      <c r="A194" s="13" t="s">
        <v>539</v>
      </c>
      <c r="B194" s="14" t="s">
        <v>66</v>
      </c>
      <c r="C194" s="312">
        <f>pAIDS_InCare_AIDS_Dead_2004_2012</f>
        <v>0.385187477652077</v>
      </c>
      <c r="D194" s="36" t="s">
        <v>47</v>
      </c>
      <c r="E194" s="36" t="s">
        <v>67</v>
      </c>
      <c r="F194" s="37">
        <v>0.31455704495019521</v>
      </c>
      <c r="G194" s="36" t="s">
        <v>42</v>
      </c>
      <c r="H194" s="37">
        <v>0.46553551713754737</v>
      </c>
      <c r="I194" s="16" t="s">
        <v>42</v>
      </c>
    </row>
    <row r="195" spans="1:9" s="13" customFormat="1" x14ac:dyDescent="0.25">
      <c r="A195" s="13" t="s">
        <v>436</v>
      </c>
      <c r="B195" s="14" t="s">
        <v>68</v>
      </c>
      <c r="C195" s="312">
        <f>1-SUM(C192:C194)</f>
        <v>0.12310001975146179</v>
      </c>
      <c r="D195" s="57"/>
      <c r="E195" s="36"/>
      <c r="F195" s="51">
        <v>0.68544295504980479</v>
      </c>
      <c r="G195" s="36"/>
      <c r="H195" s="51">
        <v>0.25946448286245261</v>
      </c>
      <c r="I195" s="16"/>
    </row>
    <row r="196" spans="1:9" s="13" customFormat="1" x14ac:dyDescent="0.25">
      <c r="A196" s="13" t="s">
        <v>437</v>
      </c>
      <c r="B196" s="14"/>
      <c r="C196" s="312">
        <v>0.43290702569058864</v>
      </c>
      <c r="D196" s="36" t="s">
        <v>20</v>
      </c>
      <c r="E196" s="36"/>
      <c r="F196" s="33">
        <v>0</v>
      </c>
      <c r="G196" s="55"/>
      <c r="H196" s="33" t="s">
        <v>44</v>
      </c>
      <c r="I196" s="16"/>
    </row>
    <row r="197" spans="1:9" s="13" customFormat="1" x14ac:dyDescent="0.25">
      <c r="A197" s="13" t="s">
        <v>540</v>
      </c>
      <c r="B197" s="14" t="s">
        <v>63</v>
      </c>
      <c r="C197" s="312">
        <f>pAIDS_InCare_AIDS_LTFU_2004_2012</f>
        <v>5.8805476905872532E-2</v>
      </c>
      <c r="D197" s="36" t="s">
        <v>64</v>
      </c>
      <c r="E197" s="36"/>
      <c r="F197" s="33">
        <v>0</v>
      </c>
      <c r="G197" s="36" t="s">
        <v>21</v>
      </c>
      <c r="H197" s="33">
        <v>0.27500000000000002</v>
      </c>
      <c r="I197" s="20" t="s">
        <v>65</v>
      </c>
    </row>
    <row r="198" spans="1:9" s="13" customFormat="1" x14ac:dyDescent="0.25">
      <c r="A198" s="13" t="s">
        <v>541</v>
      </c>
      <c r="B198" s="14" t="s">
        <v>66</v>
      </c>
      <c r="C198" s="312">
        <f>pAIDS_InCare_AIDS_Dead_2004_2012</f>
        <v>0.385187477652077</v>
      </c>
      <c r="D198" s="36" t="s">
        <v>47</v>
      </c>
      <c r="E198" s="36" t="s">
        <v>67</v>
      </c>
      <c r="F198" s="37">
        <v>0.31455704495019521</v>
      </c>
      <c r="G198" s="36" t="s">
        <v>42</v>
      </c>
      <c r="H198" s="37">
        <v>0.46553551713754737</v>
      </c>
      <c r="I198" s="16" t="s">
        <v>42</v>
      </c>
    </row>
    <row r="199" spans="1:9" s="13" customFormat="1" x14ac:dyDescent="0.25">
      <c r="A199" s="13" t="s">
        <v>438</v>
      </c>
      <c r="B199" s="14" t="s">
        <v>68</v>
      </c>
      <c r="C199" s="312">
        <f>1-SUM(C196:C198)</f>
        <v>0.12310001975146179</v>
      </c>
      <c r="D199" s="57"/>
      <c r="E199" s="36"/>
      <c r="F199" s="51">
        <v>0.68544295504980479</v>
      </c>
      <c r="G199" s="36"/>
      <c r="H199" s="51">
        <v>0.25946448286245261</v>
      </c>
      <c r="I199" s="16"/>
    </row>
    <row r="200" spans="1:9" s="13" customFormat="1" x14ac:dyDescent="0.25">
      <c r="A200" s="13" t="s">
        <v>542</v>
      </c>
      <c r="B200" s="14" t="s">
        <v>69</v>
      </c>
      <c r="C200" s="312">
        <v>0.82048978572958342</v>
      </c>
      <c r="D200" s="36" t="s">
        <v>70</v>
      </c>
      <c r="E200" s="36" t="s">
        <v>71</v>
      </c>
      <c r="F200" s="58"/>
      <c r="G200" s="36" t="s">
        <v>42</v>
      </c>
      <c r="H200" s="58"/>
      <c r="I200" s="36" t="s">
        <v>42</v>
      </c>
    </row>
    <row r="201" spans="1:9" s="13" customFormat="1" x14ac:dyDescent="0.25">
      <c r="A201" s="13" t="s">
        <v>543</v>
      </c>
      <c r="B201" s="14" t="s">
        <v>72</v>
      </c>
      <c r="C201" s="312">
        <v>3.1705300812410298E-2</v>
      </c>
      <c r="D201" s="36" t="s">
        <v>70</v>
      </c>
      <c r="E201" s="36" t="s">
        <v>73</v>
      </c>
      <c r="F201" s="58">
        <v>1.2299732266045416E-2</v>
      </c>
      <c r="G201" s="36" t="s">
        <v>42</v>
      </c>
      <c r="H201" s="58">
        <v>2.0586151466279734E-2</v>
      </c>
      <c r="I201" s="36" t="s">
        <v>42</v>
      </c>
    </row>
    <row r="202" spans="1:9" s="13" customFormat="1" x14ac:dyDescent="0.25">
      <c r="A202" s="13" t="s">
        <v>544</v>
      </c>
      <c r="B202" s="14" t="s">
        <v>74</v>
      </c>
      <c r="C202" s="312">
        <v>0.14780491345800628</v>
      </c>
      <c r="D202" s="36" t="s">
        <v>70</v>
      </c>
      <c r="E202" s="36" t="s">
        <v>75</v>
      </c>
      <c r="F202" s="58">
        <v>4.9825854372356537E-2</v>
      </c>
      <c r="G202" s="36" t="s">
        <v>42</v>
      </c>
      <c r="H202" s="58">
        <v>6.4873065421154008E-2</v>
      </c>
      <c r="I202" s="36" t="s">
        <v>42</v>
      </c>
    </row>
    <row r="203" spans="1:9" s="13" customFormat="1" x14ac:dyDescent="0.25">
      <c r="A203" s="13" t="s">
        <v>545</v>
      </c>
      <c r="B203" s="14" t="s">
        <v>76</v>
      </c>
      <c r="C203" s="312">
        <f>1-SUM(C200:C202)</f>
        <v>0</v>
      </c>
      <c r="D203" s="36"/>
      <c r="E203" s="36"/>
      <c r="F203" s="51">
        <v>0.93787441336159805</v>
      </c>
      <c r="G203" s="36"/>
      <c r="H203" s="51">
        <v>0.91454078311256626</v>
      </c>
      <c r="I203" s="16"/>
    </row>
    <row r="204" spans="1:9" s="13" customFormat="1" x14ac:dyDescent="0.25">
      <c r="A204" s="13" t="s">
        <v>564</v>
      </c>
      <c r="B204" s="14" t="s">
        <v>69</v>
      </c>
      <c r="C204" s="312">
        <v>0.82048978572958298</v>
      </c>
      <c r="D204" s="36" t="s">
        <v>70</v>
      </c>
      <c r="E204" s="36" t="s">
        <v>71</v>
      </c>
      <c r="F204" s="58"/>
      <c r="G204" s="36" t="s">
        <v>42</v>
      </c>
      <c r="H204" s="58"/>
      <c r="I204" s="36" t="s">
        <v>42</v>
      </c>
    </row>
    <row r="205" spans="1:9" s="13" customFormat="1" x14ac:dyDescent="0.25">
      <c r="A205" s="13" t="s">
        <v>565</v>
      </c>
      <c r="B205" s="14" t="s">
        <v>72</v>
      </c>
      <c r="C205" s="312">
        <v>3.1705300812410298E-2</v>
      </c>
      <c r="D205" s="36" t="s">
        <v>70</v>
      </c>
      <c r="E205" s="36" t="s">
        <v>73</v>
      </c>
      <c r="F205" s="58">
        <v>1.2299732266045416E-2</v>
      </c>
      <c r="G205" s="36" t="s">
        <v>42</v>
      </c>
      <c r="H205" s="58">
        <v>2.0586151466279734E-2</v>
      </c>
      <c r="I205" s="36" t="s">
        <v>42</v>
      </c>
    </row>
    <row r="206" spans="1:9" s="13" customFormat="1" x14ac:dyDescent="0.25">
      <c r="A206" s="13" t="s">
        <v>566</v>
      </c>
      <c r="B206" s="14" t="s">
        <v>74</v>
      </c>
      <c r="C206" s="312">
        <v>0.14780491345800628</v>
      </c>
      <c r="D206" s="36" t="s">
        <v>70</v>
      </c>
      <c r="E206" s="36" t="s">
        <v>75</v>
      </c>
      <c r="F206" s="58">
        <v>4.9825854372356537E-2</v>
      </c>
      <c r="G206" s="36" t="s">
        <v>42</v>
      </c>
      <c r="H206" s="58">
        <v>6.4873065421154008E-2</v>
      </c>
      <c r="I206" s="36" t="s">
        <v>42</v>
      </c>
    </row>
    <row r="207" spans="1:9" s="13" customFormat="1" x14ac:dyDescent="0.25">
      <c r="A207" s="13" t="s">
        <v>567</v>
      </c>
      <c r="B207" s="14" t="s">
        <v>76</v>
      </c>
      <c r="C207" s="312">
        <f>1-SUM(C204:C206)</f>
        <v>0</v>
      </c>
      <c r="D207" s="36"/>
      <c r="E207" s="36"/>
      <c r="F207" s="51">
        <v>0.93787441336159805</v>
      </c>
      <c r="G207" s="36"/>
      <c r="H207" s="51">
        <v>0.91454078311256626</v>
      </c>
      <c r="I207" s="16"/>
    </row>
    <row r="208" spans="1:9" s="13" customFormat="1" x14ac:dyDescent="0.25">
      <c r="A208" s="13" t="s">
        <v>546</v>
      </c>
      <c r="B208" s="14"/>
      <c r="C208" s="312">
        <v>3.0593921587134254E-2</v>
      </c>
      <c r="D208" s="57" t="s">
        <v>77</v>
      </c>
      <c r="E208" s="36" t="s">
        <v>78</v>
      </c>
      <c r="F208" s="59">
        <v>2.474567905229208E-2</v>
      </c>
      <c r="G208" s="36" t="s">
        <v>42</v>
      </c>
      <c r="H208" s="59">
        <v>3.7797161778324706E-2</v>
      </c>
      <c r="I208" s="36" t="s">
        <v>42</v>
      </c>
    </row>
    <row r="209" spans="1:9" s="13" customFormat="1" x14ac:dyDescent="0.25">
      <c r="A209" s="13" t="s">
        <v>547</v>
      </c>
      <c r="B209" s="14"/>
      <c r="C209" s="312">
        <v>1.0797654247759469E-2</v>
      </c>
      <c r="D209" s="36" t="s">
        <v>70</v>
      </c>
      <c r="E209" s="36" t="s">
        <v>73</v>
      </c>
      <c r="F209" s="58">
        <v>1.2299732266045416E-2</v>
      </c>
      <c r="G209" s="36" t="s">
        <v>42</v>
      </c>
      <c r="H209" s="58">
        <v>2.0586151466279734E-2</v>
      </c>
      <c r="I209" s="36" t="s">
        <v>42</v>
      </c>
    </row>
    <row r="210" spans="1:9" s="13" customFormat="1" x14ac:dyDescent="0.25">
      <c r="A210" s="13" t="s">
        <v>548</v>
      </c>
      <c r="B210" s="14"/>
      <c r="C210" s="312">
        <v>2.5755196485685583E-2</v>
      </c>
      <c r="D210" s="36" t="s">
        <v>70</v>
      </c>
      <c r="E210" s="36" t="s">
        <v>75</v>
      </c>
      <c r="F210" s="58">
        <v>4.9825854372356537E-2</v>
      </c>
      <c r="G210" s="36" t="s">
        <v>42</v>
      </c>
      <c r="H210" s="58">
        <v>6.4873065421154008E-2</v>
      </c>
      <c r="I210" s="36" t="s">
        <v>42</v>
      </c>
    </row>
    <row r="211" spans="1:9" s="13" customFormat="1" x14ac:dyDescent="0.25">
      <c r="A211" s="13" t="s">
        <v>549</v>
      </c>
      <c r="B211" s="14"/>
      <c r="C211" s="312">
        <f>1-SUM(C208:C210)</f>
        <v>0.93285322767942069</v>
      </c>
      <c r="D211" s="36"/>
      <c r="E211" s="36"/>
      <c r="F211" s="51">
        <v>0.91312873430930597</v>
      </c>
      <c r="G211" s="36"/>
      <c r="H211" s="51">
        <v>0.87674362133424155</v>
      </c>
      <c r="I211" s="16"/>
    </row>
    <row r="212" spans="1:9" s="13" customFormat="1" x14ac:dyDescent="0.25">
      <c r="A212" s="13" t="s">
        <v>550</v>
      </c>
      <c r="B212" s="14"/>
      <c r="C212" s="312">
        <v>3.0593921587134254E-2</v>
      </c>
      <c r="D212" s="57" t="s">
        <v>77</v>
      </c>
      <c r="E212" s="36" t="s">
        <v>78</v>
      </c>
      <c r="F212" s="59">
        <v>2.474567905229208E-2</v>
      </c>
      <c r="G212" s="36" t="s">
        <v>42</v>
      </c>
      <c r="H212" s="59">
        <v>3.7797161778324706E-2</v>
      </c>
      <c r="I212" s="36" t="s">
        <v>42</v>
      </c>
    </row>
    <row r="213" spans="1:9" s="13" customFormat="1" x14ac:dyDescent="0.25">
      <c r="A213" s="13" t="s">
        <v>551</v>
      </c>
      <c r="B213" s="14"/>
      <c r="C213" s="312">
        <v>1.0797654247759469E-2</v>
      </c>
      <c r="D213" s="36" t="s">
        <v>70</v>
      </c>
      <c r="E213" s="36" t="s">
        <v>73</v>
      </c>
      <c r="F213" s="58">
        <v>1.2299732266045416E-2</v>
      </c>
      <c r="G213" s="36" t="s">
        <v>42</v>
      </c>
      <c r="H213" s="58">
        <v>2.0586151466279734E-2</v>
      </c>
      <c r="I213" s="36" t="s">
        <v>42</v>
      </c>
    </row>
    <row r="214" spans="1:9" s="13" customFormat="1" x14ac:dyDescent="0.25">
      <c r="A214" s="13" t="s">
        <v>552</v>
      </c>
      <c r="B214" s="14"/>
      <c r="C214" s="312">
        <v>2.5755196485685583E-2</v>
      </c>
      <c r="D214" s="36" t="s">
        <v>70</v>
      </c>
      <c r="E214" s="36" t="s">
        <v>75</v>
      </c>
      <c r="F214" s="58">
        <v>4.9825854372356537E-2</v>
      </c>
      <c r="G214" s="36" t="s">
        <v>42</v>
      </c>
      <c r="H214" s="58">
        <v>6.4873065421154008E-2</v>
      </c>
      <c r="I214" s="36" t="s">
        <v>42</v>
      </c>
    </row>
    <row r="215" spans="1:9" s="13" customFormat="1" x14ac:dyDescent="0.25">
      <c r="A215" s="13" t="s">
        <v>553</v>
      </c>
      <c r="B215" s="14"/>
      <c r="C215" s="312">
        <f>1-SUM(C212:C214)</f>
        <v>0.93285322767942069</v>
      </c>
      <c r="D215" s="36"/>
      <c r="E215" s="36"/>
      <c r="F215" s="51">
        <v>0.91312873430930597</v>
      </c>
      <c r="G215" s="36"/>
      <c r="H215" s="51">
        <v>0.87674362133424155</v>
      </c>
      <c r="I215" s="16"/>
    </row>
    <row r="216" spans="1:9" s="13" customFormat="1" x14ac:dyDescent="0.25">
      <c r="A216" s="13" t="s">
        <v>554</v>
      </c>
      <c r="B216" s="14" t="s">
        <v>79</v>
      </c>
      <c r="C216" s="312">
        <v>2.7446069457994882E-2</v>
      </c>
      <c r="D216" s="36" t="s">
        <v>80</v>
      </c>
      <c r="E216" s="36" t="s">
        <v>81</v>
      </c>
      <c r="F216" s="59">
        <v>1.4375668978120704E-2</v>
      </c>
      <c r="G216" s="36" t="s">
        <v>42</v>
      </c>
      <c r="H216" s="59">
        <v>5.2080788220127627E-2</v>
      </c>
      <c r="I216" s="36" t="s">
        <v>42</v>
      </c>
    </row>
    <row r="217" spans="1:9" s="13" customFormat="1" x14ac:dyDescent="0.25">
      <c r="A217" s="13" t="s">
        <v>555</v>
      </c>
      <c r="B217" s="14" t="s">
        <v>82</v>
      </c>
      <c r="C217" s="312">
        <v>9.4212203246128889E-2</v>
      </c>
      <c r="D217" s="36" t="s">
        <v>80</v>
      </c>
      <c r="E217" s="36" t="s">
        <v>83</v>
      </c>
      <c r="F217" s="59">
        <v>6.758286995717866E-2</v>
      </c>
      <c r="G217" s="36" t="s">
        <v>42</v>
      </c>
      <c r="H217" s="59">
        <v>0.13057482143978982</v>
      </c>
      <c r="I217" s="36" t="s">
        <v>42</v>
      </c>
    </row>
    <row r="218" spans="1:9" s="13" customFormat="1" x14ac:dyDescent="0.25">
      <c r="A218" s="13" t="s">
        <v>556</v>
      </c>
      <c r="B218" s="14" t="s">
        <v>84</v>
      </c>
      <c r="C218" s="312">
        <f>1-SUM(C216:C217)</f>
        <v>0.87834172729587623</v>
      </c>
      <c r="D218" s="36"/>
      <c r="E218" s="36"/>
      <c r="F218" s="51">
        <v>0.91804146106470064</v>
      </c>
      <c r="G218" s="36"/>
      <c r="H218" s="51">
        <v>0.81734439034008255</v>
      </c>
      <c r="I218" s="16"/>
    </row>
    <row r="219" spans="1:9" s="13" customFormat="1" x14ac:dyDescent="0.25">
      <c r="A219" s="13" t="s">
        <v>557</v>
      </c>
      <c r="B219" s="14" t="s">
        <v>79</v>
      </c>
      <c r="C219" s="312">
        <v>2.7446069457994882E-2</v>
      </c>
      <c r="D219" s="36" t="s">
        <v>80</v>
      </c>
      <c r="E219" s="36" t="s">
        <v>81</v>
      </c>
      <c r="F219" s="59">
        <v>1.4375668978120704E-2</v>
      </c>
      <c r="G219" s="36" t="s">
        <v>42</v>
      </c>
      <c r="H219" s="59">
        <v>5.2080788220127627E-2</v>
      </c>
      <c r="I219" s="36" t="s">
        <v>42</v>
      </c>
    </row>
    <row r="220" spans="1:9" s="13" customFormat="1" x14ac:dyDescent="0.25">
      <c r="A220" s="13" t="s">
        <v>558</v>
      </c>
      <c r="B220" s="14" t="s">
        <v>82</v>
      </c>
      <c r="C220" s="312">
        <v>9.4212203246128889E-2</v>
      </c>
      <c r="D220" s="36" t="s">
        <v>80</v>
      </c>
      <c r="E220" s="36" t="s">
        <v>83</v>
      </c>
      <c r="F220" s="59">
        <v>6.758286995717866E-2</v>
      </c>
      <c r="G220" s="36" t="s">
        <v>42</v>
      </c>
      <c r="H220" s="59">
        <v>0.13057482143978982</v>
      </c>
      <c r="I220" s="36" t="s">
        <v>42</v>
      </c>
    </row>
    <row r="221" spans="1:9" s="13" customFormat="1" x14ac:dyDescent="0.25">
      <c r="A221" s="13" t="s">
        <v>559</v>
      </c>
      <c r="B221" s="14" t="s">
        <v>84</v>
      </c>
      <c r="C221" s="312">
        <f>1-SUM(C219:C220)</f>
        <v>0.87834172729587623</v>
      </c>
      <c r="D221" s="36"/>
      <c r="E221" s="36"/>
      <c r="F221" s="51">
        <v>0.91804146106470064</v>
      </c>
      <c r="G221" s="36"/>
      <c r="H221" s="51">
        <v>0.81734439034008255</v>
      </c>
      <c r="I221" s="16"/>
    </row>
    <row r="222" spans="1:9" s="13" customFormat="1" x14ac:dyDescent="0.25">
      <c r="A222" s="13" t="s">
        <v>560</v>
      </c>
      <c r="B222" s="14" t="s">
        <v>85</v>
      </c>
      <c r="C222" s="312">
        <v>0.41051473830285101</v>
      </c>
      <c r="D222" s="36" t="s">
        <v>21</v>
      </c>
      <c r="E222" s="36" t="str">
        <f>E166</f>
        <v>Empiric data: AIDS to death</v>
      </c>
      <c r="F222" s="54">
        <v>0.31455704495019521</v>
      </c>
      <c r="G222" s="55" t="s">
        <v>42</v>
      </c>
      <c r="H222" s="54">
        <v>0.46553551713754737</v>
      </c>
      <c r="I222" s="16" t="str">
        <f>I166</f>
        <v>Same</v>
      </c>
    </row>
    <row r="223" spans="1:9" s="13" customFormat="1" x14ac:dyDescent="0.25">
      <c r="A223" s="13" t="s">
        <v>928</v>
      </c>
      <c r="B223" s="14"/>
      <c r="C223" s="312">
        <v>0.18179999999999999</v>
      </c>
      <c r="D223" s="36"/>
      <c r="E223" s="36"/>
      <c r="F223" s="54"/>
      <c r="G223" s="55"/>
      <c r="H223" s="54"/>
      <c r="I223" s="16"/>
    </row>
    <row r="224" spans="1:9" s="13" customFormat="1" x14ac:dyDescent="0.25">
      <c r="A224" s="13" t="s">
        <v>922</v>
      </c>
      <c r="B224" s="14"/>
      <c r="C224" s="312">
        <v>0.19189999999999999</v>
      </c>
      <c r="D224" s="36"/>
      <c r="E224" s="36"/>
      <c r="F224" s="54"/>
      <c r="G224" s="55"/>
      <c r="H224" s="54"/>
      <c r="I224" s="16"/>
    </row>
    <row r="225" spans="1:9" s="13" customFormat="1" x14ac:dyDescent="0.25">
      <c r="A225" s="13" t="s">
        <v>561</v>
      </c>
      <c r="B225" s="14" t="s">
        <v>86</v>
      </c>
      <c r="C225" s="312">
        <f>1-SUM(C222:C224)</f>
        <v>0.21578526169714907</v>
      </c>
      <c r="D225" s="36"/>
      <c r="E225" s="36"/>
      <c r="F225" s="51">
        <v>0.68544295504980479</v>
      </c>
      <c r="G225" s="36"/>
      <c r="H225" s="51">
        <v>0.53446448286245263</v>
      </c>
      <c r="I225" s="16"/>
    </row>
    <row r="226" spans="1:9" s="13" customFormat="1" x14ac:dyDescent="0.25">
      <c r="A226" s="13" t="s">
        <v>562</v>
      </c>
      <c r="B226" s="14" t="s">
        <v>85</v>
      </c>
      <c r="C226" s="312">
        <v>0.41051473830285101</v>
      </c>
      <c r="D226" s="36" t="s">
        <v>21</v>
      </c>
      <c r="E226" s="36">
        <f>E168</f>
        <v>0</v>
      </c>
      <c r="F226" s="54">
        <v>0.31455704495019521</v>
      </c>
      <c r="G226" s="55" t="s">
        <v>42</v>
      </c>
      <c r="H226" s="54">
        <v>0.46553551713754737</v>
      </c>
      <c r="I226" s="16">
        <f>I168</f>
        <v>0</v>
      </c>
    </row>
    <row r="227" spans="1:9" s="13" customFormat="1" x14ac:dyDescent="0.25">
      <c r="A227" s="13" t="s">
        <v>929</v>
      </c>
      <c r="B227" s="14"/>
      <c r="C227" s="312">
        <v>0.21210000000000001</v>
      </c>
      <c r="D227" s="36"/>
      <c r="E227" s="36"/>
      <c r="F227" s="54"/>
      <c r="G227" s="55"/>
      <c r="H227" s="54"/>
      <c r="I227" s="16"/>
    </row>
    <row r="228" spans="1:9" s="13" customFormat="1" x14ac:dyDescent="0.25">
      <c r="A228" s="13" t="s">
        <v>923</v>
      </c>
      <c r="B228" s="14"/>
      <c r="C228" s="312">
        <v>0.23230000000000001</v>
      </c>
      <c r="D228" s="36"/>
      <c r="E228" s="36"/>
      <c r="F228" s="54"/>
      <c r="G228" s="55"/>
      <c r="H228" s="54"/>
      <c r="I228" s="16"/>
    </row>
    <row r="229" spans="1:9" s="13" customFormat="1" x14ac:dyDescent="0.25">
      <c r="A229" s="13" t="s">
        <v>563</v>
      </c>
      <c r="B229" s="14" t="s">
        <v>86</v>
      </c>
      <c r="C229" s="312">
        <f>1-SUM(C226:C228)</f>
        <v>0.14508526169714897</v>
      </c>
      <c r="D229" s="36"/>
      <c r="E229" s="36"/>
      <c r="F229" s="51">
        <v>0.68544295504980479</v>
      </c>
      <c r="G229" s="36"/>
      <c r="H229" s="51">
        <v>0.53446448286245263</v>
      </c>
      <c r="I229" s="16"/>
    </row>
    <row r="230" spans="1:9" x14ac:dyDescent="0.25">
      <c r="A230" s="325" t="s">
        <v>774</v>
      </c>
      <c r="B230" s="324"/>
      <c r="C230" s="329">
        <f>IF(User!I19,User!I19,User!F19)</f>
        <v>7.4027434914144222E-2</v>
      </c>
    </row>
    <row r="231" spans="1:9" x14ac:dyDescent="0.25">
      <c r="A231" s="326" t="s">
        <v>776</v>
      </c>
      <c r="B231" s="324"/>
      <c r="C231" s="329">
        <f>IF(User!I20,User!I20,User!F20)</f>
        <v>0.30679530417926698</v>
      </c>
    </row>
    <row r="232" spans="1:9" x14ac:dyDescent="0.25">
      <c r="A232" s="325" t="s">
        <v>779</v>
      </c>
      <c r="B232" s="324"/>
      <c r="C232" s="329">
        <f>IF(User!I22,User!I22,User!F22)</f>
        <v>7.4027434914144222E-2</v>
      </c>
    </row>
    <row r="233" spans="1:9" x14ac:dyDescent="0.25">
      <c r="A233" s="326" t="s">
        <v>780</v>
      </c>
      <c r="B233" s="324"/>
      <c r="C233" s="329">
        <f>IF(User!I23,User!I23,User!F23)</f>
        <v>0</v>
      </c>
    </row>
    <row r="234" spans="1:9" x14ac:dyDescent="0.25">
      <c r="A234" s="326" t="s">
        <v>782</v>
      </c>
      <c r="B234" s="324"/>
      <c r="C234" s="329">
        <f>IF(User!I24,User!I24,User!F24)</f>
        <v>3.7999999999999999E-2</v>
      </c>
    </row>
    <row r="235" spans="1:9" x14ac:dyDescent="0.25">
      <c r="A235" s="326" t="s">
        <v>911</v>
      </c>
      <c r="B235" s="324"/>
      <c r="C235" s="329">
        <f>IF(User!I25,User!I25,User!F25)</f>
        <v>0.1313</v>
      </c>
    </row>
    <row r="236" spans="1:9" x14ac:dyDescent="0.25">
      <c r="A236" s="325" t="s">
        <v>785</v>
      </c>
      <c r="B236" s="324"/>
      <c r="C236" s="329">
        <f>IF(User!I27,User!I27,User!F27)</f>
        <v>9.8703246552192314E-2</v>
      </c>
    </row>
    <row r="237" spans="1:9" x14ac:dyDescent="0.25">
      <c r="A237" s="326" t="s">
        <v>786</v>
      </c>
      <c r="B237" s="324"/>
      <c r="C237" s="329">
        <f>IF(User!I28,User!I28,User!F28)</f>
        <v>0</v>
      </c>
    </row>
    <row r="238" spans="1:9" x14ac:dyDescent="0.25">
      <c r="A238" s="326" t="s">
        <v>788</v>
      </c>
      <c r="B238" s="324"/>
      <c r="C238" s="329">
        <f>IF(User!I29,User!I29,User!F29)</f>
        <v>0.12845640705966965</v>
      </c>
    </row>
    <row r="239" spans="1:9" x14ac:dyDescent="0.25">
      <c r="A239" s="326" t="s">
        <v>790</v>
      </c>
      <c r="B239" s="324"/>
      <c r="C239" s="329">
        <f>IF(User!I30,User!I30,User!F30)</f>
        <v>0.18249498008072801</v>
      </c>
    </row>
    <row r="240" spans="1:9" x14ac:dyDescent="0.25">
      <c r="A240" s="326" t="s">
        <v>792</v>
      </c>
      <c r="B240" s="324"/>
      <c r="C240" s="329">
        <f>IF(User!I31,User!I31,User!F31)</f>
        <v>8.6622645122074182E-3</v>
      </c>
    </row>
    <row r="241" spans="1:3" x14ac:dyDescent="0.25">
      <c r="A241" s="326" t="s">
        <v>793</v>
      </c>
      <c r="B241" s="324"/>
      <c r="C241" s="329">
        <f>IF(User!I32,User!I32,User!F32)</f>
        <v>1.438552517214986E-2</v>
      </c>
    </row>
    <row r="242" spans="1:3" x14ac:dyDescent="0.25">
      <c r="A242" s="326" t="s">
        <v>795</v>
      </c>
      <c r="B242" s="324"/>
      <c r="C242" s="329">
        <f>IF(User!I33,User!I33,User!F33)</f>
        <v>5.0571692431374826E-3</v>
      </c>
    </row>
    <row r="243" spans="1:3" x14ac:dyDescent="0.25">
      <c r="A243" s="326" t="s">
        <v>797</v>
      </c>
      <c r="B243" s="324"/>
      <c r="C243" s="329">
        <f>IF(User!I34,User!I34,User!F34)</f>
        <v>1.438552517214986E-2</v>
      </c>
    </row>
    <row r="244" spans="1:3" x14ac:dyDescent="0.25">
      <c r="A244" s="326" t="s">
        <v>798</v>
      </c>
      <c r="B244" s="324"/>
      <c r="C244" s="329">
        <f>IF(User!I35,User!I35,User!F35)</f>
        <v>5.0571692431374826E-3</v>
      </c>
    </row>
    <row r="245" spans="1:3" x14ac:dyDescent="0.25">
      <c r="A245" s="64" t="s">
        <v>912</v>
      </c>
      <c r="B245" s="324"/>
      <c r="C245" s="329">
        <f>IF(User!I36,User!I36,User!F36)</f>
        <v>0.16159999999999999</v>
      </c>
    </row>
    <row r="246" spans="1:3" x14ac:dyDescent="0.25">
      <c r="A246" s="64" t="s">
        <v>913</v>
      </c>
      <c r="B246" s="324"/>
      <c r="C246" s="329">
        <f>IF(User!I37,User!I37,User!F37)</f>
        <v>0.17169999999999999</v>
      </c>
    </row>
    <row r="247" spans="1:3" x14ac:dyDescent="0.25">
      <c r="A247" s="325" t="s">
        <v>801</v>
      </c>
      <c r="B247" s="324"/>
      <c r="C247" s="329">
        <f>IF(User!I39,User!I39,User!F39)</f>
        <v>9.8703246552192314E-2</v>
      </c>
    </row>
    <row r="248" spans="1:3" x14ac:dyDescent="0.25">
      <c r="A248" s="326" t="s">
        <v>803</v>
      </c>
      <c r="B248" s="324"/>
      <c r="C248" s="329">
        <f>IF(User!I40,User!I40,User!F40)</f>
        <v>0</v>
      </c>
    </row>
    <row r="249" spans="1:3" x14ac:dyDescent="0.25">
      <c r="A249" s="326" t="s">
        <v>805</v>
      </c>
      <c r="B249" s="324"/>
      <c r="C249" s="329">
        <f>IF(User!I41,User!I41,User!F41)</f>
        <v>8.8999999999999996E-2</v>
      </c>
    </row>
    <row r="250" spans="1:3" x14ac:dyDescent="0.25">
      <c r="A250" s="325" t="s">
        <v>806</v>
      </c>
      <c r="B250" s="324"/>
      <c r="C250" s="329">
        <f>IF(User!I43,User!I43,User!F43)</f>
        <v>0.46884042112291341</v>
      </c>
    </row>
    <row r="251" spans="1:3" x14ac:dyDescent="0.25">
      <c r="A251" s="326" t="s">
        <v>807</v>
      </c>
      <c r="B251" s="324"/>
      <c r="C251" s="329">
        <f>IF(User!I44,User!I44,User!F44)</f>
        <v>5.1587356649849515E-2</v>
      </c>
    </row>
    <row r="252" spans="1:3" x14ac:dyDescent="0.25">
      <c r="A252" s="326" t="s">
        <v>808</v>
      </c>
      <c r="B252" s="324"/>
      <c r="C252" s="329">
        <f>IF(User!I45,User!I45,User!F45)</f>
        <v>0.43290702569058864</v>
      </c>
    </row>
    <row r="253" spans="1:3" x14ac:dyDescent="0.25">
      <c r="A253" s="326" t="s">
        <v>809</v>
      </c>
      <c r="B253" s="324"/>
      <c r="C253" s="329">
        <f>IF(User!I46,User!I46,User!F46)</f>
        <v>5.8805476905872532E-2</v>
      </c>
    </row>
    <row r="254" spans="1:3" x14ac:dyDescent="0.25">
      <c r="A254" s="326" t="s">
        <v>811</v>
      </c>
      <c r="B254" s="324"/>
      <c r="C254" s="329">
        <f>IF(User!I47,User!I47,User!F47)</f>
        <v>3.1705300812410298E-2</v>
      </c>
    </row>
    <row r="255" spans="1:3" x14ac:dyDescent="0.25">
      <c r="A255" s="326" t="s">
        <v>812</v>
      </c>
      <c r="B255" s="324"/>
      <c r="C255" s="329">
        <f>IF(User!I48,User!I48,User!F48)</f>
        <v>0.14780491345800628</v>
      </c>
    </row>
    <row r="256" spans="1:3" x14ac:dyDescent="0.25">
      <c r="A256" s="326" t="s">
        <v>813</v>
      </c>
      <c r="B256" s="324"/>
      <c r="C256" s="329">
        <f>IF(User!I49,User!I49,User!F49)</f>
        <v>3.0593921587134254E-2</v>
      </c>
    </row>
    <row r="257" spans="1:3" x14ac:dyDescent="0.25">
      <c r="A257" s="326" t="s">
        <v>814</v>
      </c>
      <c r="B257" s="324"/>
      <c r="C257" s="329">
        <f>IF(User!I50,User!I50,User!F50)</f>
        <v>1.0797654247759469E-2</v>
      </c>
    </row>
    <row r="258" spans="1:3" x14ac:dyDescent="0.25">
      <c r="A258" s="326" t="s">
        <v>815</v>
      </c>
      <c r="B258" s="324"/>
      <c r="C258" s="329">
        <f>IF(User!I51,User!I51,User!F51)</f>
        <v>2.5755196485685583E-2</v>
      </c>
    </row>
    <row r="259" spans="1:3" x14ac:dyDescent="0.25">
      <c r="A259" s="326" t="s">
        <v>829</v>
      </c>
      <c r="B259" s="324"/>
      <c r="C259" s="329">
        <f>IF(User!I52,User!I52,User!F52)</f>
        <v>2.7446069457994882E-2</v>
      </c>
    </row>
    <row r="260" spans="1:3" x14ac:dyDescent="0.25">
      <c r="A260" s="326" t="s">
        <v>816</v>
      </c>
      <c r="B260" s="324"/>
      <c r="C260" s="329">
        <f>IF(User!I53,User!I53,User!F53)</f>
        <v>9.4212203246128889E-2</v>
      </c>
    </row>
    <row r="261" spans="1:3" x14ac:dyDescent="0.25">
      <c r="A261" s="64" t="s">
        <v>927</v>
      </c>
      <c r="B261" s="324"/>
      <c r="C261" s="329">
        <f>IF(User!I54,User!I54,User!F54)</f>
        <v>0.21210000000000001</v>
      </c>
    </row>
    <row r="262" spans="1:3" x14ac:dyDescent="0.25">
      <c r="A262" s="64" t="s">
        <v>914</v>
      </c>
      <c r="B262" s="324"/>
      <c r="C262" s="329">
        <f>IF(User!I55,User!I55,User!F55)</f>
        <v>0.23230000000000001</v>
      </c>
    </row>
    <row r="263" spans="1:3" x14ac:dyDescent="0.25">
      <c r="A263" s="327" t="s">
        <v>838</v>
      </c>
      <c r="B263" s="324"/>
      <c r="C263" s="330">
        <f>1-pAsympt_NoCare_Asympt_InCare_2013plus_u-pAsympt_NoCare_Int_InCare_2013plus_u-pAsympt_NoCare_Asympt_Dead_2013plus_u-pAsympt_NoCare_Int_NoCare_2013plus_u</f>
        <v>0.63376008575865694</v>
      </c>
    </row>
    <row r="264" spans="1:3" x14ac:dyDescent="0.25">
      <c r="A264" s="327" t="s">
        <v>839</v>
      </c>
      <c r="B264" s="324"/>
      <c r="C264" s="330">
        <f>1-pAsympt_InCare_Asympt_LTFU_2013plus_u-pAsympt_InCare_Int_ART1_2013plus_u-pAsympt_InCare_Asympt_Dead_2013plus_u-pAsympt_InCare_Int_InCare_2013plus_u</f>
        <v>0.43814160225821158</v>
      </c>
    </row>
    <row r="265" spans="1:3" x14ac:dyDescent="0.25">
      <c r="A265" s="327" t="s">
        <v>840</v>
      </c>
      <c r="B265" s="324"/>
      <c r="C265" s="330">
        <f>1-pAsympt_LTFU_Asympt_Dead_2013plus_u-pAsympt_LTFU_Int_LTFU_2013plus_u-pAsympt_LTFU_Int_ART1_2013plus_u</f>
        <v>0.65051495558694539</v>
      </c>
    </row>
    <row r="266" spans="1:3" x14ac:dyDescent="0.25">
      <c r="A266" s="327" t="s">
        <v>841</v>
      </c>
      <c r="B266" s="324"/>
      <c r="C266" s="330">
        <f>1-pInt_NoCare_Int_InCare_2013plus_u-pInt_NoCare_Int_ART1_2013plus_u-pInt_NoCare_AIDS_InCare_2013plus_u-pInt_NoCare_AIDS_ART1ear_2013plus_u-pInt_NoCare_Int_Dead_2013plus_u-pInt_NoCare_AIDS_NoCare_2013plus_u</f>
        <v>0.47470496953425417</v>
      </c>
    </row>
    <row r="267" spans="1:3" x14ac:dyDescent="0.25">
      <c r="A267" s="327" t="s">
        <v>842</v>
      </c>
      <c r="B267" s="324"/>
      <c r="C267" s="330">
        <f>1-pInt_InCare_Int_ART1_2013plus_u-pInt_InCare_Int_LTFU_2013plus_u-pInt_InCare_AIDS_ART1ear_2013plus_u-pInt_InCare_Int_Dead_2013plus_u-pInt_InCare_AIDS_InCare_2013plus_u</f>
        <v>0.27388069643828389</v>
      </c>
    </row>
    <row r="268" spans="1:3" x14ac:dyDescent="0.25">
      <c r="A268" s="327" t="s">
        <v>843</v>
      </c>
      <c r="B268" s="324"/>
      <c r="C268" s="330">
        <f>1-pInt_ART1_Int_ART2_2013plus_u-pInt_ART1_Int_LTFU_2013plus_u-pInt_ART1_Int_Dead_2013plus_u</f>
        <v>0.97189504107250524</v>
      </c>
    </row>
    <row r="269" spans="1:3" x14ac:dyDescent="0.25">
      <c r="A269" s="327" t="s">
        <v>844</v>
      </c>
      <c r="B269" s="324"/>
      <c r="C269" s="330">
        <f>1-pInt_ART2_Int_LTFU_2013plus_u-pInt_ART2_Int_Dead_2013plus_u</f>
        <v>0.98055730558471266</v>
      </c>
    </row>
    <row r="270" spans="1:3" x14ac:dyDescent="0.25">
      <c r="A270" s="327" t="s">
        <v>845</v>
      </c>
      <c r="B270" s="324"/>
      <c r="C270" s="330">
        <f>1-pInt_LTFU_Int_Dead_2013plus_u-pInt_LTFU_AIDS_LTFU_2013plus_u-pInt_LTFU_Int_ART1_2013plus_u-pInt_LTFU_Int_ART2_2013plus_u</f>
        <v>0.39842838478243958</v>
      </c>
    </row>
    <row r="271" spans="1:3" x14ac:dyDescent="0.25">
      <c r="A271" s="327" t="s">
        <v>846</v>
      </c>
      <c r="B271" s="324"/>
      <c r="C271" s="330">
        <f>1-pAIDS_NoCare_AIDS_InCare_2013plus_u-pAIDS_NoCare_AIDS_ART1ear_2013plus_u-pAIDS_NoCare_AIDS_Dead_2013plus_u</f>
        <v>6.9057483924386098E-2</v>
      </c>
    </row>
    <row r="272" spans="1:3" x14ac:dyDescent="0.25">
      <c r="A272" s="327" t="s">
        <v>847</v>
      </c>
      <c r="B272" s="324"/>
      <c r="C272" s="330">
        <f>1-pAIDS_InCare_AIDS_ART1ear_2013plus_u-pAIDS_InCare_AIDS_LTFU_2013plus_u-pAIDS_InCare_AIDS_Dead_2013plus_u</f>
        <v>0.12310001975146173</v>
      </c>
    </row>
    <row r="273" spans="1:3" x14ac:dyDescent="0.25">
      <c r="A273" s="327" t="s">
        <v>853</v>
      </c>
      <c r="B273" s="324"/>
      <c r="C273" s="330">
        <f>1-pAIDS_ART1ear_AIDS_ART1late_2013plus_u-pAIDS_ART1ear_AIDS_LTFU_2013plus_u-pAIDS_ART1ear_AIDS_Dead_2013plus_u</f>
        <v>0</v>
      </c>
    </row>
    <row r="274" spans="1:3" x14ac:dyDescent="0.25">
      <c r="A274" s="327" t="s">
        <v>848</v>
      </c>
      <c r="B274" s="324"/>
      <c r="C274" s="330">
        <f>1-pAIDS_ART1late_AIDS_ART2_2013plus_u-pAIDS_ART1late_AIDS_LTFU_2013plus_u-pAIDS_ART1late_AIDS_Dead_2013plus_u</f>
        <v>0.93285322767942069</v>
      </c>
    </row>
    <row r="275" spans="1:3" x14ac:dyDescent="0.25">
      <c r="A275" s="327" t="s">
        <v>849</v>
      </c>
      <c r="B275" s="324"/>
      <c r="C275" s="330">
        <f>1-pAIDS_ART2_AIDS_LTFU_2013plus_u-pAIDS_ART2_AIDS_Dead_2013plus_u</f>
        <v>0.87834172729587623</v>
      </c>
    </row>
    <row r="276" spans="1:3" x14ac:dyDescent="0.25">
      <c r="A276" s="327" t="s">
        <v>850</v>
      </c>
      <c r="B276" s="324"/>
      <c r="C276" s="330">
        <f>1-pAIDS_LTFU_AIDS_Dead_2013plus_u-pAIDS_LTFU_AIDS_ART1ear_2013plus_u-pAIDS_LTFU_AIDS_ART2_2013plus_u</f>
        <v>0.14508526169714897</v>
      </c>
    </row>
    <row r="277" spans="1:3" x14ac:dyDescent="0.25">
      <c r="A277" s="326" t="s">
        <v>810</v>
      </c>
      <c r="B277" s="324"/>
      <c r="C277" s="329">
        <f>1-pAIDS_ART1ear_AIDS_LTFU_2013plus_u-pAIDS_ART1ear_AIDS_Dead_2013plus_u</f>
        <v>0.82048978572958342</v>
      </c>
    </row>
    <row r="278" spans="1:3" x14ac:dyDescent="0.25">
      <c r="A278" s="326" t="s">
        <v>775</v>
      </c>
      <c r="B278" s="324"/>
      <c r="C278" s="330">
        <f>IF(User!R22,User!R22,User!O22)</f>
        <v>1.818504441305463E-2</v>
      </c>
    </row>
    <row r="279" spans="1:3" x14ac:dyDescent="0.25">
      <c r="A279" s="326" t="s">
        <v>777</v>
      </c>
      <c r="B279" s="324"/>
      <c r="C279" s="330">
        <f>IF(User!R23,User!R23,User!O23)</f>
        <v>1.7063093562521336E-2</v>
      </c>
    </row>
    <row r="280" spans="1:3" x14ac:dyDescent="0.25">
      <c r="A280" s="328" t="s">
        <v>778</v>
      </c>
      <c r="B280" s="324"/>
      <c r="C280" s="330">
        <f>IF(User!R24,User!R24,User!O24)</f>
        <v>1.818504441305463E-2</v>
      </c>
    </row>
    <row r="281" spans="1:3" x14ac:dyDescent="0.25">
      <c r="A281" s="326" t="s">
        <v>781</v>
      </c>
      <c r="B281" s="324"/>
      <c r="C281" s="330">
        <f>IF(User!R26,User!R26,User!O26)</f>
        <v>0.2</v>
      </c>
    </row>
    <row r="282" spans="1:3" x14ac:dyDescent="0.25">
      <c r="A282" s="326" t="s">
        <v>783</v>
      </c>
      <c r="B282" s="324"/>
      <c r="C282" s="330">
        <f>IF(User!R27,User!R27,User!O27)</f>
        <v>0.2</v>
      </c>
    </row>
    <row r="283" spans="1:3" x14ac:dyDescent="0.25">
      <c r="A283" s="328" t="s">
        <v>784</v>
      </c>
      <c r="B283" s="324"/>
      <c r="C283" s="330">
        <f>IF(User!R28,User!R28,User!O28)</f>
        <v>0.2</v>
      </c>
    </row>
    <row r="284" spans="1:3" x14ac:dyDescent="0.25">
      <c r="A284" s="326" t="s">
        <v>787</v>
      </c>
      <c r="B284" s="324"/>
      <c r="C284" s="330">
        <f>IF(User!R30,User!R30,User!O30)</f>
        <v>2.7888537361361161E-2</v>
      </c>
    </row>
    <row r="285" spans="1:3" x14ac:dyDescent="0.25">
      <c r="A285" s="328" t="s">
        <v>789</v>
      </c>
      <c r="B285" s="324"/>
      <c r="C285" s="330">
        <f>IF(User!R31,User!R31,User!O31)</f>
        <v>2.6167916421318438E-2</v>
      </c>
    </row>
    <row r="286" spans="1:3" x14ac:dyDescent="0.25">
      <c r="A286" s="328" t="s">
        <v>791</v>
      </c>
      <c r="B286" s="324"/>
      <c r="C286" s="330">
        <f>IF(User!R32,User!R32,User!O32)</f>
        <v>2.7888537361361161E-2</v>
      </c>
    </row>
    <row r="287" spans="1:3" x14ac:dyDescent="0.25">
      <c r="A287" s="326" t="s">
        <v>794</v>
      </c>
      <c r="B287" s="324"/>
      <c r="C287" s="330">
        <f>IF(User!R34,User!R34,User!O34)</f>
        <v>0.3</v>
      </c>
    </row>
    <row r="288" spans="1:3" x14ac:dyDescent="0.25">
      <c r="A288" s="326" t="s">
        <v>796</v>
      </c>
      <c r="B288" s="324"/>
      <c r="C288" s="330">
        <f>IF(User!R35,User!R35,User!O35)</f>
        <v>0.3</v>
      </c>
    </row>
    <row r="289" spans="1:3" x14ac:dyDescent="0.25">
      <c r="A289" s="328" t="s">
        <v>802</v>
      </c>
      <c r="B289" s="324"/>
      <c r="C289" s="330">
        <f>IF(User!R36,User!R36,User!O36)</f>
        <v>0.24038307785619925</v>
      </c>
    </row>
    <row r="290" spans="1:3" x14ac:dyDescent="0.25">
      <c r="A290" s="326" t="s">
        <v>799</v>
      </c>
      <c r="B290" s="324"/>
      <c r="C290" s="330">
        <f>IF(User!R38,User!R38,User!O38)</f>
        <v>0.41051473830285101</v>
      </c>
    </row>
    <row r="291" spans="1:3" x14ac:dyDescent="0.25">
      <c r="A291" s="326" t="s">
        <v>800</v>
      </c>
      <c r="B291" s="324"/>
      <c r="C291" s="330">
        <f>IF(User!R39,User!R39,User!O39)</f>
        <v>0.385187477652077</v>
      </c>
    </row>
    <row r="292" spans="1:3" x14ac:dyDescent="0.25">
      <c r="A292" s="326" t="s">
        <v>804</v>
      </c>
      <c r="B292" s="324"/>
      <c r="C292" s="330">
        <f>IF(User!R40,User!R40,User!O40)</f>
        <v>0.41051473830285101</v>
      </c>
    </row>
  </sheetData>
  <sheetProtection algorithmName="SHA-512" hashValue="E5NmuNODJEboA4fvzKDlc1KKMCh80jpbE/bz9mFD5TipBbw9aJxo7LDoUkYwxZDPz3AINfgjOMQHg7yS3n1SOw==" saltValue="hsX3k3qD6mZCVlleoOqbnw==" spinCount="100000" sheet="1" objects="1" scenarios="1"/>
  <conditionalFormatting sqref="C45:C46 C142:D142 C151 C167:D167 C218:D218 C134:D134 C203:D203 C127:D127 C79:D79 C69:D69 C225:D225 C211:D211 C88:D90 H88:H90 F88:F90 C75:D75">
    <cfRule type="cellIs" dxfId="107" priority="134" operator="lessThan">
      <formula>0</formula>
    </cfRule>
  </conditionalFormatting>
  <conditionalFormatting sqref="C164">
    <cfRule type="cellIs" dxfId="106" priority="133" stopIfTrue="1" operator="greaterThan">
      <formula>0.465</formula>
    </cfRule>
  </conditionalFormatting>
  <conditionalFormatting sqref="D46">
    <cfRule type="cellIs" dxfId="105" priority="130" operator="lessThan">
      <formula>0</formula>
    </cfRule>
  </conditionalFormatting>
  <conditionalFormatting sqref="F218 F69 H69 F79 H79 F45:F46 H218 H203 F225 H45:H46 F127 H127 H225 F134 H134 F142 H142 F151 H151 F167 H167 F203 H211 F211 H75 F75">
    <cfRule type="cellIs" dxfId="104" priority="127" operator="lessThan">
      <formula>0</formula>
    </cfRule>
  </conditionalFormatting>
  <conditionalFormatting sqref="D151">
    <cfRule type="cellIs" dxfId="103" priority="128" operator="lessThan">
      <formula>0</formula>
    </cfRule>
  </conditionalFormatting>
  <conditionalFormatting sqref="C51">
    <cfRule type="cellIs" dxfId="102" priority="124" operator="lessThan">
      <formula>0</formula>
    </cfRule>
  </conditionalFormatting>
  <conditionalFormatting sqref="F164 H164">
    <cfRule type="cellIs" dxfId="101" priority="126" stopIfTrue="1" operator="greaterThan">
      <formula>0.465</formula>
    </cfRule>
  </conditionalFormatting>
  <conditionalFormatting sqref="F171 H171">
    <cfRule type="cellIs" dxfId="100" priority="106" operator="lessThan">
      <formula>0</formula>
    </cfRule>
  </conditionalFormatting>
  <conditionalFormatting sqref="F51 H51">
    <cfRule type="cellIs" dxfId="99" priority="123" operator="lessThan">
      <formula>0</formula>
    </cfRule>
  </conditionalFormatting>
  <conditionalFormatting sqref="C52">
    <cfRule type="cellIs" dxfId="98" priority="122" operator="lessThan">
      <formula>0</formula>
    </cfRule>
  </conditionalFormatting>
  <conditionalFormatting sqref="D52">
    <cfRule type="cellIs" dxfId="97" priority="121" operator="lessThan">
      <formula>0</formula>
    </cfRule>
  </conditionalFormatting>
  <conditionalFormatting sqref="F52 H52">
    <cfRule type="cellIs" dxfId="96" priority="120" operator="lessThan">
      <formula>0</formula>
    </cfRule>
  </conditionalFormatting>
  <conditionalFormatting sqref="C95:C97">
    <cfRule type="cellIs" dxfId="95" priority="119" operator="lessThan">
      <formula>0</formula>
    </cfRule>
  </conditionalFormatting>
  <conditionalFormatting sqref="D95:D97">
    <cfRule type="cellIs" dxfId="94" priority="118" operator="lessThan">
      <formula>0</formula>
    </cfRule>
  </conditionalFormatting>
  <conditionalFormatting sqref="H95:H97 F95:F97">
    <cfRule type="cellIs" dxfId="93" priority="117" operator="lessThan">
      <formula>0</formula>
    </cfRule>
  </conditionalFormatting>
  <conditionalFormatting sqref="C123:D123">
    <cfRule type="cellIs" dxfId="92" priority="116" operator="lessThan">
      <formula>0</formula>
    </cfRule>
  </conditionalFormatting>
  <conditionalFormatting sqref="F123 H123">
    <cfRule type="cellIs" dxfId="91" priority="115" operator="lessThan">
      <formula>0</formula>
    </cfRule>
  </conditionalFormatting>
  <conditionalFormatting sqref="C155">
    <cfRule type="cellIs" dxfId="90" priority="114" operator="lessThan">
      <formula>0</formula>
    </cfRule>
  </conditionalFormatting>
  <conditionalFormatting sqref="F155 H155">
    <cfRule type="cellIs" dxfId="89" priority="112" operator="lessThan">
      <formula>0</formula>
    </cfRule>
  </conditionalFormatting>
  <conditionalFormatting sqref="D155">
    <cfRule type="cellIs" dxfId="88" priority="113" operator="lessThan">
      <formula>0</formula>
    </cfRule>
  </conditionalFormatting>
  <conditionalFormatting sqref="C168">
    <cfRule type="cellIs" dxfId="87" priority="111" stopIfTrue="1" operator="greaterThan">
      <formula>0.465</formula>
    </cfRule>
  </conditionalFormatting>
  <conditionalFormatting sqref="C168">
    <cfRule type="cellIs" dxfId="86" priority="110" stopIfTrue="1" operator="greaterThan">
      <formula>0.465</formula>
    </cfRule>
  </conditionalFormatting>
  <conditionalFormatting sqref="F168 H168">
    <cfRule type="cellIs" dxfId="85" priority="109" stopIfTrue="1" operator="greaterThan">
      <formula>0.465</formula>
    </cfRule>
  </conditionalFormatting>
  <conditionalFormatting sqref="F168 H168">
    <cfRule type="cellIs" dxfId="84" priority="108" stopIfTrue="1" operator="greaterThan">
      <formula>0.465</formula>
    </cfRule>
  </conditionalFormatting>
  <conditionalFormatting sqref="C171:D171">
    <cfRule type="cellIs" dxfId="83" priority="107" operator="lessThan">
      <formula>0</formula>
    </cfRule>
  </conditionalFormatting>
  <conditionalFormatting sqref="F179 H179">
    <cfRule type="cellIs" dxfId="82" priority="94" operator="lessThan">
      <formula>0</formula>
    </cfRule>
  </conditionalFormatting>
  <conditionalFormatting sqref="C172">
    <cfRule type="cellIs" dxfId="81" priority="105" stopIfTrue="1" operator="greaterThan">
      <formula>0.465</formula>
    </cfRule>
  </conditionalFormatting>
  <conditionalFormatting sqref="C172">
    <cfRule type="cellIs" dxfId="80" priority="104" stopIfTrue="1" operator="greaterThan">
      <formula>0.465</formula>
    </cfRule>
  </conditionalFormatting>
  <conditionalFormatting sqref="F172 H172">
    <cfRule type="cellIs" dxfId="79" priority="103" stopIfTrue="1" operator="greaterThan">
      <formula>0.465</formula>
    </cfRule>
  </conditionalFormatting>
  <conditionalFormatting sqref="F172 H172">
    <cfRule type="cellIs" dxfId="78" priority="102" stopIfTrue="1" operator="greaterThan">
      <formula>0.465</formula>
    </cfRule>
  </conditionalFormatting>
  <conditionalFormatting sqref="C175:D175">
    <cfRule type="cellIs" dxfId="77" priority="101" operator="lessThan">
      <formula>0</formula>
    </cfRule>
  </conditionalFormatting>
  <conditionalFormatting sqref="F175 H175">
    <cfRule type="cellIs" dxfId="76" priority="100" operator="lessThan">
      <formula>0</formula>
    </cfRule>
  </conditionalFormatting>
  <conditionalFormatting sqref="C176">
    <cfRule type="cellIs" dxfId="75" priority="99" stopIfTrue="1" operator="greaterThan">
      <formula>0.465</formula>
    </cfRule>
  </conditionalFormatting>
  <conditionalFormatting sqref="C176">
    <cfRule type="cellIs" dxfId="74" priority="98" stopIfTrue="1" operator="greaterThan">
      <formula>0.465</formula>
    </cfRule>
  </conditionalFormatting>
  <conditionalFormatting sqref="F176 H176">
    <cfRule type="cellIs" dxfId="73" priority="97" stopIfTrue="1" operator="greaterThan">
      <formula>0.465</formula>
    </cfRule>
  </conditionalFormatting>
  <conditionalFormatting sqref="F176 H176">
    <cfRule type="cellIs" dxfId="72" priority="96" stopIfTrue="1" operator="greaterThan">
      <formula>0.465</formula>
    </cfRule>
  </conditionalFormatting>
  <conditionalFormatting sqref="C179:D179">
    <cfRule type="cellIs" dxfId="71" priority="95" operator="lessThan">
      <formula>0</formula>
    </cfRule>
  </conditionalFormatting>
  <conditionalFormatting sqref="C180">
    <cfRule type="cellIs" dxfId="70" priority="93" stopIfTrue="1" operator="greaterThan">
      <formula>0.465</formula>
    </cfRule>
  </conditionalFormatting>
  <conditionalFormatting sqref="C180">
    <cfRule type="cellIs" dxfId="69" priority="92" stopIfTrue="1" operator="greaterThan">
      <formula>0.465</formula>
    </cfRule>
  </conditionalFormatting>
  <conditionalFormatting sqref="F180 H180">
    <cfRule type="cellIs" dxfId="68" priority="91" stopIfTrue="1" operator="greaterThan">
      <formula>0.465</formula>
    </cfRule>
  </conditionalFormatting>
  <conditionalFormatting sqref="F180 H180">
    <cfRule type="cellIs" dxfId="67" priority="90" stopIfTrue="1" operator="greaterThan">
      <formula>0.465</formula>
    </cfRule>
  </conditionalFormatting>
  <conditionalFormatting sqref="C183:D183">
    <cfRule type="cellIs" dxfId="66" priority="89" operator="lessThan">
      <formula>0</formula>
    </cfRule>
  </conditionalFormatting>
  <conditionalFormatting sqref="F183 H183">
    <cfRule type="cellIs" dxfId="65" priority="88" operator="lessThan">
      <formula>0</formula>
    </cfRule>
  </conditionalFormatting>
  <conditionalFormatting sqref="F64 H64">
    <cfRule type="cellIs" dxfId="64" priority="72" operator="lessThan">
      <formula>0</formula>
    </cfRule>
  </conditionalFormatting>
  <conditionalFormatting sqref="H109:H111 F109:F111">
    <cfRule type="cellIs" dxfId="63" priority="64" operator="lessThan">
      <formula>0</formula>
    </cfRule>
  </conditionalFormatting>
  <conditionalFormatting sqref="F163 H163">
    <cfRule type="cellIs" dxfId="62" priority="52" operator="lessThan">
      <formula>0</formula>
    </cfRule>
  </conditionalFormatting>
  <conditionalFormatting sqref="C57">
    <cfRule type="cellIs" dxfId="61" priority="81" operator="lessThan">
      <formula>0</formula>
    </cfRule>
  </conditionalFormatting>
  <conditionalFormatting sqref="C58">
    <cfRule type="cellIs" dxfId="60" priority="80" operator="lessThan">
      <formula>0</formula>
    </cfRule>
  </conditionalFormatting>
  <conditionalFormatting sqref="C63">
    <cfRule type="cellIs" dxfId="59" priority="79" operator="lessThan">
      <formula>0</formula>
    </cfRule>
  </conditionalFormatting>
  <conditionalFormatting sqref="C64">
    <cfRule type="cellIs" dxfId="58" priority="78" operator="lessThan">
      <formula>0</formula>
    </cfRule>
  </conditionalFormatting>
  <conditionalFormatting sqref="F57 H57">
    <cfRule type="cellIs" dxfId="57" priority="77" operator="lessThan">
      <formula>0</formula>
    </cfRule>
  </conditionalFormatting>
  <conditionalFormatting sqref="D58">
    <cfRule type="cellIs" dxfId="56" priority="76" operator="lessThan">
      <formula>0</formula>
    </cfRule>
  </conditionalFormatting>
  <conditionalFormatting sqref="F58 H58">
    <cfRule type="cellIs" dxfId="55" priority="75" operator="lessThan">
      <formula>0</formula>
    </cfRule>
  </conditionalFormatting>
  <conditionalFormatting sqref="F63 H63">
    <cfRule type="cellIs" dxfId="54" priority="74" operator="lessThan">
      <formula>0</formula>
    </cfRule>
  </conditionalFormatting>
  <conditionalFormatting sqref="D64">
    <cfRule type="cellIs" dxfId="53" priority="73" operator="lessThan">
      <formula>0</formula>
    </cfRule>
  </conditionalFormatting>
  <conditionalFormatting sqref="C102:C104">
    <cfRule type="cellIs" dxfId="52" priority="70" operator="lessThan">
      <formula>0</formula>
    </cfRule>
  </conditionalFormatting>
  <conditionalFormatting sqref="D102:D104">
    <cfRule type="cellIs" dxfId="51" priority="69" operator="lessThan">
      <formula>0</formula>
    </cfRule>
  </conditionalFormatting>
  <conditionalFormatting sqref="H102:H104 F102:F104">
    <cfRule type="cellIs" dxfId="50" priority="68" operator="lessThan">
      <formula>0</formula>
    </cfRule>
  </conditionalFormatting>
  <conditionalFormatting sqref="C109:C111">
    <cfRule type="cellIs" dxfId="49" priority="66" operator="lessThan">
      <formula>0</formula>
    </cfRule>
  </conditionalFormatting>
  <conditionalFormatting sqref="D109:D111">
    <cfRule type="cellIs" dxfId="48" priority="65" operator="lessThan">
      <formula>0</formula>
    </cfRule>
  </conditionalFormatting>
  <conditionalFormatting sqref="C159">
    <cfRule type="cellIs" dxfId="47" priority="60" operator="lessThan">
      <formula>0</formula>
    </cfRule>
  </conditionalFormatting>
  <conditionalFormatting sqref="F159 H159">
    <cfRule type="cellIs" dxfId="46" priority="58" operator="lessThan">
      <formula>0</formula>
    </cfRule>
  </conditionalFormatting>
  <conditionalFormatting sqref="D159">
    <cfRule type="cellIs" dxfId="45" priority="59" operator="lessThan">
      <formula>0</formula>
    </cfRule>
  </conditionalFormatting>
  <conditionalFormatting sqref="C163">
    <cfRule type="cellIs" dxfId="44" priority="54" operator="lessThan">
      <formula>0</formula>
    </cfRule>
  </conditionalFormatting>
  <conditionalFormatting sqref="D163">
    <cfRule type="cellIs" dxfId="43" priority="53" operator="lessThan">
      <formula>0</formula>
    </cfRule>
  </conditionalFormatting>
  <conditionalFormatting sqref="C184">
    <cfRule type="cellIs" dxfId="42" priority="49" stopIfTrue="1" operator="greaterThan">
      <formula>0.465</formula>
    </cfRule>
  </conditionalFormatting>
  <conditionalFormatting sqref="C184">
    <cfRule type="cellIs" dxfId="41" priority="48" stopIfTrue="1" operator="greaterThan">
      <formula>0.465</formula>
    </cfRule>
  </conditionalFormatting>
  <conditionalFormatting sqref="F184 H184">
    <cfRule type="cellIs" dxfId="40" priority="47" stopIfTrue="1" operator="greaterThan">
      <formula>0.465</formula>
    </cfRule>
  </conditionalFormatting>
  <conditionalFormatting sqref="F184 H184">
    <cfRule type="cellIs" dxfId="39" priority="46" stopIfTrue="1" operator="greaterThan">
      <formula>0.465</formula>
    </cfRule>
  </conditionalFormatting>
  <conditionalFormatting sqref="C187:D187">
    <cfRule type="cellIs" dxfId="38" priority="45" operator="lessThan">
      <formula>0</formula>
    </cfRule>
  </conditionalFormatting>
  <conditionalFormatting sqref="F187 H187">
    <cfRule type="cellIs" dxfId="37" priority="44" operator="lessThan">
      <formula>0</formula>
    </cfRule>
  </conditionalFormatting>
  <conditionalFormatting sqref="C188">
    <cfRule type="cellIs" dxfId="36" priority="41" stopIfTrue="1" operator="greaterThan">
      <formula>0.465</formula>
    </cfRule>
  </conditionalFormatting>
  <conditionalFormatting sqref="C188">
    <cfRule type="cellIs" dxfId="35" priority="40" stopIfTrue="1" operator="greaterThan">
      <formula>0.465</formula>
    </cfRule>
  </conditionalFormatting>
  <conditionalFormatting sqref="F188 H188">
    <cfRule type="cellIs" dxfId="34" priority="39" stopIfTrue="1" operator="greaterThan">
      <formula>0.465</formula>
    </cfRule>
  </conditionalFormatting>
  <conditionalFormatting sqref="F188 H188">
    <cfRule type="cellIs" dxfId="33" priority="38" stopIfTrue="1" operator="greaterThan">
      <formula>0.465</formula>
    </cfRule>
  </conditionalFormatting>
  <conditionalFormatting sqref="C191:D191">
    <cfRule type="cellIs" dxfId="32" priority="37" operator="lessThan">
      <formula>0</formula>
    </cfRule>
  </conditionalFormatting>
  <conditionalFormatting sqref="F191 H191">
    <cfRule type="cellIs" dxfId="31" priority="36" operator="lessThan">
      <formula>0</formula>
    </cfRule>
  </conditionalFormatting>
  <conditionalFormatting sqref="C192">
    <cfRule type="cellIs" dxfId="30" priority="33" stopIfTrue="1" operator="greaterThan">
      <formula>0.465</formula>
    </cfRule>
  </conditionalFormatting>
  <conditionalFormatting sqref="C192">
    <cfRule type="cellIs" dxfId="29" priority="32" stopIfTrue="1" operator="greaterThan">
      <formula>0.465</formula>
    </cfRule>
  </conditionalFormatting>
  <conditionalFormatting sqref="F192 H192">
    <cfRule type="cellIs" dxfId="28" priority="31" stopIfTrue="1" operator="greaterThan">
      <formula>0.465</formula>
    </cfRule>
  </conditionalFormatting>
  <conditionalFormatting sqref="F192 H192">
    <cfRule type="cellIs" dxfId="27" priority="30" stopIfTrue="1" operator="greaterThan">
      <formula>0.465</formula>
    </cfRule>
  </conditionalFormatting>
  <conditionalFormatting sqref="C195:D195">
    <cfRule type="cellIs" dxfId="26" priority="29" operator="lessThan">
      <formula>0</formula>
    </cfRule>
  </conditionalFormatting>
  <conditionalFormatting sqref="F195 H195">
    <cfRule type="cellIs" dxfId="25" priority="28" operator="lessThan">
      <formula>0</formula>
    </cfRule>
  </conditionalFormatting>
  <conditionalFormatting sqref="C196">
    <cfRule type="cellIs" dxfId="24" priority="25" stopIfTrue="1" operator="greaterThan">
      <formula>0.465</formula>
    </cfRule>
  </conditionalFormatting>
  <conditionalFormatting sqref="C196">
    <cfRule type="cellIs" dxfId="23" priority="24" stopIfTrue="1" operator="greaterThan">
      <formula>0.465</formula>
    </cfRule>
  </conditionalFormatting>
  <conditionalFormatting sqref="F196 H196">
    <cfRule type="cellIs" dxfId="22" priority="23" stopIfTrue="1" operator="greaterThan">
      <formula>0.465</formula>
    </cfRule>
  </conditionalFormatting>
  <conditionalFormatting sqref="F196 H196">
    <cfRule type="cellIs" dxfId="21" priority="22" stopIfTrue="1" operator="greaterThan">
      <formula>0.465</formula>
    </cfRule>
  </conditionalFormatting>
  <conditionalFormatting sqref="C199:D199">
    <cfRule type="cellIs" dxfId="20" priority="21" operator="lessThan">
      <formula>0</formula>
    </cfRule>
  </conditionalFormatting>
  <conditionalFormatting sqref="F199 H199">
    <cfRule type="cellIs" dxfId="19" priority="20" operator="lessThan">
      <formula>0</formula>
    </cfRule>
  </conditionalFormatting>
  <conditionalFormatting sqref="C117:D117 F117 H117">
    <cfRule type="cellIs" dxfId="18" priority="19" operator="lessThan">
      <formula>0</formula>
    </cfRule>
  </conditionalFormatting>
  <conditionalFormatting sqref="C74:D74">
    <cfRule type="cellIs" dxfId="17" priority="18" operator="lessThan">
      <formula>0</formula>
    </cfRule>
  </conditionalFormatting>
  <conditionalFormatting sqref="F74 H74">
    <cfRule type="cellIs" dxfId="16" priority="17" operator="lessThan">
      <formula>0</formula>
    </cfRule>
  </conditionalFormatting>
  <conditionalFormatting sqref="C83:D83">
    <cfRule type="cellIs" dxfId="15" priority="16" operator="lessThan">
      <formula>0</formula>
    </cfRule>
  </conditionalFormatting>
  <conditionalFormatting sqref="F83 H83">
    <cfRule type="cellIs" dxfId="14" priority="15" operator="lessThan">
      <formula>0</formula>
    </cfRule>
  </conditionalFormatting>
  <conditionalFormatting sqref="C131:D131">
    <cfRule type="cellIs" dxfId="13" priority="14" operator="lessThan">
      <formula>0</formula>
    </cfRule>
  </conditionalFormatting>
  <conditionalFormatting sqref="F131 H131">
    <cfRule type="cellIs" dxfId="12" priority="13" operator="lessThan">
      <formula>0</formula>
    </cfRule>
  </conditionalFormatting>
  <conditionalFormatting sqref="C137:D137">
    <cfRule type="cellIs" dxfId="11" priority="12" operator="lessThan">
      <formula>0</formula>
    </cfRule>
  </conditionalFormatting>
  <conditionalFormatting sqref="F137 H137">
    <cfRule type="cellIs" dxfId="10" priority="11" operator="lessThan">
      <formula>0</formula>
    </cfRule>
  </conditionalFormatting>
  <conditionalFormatting sqref="C147:D147">
    <cfRule type="cellIs" dxfId="9" priority="10" operator="lessThan">
      <formula>0</formula>
    </cfRule>
  </conditionalFormatting>
  <conditionalFormatting sqref="F147 H147">
    <cfRule type="cellIs" dxfId="8" priority="9" operator="lessThan">
      <formula>0</formula>
    </cfRule>
  </conditionalFormatting>
  <conditionalFormatting sqref="C207:D207">
    <cfRule type="cellIs" dxfId="7" priority="8" operator="lessThan">
      <formula>0</formula>
    </cfRule>
  </conditionalFormatting>
  <conditionalFormatting sqref="H207 F207">
    <cfRule type="cellIs" dxfId="6" priority="7" operator="lessThan">
      <formula>0</formula>
    </cfRule>
  </conditionalFormatting>
  <conditionalFormatting sqref="C215:D215">
    <cfRule type="cellIs" dxfId="5" priority="6" operator="lessThan">
      <formula>0</formula>
    </cfRule>
  </conditionalFormatting>
  <conditionalFormatting sqref="H215 F215">
    <cfRule type="cellIs" dxfId="4" priority="5" operator="lessThan">
      <formula>0</formula>
    </cfRule>
  </conditionalFormatting>
  <conditionalFormatting sqref="C221:D221">
    <cfRule type="cellIs" dxfId="3" priority="4" operator="lessThan">
      <formula>0</formula>
    </cfRule>
  </conditionalFormatting>
  <conditionalFormatting sqref="F221 H221">
    <cfRule type="cellIs" dxfId="2" priority="3" operator="lessThan">
      <formula>0</formula>
    </cfRule>
  </conditionalFormatting>
  <conditionalFormatting sqref="C229:D229">
    <cfRule type="cellIs" dxfId="1" priority="2" operator="lessThan">
      <formula>0</formula>
    </cfRule>
  </conditionalFormatting>
  <conditionalFormatting sqref="F229 H229">
    <cfRule type="cellIs" dxfId="0" priority="1" operator="lessThan">
      <formula>0</formula>
    </cfRule>
  </conditionalFormatting>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F32"/>
  <sheetViews>
    <sheetView workbookViewId="0">
      <selection activeCell="C10" sqref="C10"/>
    </sheetView>
  </sheetViews>
  <sheetFormatPr defaultRowHeight="15" x14ac:dyDescent="0.25"/>
  <cols>
    <col min="2" max="2" width="19.85546875" customWidth="1"/>
    <col min="3" max="3" width="61.5703125" customWidth="1"/>
    <col min="4" max="4" width="12.7109375" customWidth="1"/>
    <col min="5" max="5" width="12.42578125" customWidth="1"/>
  </cols>
  <sheetData>
    <row r="6" spans="2:6" x14ac:dyDescent="0.25">
      <c r="B6" t="s">
        <v>908</v>
      </c>
    </row>
    <row r="7" spans="2:6" x14ac:dyDescent="0.25">
      <c r="D7" s="68" t="s">
        <v>607</v>
      </c>
      <c r="E7" s="68" t="s">
        <v>895</v>
      </c>
      <c r="F7" s="68" t="s">
        <v>896</v>
      </c>
    </row>
    <row r="8" spans="2:6" x14ac:dyDescent="0.25">
      <c r="B8" s="345" t="s">
        <v>830</v>
      </c>
      <c r="C8" s="68" t="s">
        <v>897</v>
      </c>
      <c r="D8" s="139">
        <v>1</v>
      </c>
      <c r="E8" s="139">
        <v>1</v>
      </c>
      <c r="F8" s="139"/>
    </row>
    <row r="9" spans="2:6" x14ac:dyDescent="0.25">
      <c r="B9" s="346"/>
      <c r="C9" s="272" t="s">
        <v>898</v>
      </c>
      <c r="D9" s="68">
        <v>5</v>
      </c>
      <c r="E9" s="68">
        <v>5</v>
      </c>
      <c r="F9" s="68"/>
    </row>
    <row r="10" spans="2:6" x14ac:dyDescent="0.25">
      <c r="B10" s="346"/>
      <c r="C10" s="272" t="s">
        <v>899</v>
      </c>
      <c r="D10" s="68">
        <v>2</v>
      </c>
      <c r="E10" s="68">
        <v>2</v>
      </c>
      <c r="F10" s="68"/>
    </row>
    <row r="11" spans="2:6" x14ac:dyDescent="0.25">
      <c r="B11" s="346"/>
      <c r="C11" s="272" t="s">
        <v>900</v>
      </c>
      <c r="D11" s="68"/>
      <c r="E11" s="68"/>
      <c r="F11" s="68">
        <v>47</v>
      </c>
    </row>
    <row r="12" spans="2:6" x14ac:dyDescent="0.25">
      <c r="B12" s="347"/>
      <c r="C12" s="272" t="s">
        <v>901</v>
      </c>
      <c r="D12" s="68">
        <f>SUM(D8:D11)</f>
        <v>8</v>
      </c>
      <c r="E12" s="68">
        <f t="shared" ref="E12:F12" si="0">SUM(E8:E11)</f>
        <v>8</v>
      </c>
      <c r="F12" s="68">
        <f t="shared" si="0"/>
        <v>47</v>
      </c>
    </row>
    <row r="13" spans="2:6" x14ac:dyDescent="0.25">
      <c r="B13" s="68" t="s">
        <v>864</v>
      </c>
      <c r="C13" s="68"/>
      <c r="D13" s="122">
        <v>0</v>
      </c>
      <c r="E13" s="122">
        <v>0</v>
      </c>
      <c r="F13" s="68">
        <v>0</v>
      </c>
    </row>
    <row r="17" spans="2:5" x14ac:dyDescent="0.25">
      <c r="B17" t="s">
        <v>909</v>
      </c>
      <c r="C17" t="s">
        <v>931</v>
      </c>
      <c r="E17" s="127"/>
    </row>
    <row r="18" spans="2:5" x14ac:dyDescent="0.25">
      <c r="E18" s="127"/>
    </row>
    <row r="19" spans="2:5" x14ac:dyDescent="0.25">
      <c r="B19" t="s">
        <v>910</v>
      </c>
      <c r="C19" s="273" t="s">
        <v>925</v>
      </c>
      <c r="D19" s="273"/>
      <c r="E19" s="127"/>
    </row>
    <row r="20" spans="2:5" x14ac:dyDescent="0.25">
      <c r="B20" t="s">
        <v>915</v>
      </c>
      <c r="C20" s="273" t="s">
        <v>924</v>
      </c>
      <c r="D20" s="273"/>
      <c r="E20" s="127"/>
    </row>
    <row r="21" spans="2:5" x14ac:dyDescent="0.25">
      <c r="B21" t="s">
        <v>926</v>
      </c>
      <c r="C21" s="304" t="s">
        <v>930</v>
      </c>
      <c r="E21" s="127"/>
    </row>
    <row r="22" spans="2:5" x14ac:dyDescent="0.25">
      <c r="B22" t="s">
        <v>932</v>
      </c>
      <c r="C22" s="273" t="s">
        <v>933</v>
      </c>
    </row>
    <row r="23" spans="2:5" x14ac:dyDescent="0.25">
      <c r="B23" t="s">
        <v>934</v>
      </c>
      <c r="C23" s="273" t="s">
        <v>935</v>
      </c>
      <c r="D23" s="273"/>
    </row>
    <row r="32" spans="2:5" ht="14.25" customHeight="1" x14ac:dyDescent="0.25"/>
  </sheetData>
  <mergeCells count="1">
    <mergeCell ref="B8:B12"/>
  </mergeCell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V71"/>
  <sheetViews>
    <sheetView zoomScaleNormal="100" workbookViewId="0">
      <pane xSplit="2" ySplit="1" topLeftCell="C22" activePane="bottomRight" state="frozen"/>
      <selection pane="topRight" activeCell="C1" sqref="C1"/>
      <selection pane="bottomLeft" activeCell="A3" sqref="A3"/>
      <selection pane="bottomRight" activeCell="L39" sqref="L39"/>
    </sheetView>
  </sheetViews>
  <sheetFormatPr defaultColWidth="9.140625" defaultRowHeight="15" x14ac:dyDescent="0.25"/>
  <cols>
    <col min="1" max="1" width="2.7109375" style="127" customWidth="1"/>
    <col min="2" max="2" width="37.5703125" style="127" customWidth="1"/>
    <col min="3" max="3" width="10.42578125" style="96" customWidth="1"/>
    <col min="4" max="7" width="10.42578125" style="127" customWidth="1"/>
    <col min="8" max="8" width="10.42578125" style="64" customWidth="1"/>
    <col min="9" max="12" width="10.42578125" style="127" customWidth="1"/>
    <col min="13" max="14" width="10.42578125" style="64" customWidth="1"/>
    <col min="15" max="17" width="10.42578125" style="127" customWidth="1"/>
    <col min="18" max="18" width="10.42578125" style="64" customWidth="1"/>
    <col min="19" max="22" width="10.42578125" style="127" customWidth="1"/>
    <col min="23" max="16384" width="9.140625" style="127"/>
  </cols>
  <sheetData>
    <row r="1" spans="1:22" s="137" customFormat="1" x14ac:dyDescent="0.25">
      <c r="A1" s="134"/>
      <c r="B1" s="135"/>
      <c r="C1" s="79">
        <v>2004</v>
      </c>
      <c r="D1" s="80">
        <v>2005</v>
      </c>
      <c r="E1" s="80">
        <v>2006</v>
      </c>
      <c r="F1" s="80">
        <v>2007</v>
      </c>
      <c r="G1" s="80">
        <v>2008</v>
      </c>
      <c r="H1" s="80">
        <v>2009</v>
      </c>
      <c r="I1" s="80">
        <v>2010</v>
      </c>
      <c r="J1" s="80">
        <v>2011</v>
      </c>
      <c r="K1" s="80">
        <v>2012</v>
      </c>
      <c r="L1" s="80">
        <v>2013</v>
      </c>
      <c r="M1" s="80">
        <v>2014</v>
      </c>
      <c r="N1" s="80">
        <v>2015</v>
      </c>
      <c r="O1" s="80">
        <v>2016</v>
      </c>
      <c r="P1" s="80">
        <v>2017</v>
      </c>
      <c r="Q1" s="80">
        <v>2018</v>
      </c>
      <c r="R1" s="80">
        <v>2019</v>
      </c>
      <c r="S1" s="80">
        <v>2020</v>
      </c>
      <c r="T1" s="80">
        <v>2021</v>
      </c>
      <c r="U1" s="80">
        <v>2022</v>
      </c>
      <c r="V1" s="80">
        <v>2023</v>
      </c>
    </row>
    <row r="2" spans="1:22" x14ac:dyDescent="0.25">
      <c r="A2" s="86" t="s">
        <v>313</v>
      </c>
      <c r="B2" s="64"/>
      <c r="C2" s="87"/>
      <c r="D2" s="88"/>
      <c r="E2" s="88"/>
      <c r="F2" s="88"/>
      <c r="G2" s="88"/>
      <c r="H2" s="88"/>
      <c r="I2" s="64"/>
      <c r="J2" s="88"/>
      <c r="K2" s="88"/>
      <c r="L2" s="88"/>
      <c r="M2" s="88"/>
      <c r="O2" s="64"/>
      <c r="P2" s="88"/>
      <c r="Q2" s="88"/>
      <c r="R2" s="88"/>
      <c r="S2" s="88"/>
      <c r="T2" s="64"/>
      <c r="V2" s="64"/>
    </row>
    <row r="3" spans="1:22" x14ac:dyDescent="0.25">
      <c r="A3" s="82"/>
      <c r="B3" s="64" t="s">
        <v>124</v>
      </c>
      <c r="C3" s="90">
        <f>Inc_2004*init_prop_Asympt_NoCare</f>
        <v>37328.860303712914</v>
      </c>
      <c r="D3" s="91">
        <f>(C3*pAsympt_NoCare_2004_2006)+Inc_2005</f>
        <v>35944.615059052026</v>
      </c>
      <c r="E3" s="91">
        <f>(D3*pAsympt_NoCare_2004_2006)+Inc_2006</f>
        <v>34129.366234797257</v>
      </c>
      <c r="F3" s="91">
        <f>(E3*pAsympt_NoCare_2007_2009)+Inc_2007</f>
        <v>31815.830071853721</v>
      </c>
      <c r="G3" s="91">
        <f>(F3*pAsympt_NoCare_2007_2009)+Inc_2008</f>
        <v>29383.723194820872</v>
      </c>
      <c r="H3" s="91">
        <f>(G3*pAsympt_NoCare_2007_2009)+Inc_2009</f>
        <v>27210.270931858315</v>
      </c>
      <c r="I3" s="91">
        <f>(H3*pAsympt_NoCare_2010_2012)+Inc_2010</f>
        <v>25832.823639290818</v>
      </c>
      <c r="J3" s="91">
        <f>(I3*pAsympt_NoCare_2010_2012)+Inc_2011</f>
        <v>24959.85252502521</v>
      </c>
      <c r="K3" s="91">
        <f>(J3*pAsympt_NoCare_2010_2012)+Inc_2012</f>
        <v>24406.598276783407</v>
      </c>
      <c r="L3" s="91">
        <f t="shared" ref="L3:V3" si="0">(K3*pAsympt_NoCare_2013plus_u)+Inc_2013</f>
        <v>24055.967816971341</v>
      </c>
      <c r="M3" s="91">
        <f t="shared" si="0"/>
        <v>23833.752226691249</v>
      </c>
      <c r="N3" s="91">
        <f t="shared" si="0"/>
        <v>23692.920855138429</v>
      </c>
      <c r="O3" s="91">
        <f t="shared" si="0"/>
        <v>23603.667553025603</v>
      </c>
      <c r="P3" s="91">
        <f t="shared" si="0"/>
        <v>23547.102372624337</v>
      </c>
      <c r="Q3" s="91">
        <f t="shared" si="0"/>
        <v>23511.253619042276</v>
      </c>
      <c r="R3" s="91">
        <f t="shared" si="0"/>
        <v>23488.534109897766</v>
      </c>
      <c r="S3" s="91">
        <f t="shared" si="0"/>
        <v>23474.135391833948</v>
      </c>
      <c r="T3" s="91">
        <f t="shared" si="0"/>
        <v>23465.010059039007</v>
      </c>
      <c r="U3" s="91">
        <f t="shared" si="0"/>
        <v>23459.226787344309</v>
      </c>
      <c r="V3" s="91">
        <f t="shared" si="0"/>
        <v>23455.561580579113</v>
      </c>
    </row>
    <row r="4" spans="1:22" x14ac:dyDescent="0.25">
      <c r="A4" s="82"/>
      <c r="B4" s="64" t="s">
        <v>630</v>
      </c>
      <c r="C4" s="90">
        <f>Inc_2004*init_prop_Asympt_InCare</f>
        <v>8625.5137507233158</v>
      </c>
      <c r="D4" s="91">
        <f>(C3*pAsympt_NoCare_Asympt_InCare_2004_2006)+(C4*pAsympt_InCare_2004_2012)</f>
        <v>5881.1995157454367</v>
      </c>
      <c r="E4" s="91">
        <f>(D3*pAsympt_NoCare_Asympt_InCare_2004_2006)+(D4*pAsympt_InCare_2004_2012)</f>
        <v>4600.8538746215972</v>
      </c>
      <c r="F4" s="91">
        <f>(E3*pAsympt_NoCare_Asympt_InCare_2007_2009)+(E4*pAsympt_InCare_2004_2012)</f>
        <v>4542.3349259900533</v>
      </c>
      <c r="G4" s="91">
        <f>(F3*pAsympt_NoCare_Asympt_InCare_2007_2009)+(F4*pAsympt_InCare_2004_2012)</f>
        <v>4345.4301923503408</v>
      </c>
      <c r="H4" s="91">
        <f>(G3*pAsympt_NoCare_Asympt_InCare_2007_2009)+(G4*pAsympt_InCare_2004_2012)</f>
        <v>4079.1154033174189</v>
      </c>
      <c r="I4" s="91">
        <f>(H3*pAsympt_NoCare_Asympt_InCare_2010_2012)+(H4*pAsympt_InCare_2004_2012)</f>
        <v>3801.5367190100169</v>
      </c>
      <c r="J4" s="91">
        <f>(I3*pAsympt_NoCare_Asympt_InCare_2010_2012)+(I4*pAsympt_InCare_2004_2012)</f>
        <v>3577.9490597166414</v>
      </c>
      <c r="K4" s="91">
        <f>(J3*pAsympt_NoCare_Asympt_InCare_2010_2012)+(J4*pAsympt_InCare_2004_2012)</f>
        <v>3415.362192085453</v>
      </c>
      <c r="L4" s="91">
        <f t="shared" ref="L4:V4" si="1">(K3*pAsympt_NoCare_Asympt_InCare_2013plus_u)+(K4*pAsympt_InCare_2013plus_u)</f>
        <v>3303.1701285426861</v>
      </c>
      <c r="M4" s="91">
        <f t="shared" si="1"/>
        <v>3228.0578445187493</v>
      </c>
      <c r="N4" s="91">
        <f t="shared" si="1"/>
        <v>3178.6979779008598</v>
      </c>
      <c r="O4" s="91">
        <f t="shared" si="1"/>
        <v>3146.64598166215</v>
      </c>
      <c r="P4" s="91">
        <f t="shared" si="1"/>
        <v>3125.995475661518</v>
      </c>
      <c r="Q4" s="91">
        <f t="shared" si="1"/>
        <v>3112.7602546643966</v>
      </c>
      <c r="R4" s="91">
        <f t="shared" si="1"/>
        <v>3104.3075624579274</v>
      </c>
      <c r="S4" s="91">
        <f t="shared" si="1"/>
        <v>3098.9222193667129</v>
      </c>
      <c r="T4" s="91">
        <f t="shared" si="1"/>
        <v>3095.4967763517016</v>
      </c>
      <c r="U4" s="91">
        <f t="shared" si="1"/>
        <v>3093.3204222811128</v>
      </c>
      <c r="V4" s="91">
        <f t="shared" si="1"/>
        <v>3091.9387502525742</v>
      </c>
    </row>
    <row r="5" spans="1:22" x14ac:dyDescent="0.25">
      <c r="A5" s="82"/>
      <c r="B5" s="64" t="s">
        <v>570</v>
      </c>
      <c r="C5" s="93">
        <f>Inc_2004*init_prop_Asympt_LTFU</f>
        <v>3817.4396838476564</v>
      </c>
      <c r="D5" s="91">
        <f t="shared" ref="D5:K5" si="2">(C4*pAsympt_InCare_Asympt_LTFU_2004_2012)+(C5*pAsympt_LTFU_2004_2012)</f>
        <v>5168.124862056472</v>
      </c>
      <c r="E5" s="91">
        <f t="shared" si="2"/>
        <v>5218.4649705873035</v>
      </c>
      <c r="F5" s="91">
        <f t="shared" si="2"/>
        <v>4858.916368725454</v>
      </c>
      <c r="G5" s="91">
        <f t="shared" si="2"/>
        <v>4603.4398464294745</v>
      </c>
      <c r="H5" s="91">
        <f t="shared" si="2"/>
        <v>4374.2587873480752</v>
      </c>
      <c r="I5" s="91">
        <f t="shared" si="2"/>
        <v>4141.1542254728547</v>
      </c>
      <c r="J5" s="91">
        <f t="shared" si="2"/>
        <v>3902.0020287967718</v>
      </c>
      <c r="K5" s="91">
        <f t="shared" si="2"/>
        <v>3675.4188670674394</v>
      </c>
      <c r="L5" s="91">
        <f t="shared" ref="L5:V5" si="3">(K4*pAsympt_InCare_Asympt_LTFU_2013plus_u)+(K5*pAsympt_LTFU_2013plus_u)</f>
        <v>3438.7320236770211</v>
      </c>
      <c r="M5" s="91">
        <f t="shared" si="3"/>
        <v>3250.3436939997864</v>
      </c>
      <c r="N5" s="91">
        <f t="shared" si="3"/>
        <v>3104.750172061978</v>
      </c>
      <c r="O5" s="91">
        <f t="shared" si="3"/>
        <v>2994.8960333115738</v>
      </c>
      <c r="P5" s="91">
        <f t="shared" si="3"/>
        <v>2913.6008711857048</v>
      </c>
      <c r="Q5" s="91">
        <f t="shared" si="3"/>
        <v>2854.381674136042</v>
      </c>
      <c r="R5" s="91">
        <f t="shared" si="3"/>
        <v>2811.7981971456943</v>
      </c>
      <c r="S5" s="91">
        <f t="shared" si="3"/>
        <v>2781.5037622259633</v>
      </c>
      <c r="T5" s="91">
        <f t="shared" si="3"/>
        <v>2760.1445812678439</v>
      </c>
      <c r="U5" s="91">
        <f t="shared" si="3"/>
        <v>2745.1992047837603</v>
      </c>
      <c r="V5" s="91">
        <f t="shared" si="3"/>
        <v>2734.8093186548981</v>
      </c>
    </row>
    <row r="6" spans="1:22" x14ac:dyDescent="0.25">
      <c r="A6" s="82"/>
      <c r="B6" s="64" t="s">
        <v>127</v>
      </c>
      <c r="C6" s="125"/>
      <c r="D6" s="91"/>
      <c r="E6" s="91"/>
      <c r="F6" s="91"/>
      <c r="G6" s="91"/>
      <c r="H6" s="91"/>
      <c r="I6" s="91"/>
      <c r="J6" s="91"/>
      <c r="K6" s="91"/>
      <c r="L6" s="91"/>
      <c r="M6" s="91"/>
      <c r="N6" s="91"/>
      <c r="O6" s="91"/>
      <c r="P6" s="91"/>
      <c r="Q6" s="91"/>
      <c r="R6" s="91"/>
      <c r="S6" s="91"/>
      <c r="T6" s="91"/>
      <c r="U6" s="91"/>
      <c r="V6" s="91"/>
    </row>
    <row r="7" spans="1:22" x14ac:dyDescent="0.25">
      <c r="A7" s="82"/>
      <c r="B7" s="63" t="s">
        <v>128</v>
      </c>
      <c r="C7" s="141"/>
      <c r="D7" s="91">
        <f>(C3*pAsympt_NoCare_Asympt_Dead_2004_2006)</f>
        <v>678.82698251173133</v>
      </c>
      <c r="E7" s="91">
        <f>(D3*pAsympt_NoCare_Asympt_Dead_2004_2006)</f>
        <v>653.65442125901336</v>
      </c>
      <c r="F7" s="91">
        <f>(E3*pAsympt_NoCare_Asympt_Dead_2007_2009)</f>
        <v>620.64404076919516</v>
      </c>
      <c r="G7" s="91">
        <f>(F3*pAsympt_NoCare_Asympt_Dead_2007_2009)</f>
        <v>578.57228289485897</v>
      </c>
      <c r="H7" s="91">
        <f>(G3*pAsympt_NoCare_Asympt_Dead_2007_2009)</f>
        <v>534.344311318721</v>
      </c>
      <c r="I7" s="91">
        <f>(H3*pAsympt_NoCare_Asympt_Dead_2010_2012)</f>
        <v>494.81998538709286</v>
      </c>
      <c r="J7" s="91">
        <f>(I3*pAsympt_NoCare_Asympt_Dead_2010_2012)</f>
        <v>469.77104519511107</v>
      </c>
      <c r="K7" s="91">
        <f>(J3*pAsympt_NoCare_Asympt_Dead_2010_2012)</f>
        <v>453.89602671087715</v>
      </c>
      <c r="L7" s="91">
        <f t="shared" ref="L7:V7" si="4">(K3*pAsympt_NoCare_Asympt_Dead_2013plus_u)</f>
        <v>443.83507363488883</v>
      </c>
      <c r="M7" s="91">
        <f t="shared" si="4"/>
        <v>437.45884315063665</v>
      </c>
      <c r="N7" s="91">
        <f t="shared" si="4"/>
        <v>433.41784277212003</v>
      </c>
      <c r="O7" s="91">
        <f t="shared" si="4"/>
        <v>430.85681802568058</v>
      </c>
      <c r="P7" s="91">
        <f t="shared" si="4"/>
        <v>429.23374276274711</v>
      </c>
      <c r="Q7" s="91">
        <f t="shared" si="4"/>
        <v>428.2051024449176</v>
      </c>
      <c r="R7" s="91">
        <f t="shared" si="4"/>
        <v>427.5531912688752</v>
      </c>
      <c r="S7" s="91">
        <f t="shared" si="4"/>
        <v>427.14003598603949</v>
      </c>
      <c r="T7" s="91">
        <f t="shared" si="4"/>
        <v>426.8781946585579</v>
      </c>
      <c r="U7" s="91">
        <f t="shared" si="4"/>
        <v>426.71225007639799</v>
      </c>
      <c r="V7" s="91">
        <f t="shared" si="4"/>
        <v>426.60708102377714</v>
      </c>
    </row>
    <row r="8" spans="1:22" x14ac:dyDescent="0.25">
      <c r="A8" s="82"/>
      <c r="B8" s="63" t="s">
        <v>129</v>
      </c>
      <c r="C8" s="141"/>
      <c r="D8" s="91">
        <f t="shared" ref="D8:K8" si="5">(C4*pAsympt_InCare_Asympt_Dead_2004_2012)</f>
        <v>147.17794815340628</v>
      </c>
      <c r="E8" s="91">
        <f t="shared" si="5"/>
        <v>100.35145759701956</v>
      </c>
      <c r="F8" s="91">
        <f t="shared" si="5"/>
        <v>78.504800130157122</v>
      </c>
      <c r="G8" s="91">
        <f t="shared" si="5"/>
        <v>77.506285834476714</v>
      </c>
      <c r="H8" s="91">
        <f t="shared" si="5"/>
        <v>74.146481941478953</v>
      </c>
      <c r="I8" s="91">
        <f t="shared" si="5"/>
        <v>69.60232777912708</v>
      </c>
      <c r="J8" s="91">
        <f t="shared" si="5"/>
        <v>64.865976717828303</v>
      </c>
      <c r="K8" s="91">
        <f t="shared" si="5"/>
        <v>61.050879567880294</v>
      </c>
      <c r="L8" s="91">
        <f t="shared" ref="L8:V8" si="6">(K4*pAsympt_InCare_Asympt_Dead_2013plus_u)</f>
        <v>58.276644633452051</v>
      </c>
      <c r="M8" s="91">
        <f t="shared" si="6"/>
        <v>56.362300956249484</v>
      </c>
      <c r="N8" s="91">
        <f t="shared" si="6"/>
        <v>55.080653026254375</v>
      </c>
      <c r="O8" s="91">
        <f t="shared" si="6"/>
        <v>54.238421003919747</v>
      </c>
      <c r="P8" s="91">
        <f t="shared" si="6"/>
        <v>53.691514793233061</v>
      </c>
      <c r="Q8" s="91">
        <f t="shared" si="6"/>
        <v>53.339153277230871</v>
      </c>
      <c r="R8" s="91">
        <f t="shared" si="6"/>
        <v>53.113319463036341</v>
      </c>
      <c r="S8" s="91">
        <f t="shared" si="6"/>
        <v>52.969090385062159</v>
      </c>
      <c r="T8" s="91">
        <f t="shared" si="6"/>
        <v>52.877199772030494</v>
      </c>
      <c r="U8" s="91">
        <f t="shared" si="6"/>
        <v>52.818751117372265</v>
      </c>
      <c r="V8" s="91">
        <f t="shared" si="6"/>
        <v>52.781615784240635</v>
      </c>
    </row>
    <row r="9" spans="1:22" x14ac:dyDescent="0.25">
      <c r="A9" s="82"/>
      <c r="B9" s="63" t="s">
        <v>130</v>
      </c>
      <c r="C9" s="141"/>
      <c r="D9" s="91">
        <f t="shared" ref="D9:K9" si="7">(C5*pAsympt_LTFU_Asympt_Dead_2004_2012)</f>
        <v>69.420310194926856</v>
      </c>
      <c r="E9" s="91">
        <f t="shared" si="7"/>
        <v>93.982580148708777</v>
      </c>
      <c r="F9" s="91">
        <f t="shared" si="7"/>
        <v>94.898017258099941</v>
      </c>
      <c r="G9" s="91">
        <f t="shared" si="7"/>
        <v>88.359609964590504</v>
      </c>
      <c r="H9" s="91">
        <f t="shared" si="7"/>
        <v>83.713758060145381</v>
      </c>
      <c r="I9" s="91">
        <f t="shared" si="7"/>
        <v>79.546090322119241</v>
      </c>
      <c r="J9" s="91">
        <f t="shared" si="7"/>
        <v>75.307073511532707</v>
      </c>
      <c r="K9" s="91">
        <f t="shared" si="7"/>
        <v>70.95808019349856</v>
      </c>
      <c r="L9" s="91">
        <f t="shared" ref="L9:V9" si="8">(K5*pAsympt_LTFU_Asympt_Dead_2013plus_u)</f>
        <v>66.837655334200321</v>
      </c>
      <c r="M9" s="91">
        <f t="shared" si="8"/>
        <v>62.53349457515985</v>
      </c>
      <c r="N9" s="91">
        <f t="shared" si="8"/>
        <v>59.107644433078164</v>
      </c>
      <c r="O9" s="91">
        <f t="shared" si="8"/>
        <v>56.460019770386076</v>
      </c>
      <c r="P9" s="91">
        <f t="shared" si="8"/>
        <v>54.462317378252109</v>
      </c>
      <c r="Q9" s="91">
        <f t="shared" si="8"/>
        <v>52.983961244426702</v>
      </c>
      <c r="R9" s="91">
        <f t="shared" si="8"/>
        <v>51.90705751597315</v>
      </c>
      <c r="S9" s="91">
        <f t="shared" si="8"/>
        <v>51.132675095641389</v>
      </c>
      <c r="T9" s="91">
        <f t="shared" si="8"/>
        <v>50.58176945115769</v>
      </c>
      <c r="U9" s="91">
        <f t="shared" si="8"/>
        <v>50.193351796807818</v>
      </c>
      <c r="V9" s="91">
        <f t="shared" si="8"/>
        <v>49.921569461674935</v>
      </c>
    </row>
    <row r="10" spans="1:22" x14ac:dyDescent="0.25">
      <c r="A10" s="82"/>
      <c r="B10" s="63" t="s">
        <v>131</v>
      </c>
      <c r="C10" s="141"/>
      <c r="D10" s="91">
        <f t="shared" ref="D10:J10" si="9">SUM(D7:D9)</f>
        <v>895.42524086006449</v>
      </c>
      <c r="E10" s="91">
        <f t="shared" si="9"/>
        <v>847.98845900474169</v>
      </c>
      <c r="F10" s="91">
        <f t="shared" si="9"/>
        <v>794.04685815745222</v>
      </c>
      <c r="G10" s="91">
        <f t="shared" si="9"/>
        <v>744.43817869392615</v>
      </c>
      <c r="H10" s="91">
        <f t="shared" si="9"/>
        <v>692.20455132034544</v>
      </c>
      <c r="I10" s="91">
        <f t="shared" si="9"/>
        <v>643.96840348833916</v>
      </c>
      <c r="J10" s="91">
        <f t="shared" si="9"/>
        <v>609.94409542447215</v>
      </c>
      <c r="K10" s="91">
        <f t="shared" ref="K10:L10" si="10">SUM(K7:K9)</f>
        <v>585.90498647225593</v>
      </c>
      <c r="L10" s="91">
        <f t="shared" si="10"/>
        <v>568.94937360254119</v>
      </c>
      <c r="M10" s="91">
        <f t="shared" ref="M10:V10" si="11">SUM(M7:M9)</f>
        <v>556.35463868204602</v>
      </c>
      <c r="N10" s="91">
        <f t="shared" si="11"/>
        <v>547.60614023145251</v>
      </c>
      <c r="O10" s="91">
        <f t="shared" si="11"/>
        <v>541.5552587999864</v>
      </c>
      <c r="P10" s="91">
        <f t="shared" si="11"/>
        <v>537.38757493423225</v>
      </c>
      <c r="Q10" s="91">
        <f t="shared" si="11"/>
        <v>534.5282169665752</v>
      </c>
      <c r="R10" s="91">
        <f t="shared" si="11"/>
        <v>532.57356824788474</v>
      </c>
      <c r="S10" s="91">
        <f t="shared" si="11"/>
        <v>531.24180146674303</v>
      </c>
      <c r="T10" s="91">
        <f t="shared" si="11"/>
        <v>530.33716388174605</v>
      </c>
      <c r="U10" s="91">
        <f t="shared" si="11"/>
        <v>529.72435299057804</v>
      </c>
      <c r="V10" s="91">
        <f t="shared" si="11"/>
        <v>529.31026626969265</v>
      </c>
    </row>
    <row r="11" spans="1:22" x14ac:dyDescent="0.25">
      <c r="A11" s="86" t="s">
        <v>314</v>
      </c>
      <c r="B11" s="64"/>
      <c r="C11" s="117"/>
      <c r="D11" s="91"/>
      <c r="E11" s="91"/>
      <c r="F11" s="91"/>
      <c r="G11" s="91"/>
      <c r="H11" s="91"/>
      <c r="I11" s="91"/>
      <c r="J11" s="91"/>
      <c r="K11" s="91"/>
      <c r="L11" s="91"/>
      <c r="M11" s="91"/>
      <c r="N11" s="91"/>
      <c r="O11" s="91"/>
      <c r="P11" s="91"/>
      <c r="Q11" s="91"/>
      <c r="R11" s="91"/>
      <c r="S11" s="91"/>
      <c r="T11" s="91"/>
      <c r="U11" s="91"/>
      <c r="V11" s="91"/>
    </row>
    <row r="12" spans="1:22" x14ac:dyDescent="0.25">
      <c r="A12" s="82"/>
      <c r="B12" s="64" t="s">
        <v>124</v>
      </c>
      <c r="C12" s="90">
        <f>Inc_2004*init_prop_Int_NoCare</f>
        <v>24973.444837624658</v>
      </c>
      <c r="D12" s="91">
        <f>(C3*pAsympt_NoCare_Int_NoCare_2004_2006)+(C12*pInt_NoCare_2004_2006)</f>
        <v>20500.67140142811</v>
      </c>
      <c r="E12" s="91">
        <f>(D3*pAsympt_NoCare_Int_NoCare_2004_2006)+(D12*pInt_NoCare_2004_2006)</f>
        <v>17889.256500904768</v>
      </c>
      <c r="F12" s="91">
        <f>(E3*pAsympt_NoCare_Int_NoCare_2007_2009)+(E12*pInt_NoCare_2007_2009)</f>
        <v>15317.992209211909</v>
      </c>
      <c r="G12" s="91">
        <f>(F3*pAsympt_NoCare_Int_NoCare_2007_2009)+(F12*pInt_NoCare_2007_2009)</f>
        <v>13634.693039370628</v>
      </c>
      <c r="H12" s="91">
        <f>(G3*pAsympt_NoCare_Int_NoCare_2007_2009)+(G12*pInt_NoCare_2007_2009)</f>
        <v>12349.201182827517</v>
      </c>
      <c r="I12" s="91">
        <f>(H3*pAsympt_NoCare_Int_NoCare_2010_2012)+(H12*pInt_NoCare_2010_2012)</f>
        <v>11304.281357638176</v>
      </c>
      <c r="J12" s="91">
        <f>(I3*pAsympt_NoCare_Int_NoCare_2010_2012)+(I12*pInt_NoCare_2010_2012)</f>
        <v>10532.763265342432</v>
      </c>
      <c r="K12" s="91">
        <f>(J3*pAsympt_NoCare_Int_NoCare_2010_2012)+(J12*pInt_NoCare_2010_2012)</f>
        <v>9991.9255699909336</v>
      </c>
      <c r="L12" s="91">
        <f t="shared" ref="L12:V12" si="12">(K3*pAsympt_NoCare_Int_NoCare_2013plus_u)+(K12*pInt_NoCare_2013plus_u)</f>
        <v>9624.5363786477628</v>
      </c>
      <c r="M12" s="91">
        <f t="shared" si="12"/>
        <v>9380.0088118015756</v>
      </c>
      <c r="N12" s="91">
        <f t="shared" si="12"/>
        <v>9219.487242575553</v>
      </c>
      <c r="O12" s="91">
        <f t="shared" si="12"/>
        <v>9115.1205816359579</v>
      </c>
      <c r="P12" s="91">
        <f t="shared" si="12"/>
        <v>9047.7265486116703</v>
      </c>
      <c r="Q12" s="91">
        <f t="shared" si="12"/>
        <v>9004.421230137832</v>
      </c>
      <c r="R12" s="91">
        <f t="shared" si="12"/>
        <v>8976.6942295346271</v>
      </c>
      <c r="S12" s="91">
        <f t="shared" si="12"/>
        <v>8958.9881827291028</v>
      </c>
      <c r="T12" s="91">
        <f t="shared" si="12"/>
        <v>8947.7032907069515</v>
      </c>
      <c r="U12" s="91">
        <f t="shared" si="12"/>
        <v>8940.5212298243914</v>
      </c>
      <c r="V12" s="91">
        <f t="shared" si="12"/>
        <v>8935.9552154930025</v>
      </c>
    </row>
    <row r="13" spans="1:22" x14ac:dyDescent="0.25">
      <c r="A13" s="82"/>
      <c r="B13" s="64" t="s">
        <v>630</v>
      </c>
      <c r="C13" s="90">
        <f>Inc_2004*init_prop_Int_InCare</f>
        <v>6397.3001938886364</v>
      </c>
      <c r="D13" s="91">
        <f>(C3*pAsympt_NoCare_Int_InCare_2004_2006)+(C4*pAsympt_InCare_Int_InCare_2004_2012)+(C12*pInt_NoCare_Int_InCare_2004_2006)+(C13*pInt_InCare_2004_2012)</f>
        <v>7454.2224814028104</v>
      </c>
      <c r="E13" s="91">
        <f>(D3*pAsympt_NoCare_Int_InCare_2004_2006)+(D4*pAsympt_InCare_Int_InCare_2004_2012)+(D12*pInt_NoCare_Int_InCare_2004_2006)+(D13*pInt_InCare_2004_2012)</f>
        <v>6781.0646191510732</v>
      </c>
      <c r="F13" s="91">
        <f>(E3*pAsympt_NoCare_Int_InCare_2007_2009)+(E4*pAsympt_InCare_Int_InCare_2004_2012)+(E12*pInt_NoCare_Int_InCare_2007_2009)+(E13*pInt_InCare_2004_2012)</f>
        <v>7069.6106080620802</v>
      </c>
      <c r="G13" s="91">
        <f>(F3*pAsympt_NoCare_Int_InCare_2007_2009)+(F4*pAsympt_InCare_Int_InCare_2004_2012)+(F12*pInt_NoCare_Int_InCare_2007_2009)+(F13*pInt_InCare_2004_2012)</f>
        <v>6711.8767136755614</v>
      </c>
      <c r="H13" s="91">
        <f>(G3*pAsympt_NoCare_Int_InCare_2007_2009)+(G4*pAsympt_InCare_Int_InCare_2004_2012)+(G12*pInt_NoCare_Int_InCare_2007_2009)+(G13*pInt_InCare_2004_2012)</f>
        <v>6228.3296322877231</v>
      </c>
      <c r="I13" s="91">
        <f>(H3*pAsympt_NoCare_Int_InCare_2010_2012)+(H4*pAsympt_InCare_Int_InCare_2004_2012)+(H12*pInt_NoCare_Int_InCare_2010_2012)+(H13*pInt_InCare_2004_2012)</f>
        <v>5754.8551474772676</v>
      </c>
      <c r="J13" s="91">
        <f>(I3*pAsympt_NoCare_Int_InCare_2010_2012)+(I4*pAsympt_InCare_Int_InCare_2004_2012)+(I12*pInt_NoCare_Int_InCare_2010_2012)+(I13*pInt_InCare_2004_2012)</f>
        <v>5364.5580200390004</v>
      </c>
      <c r="K13" s="91">
        <f>(J3*pAsympt_NoCare_Int_InCare_2010_2012)+(J4*pAsympt_InCare_Int_InCare_2004_2012)+(J12*pInt_NoCare_Int_InCare_2010_2012)+(J13*pInt_InCare_2004_2012)</f>
        <v>5072.1704862731012</v>
      </c>
      <c r="L13" s="91">
        <f t="shared" ref="L13:V13" si="13">(K3*pAsympt_NoCare_Int_InCare_2013plus_u)+(K4*pAsympt_InCare_Int_InCare_2013plus_u)+(K12*pInt_NoCare_Int_InCare_2013plus_u)+(K13*pInt_InCare_2013plus_u)</f>
        <v>4865.2353821274946</v>
      </c>
      <c r="M13" s="91">
        <f t="shared" si="13"/>
        <v>4723.9026595016039</v>
      </c>
      <c r="N13" s="91">
        <f t="shared" si="13"/>
        <v>4629.5861833289246</v>
      </c>
      <c r="O13" s="91">
        <f t="shared" si="13"/>
        <v>4567.6133626098108</v>
      </c>
      <c r="P13" s="91">
        <f t="shared" si="13"/>
        <v>4527.3212827836942</v>
      </c>
      <c r="Q13" s="91">
        <f t="shared" si="13"/>
        <v>4501.3165736315395</v>
      </c>
      <c r="R13" s="91">
        <f t="shared" si="13"/>
        <v>4484.6191747799548</v>
      </c>
      <c r="S13" s="91">
        <f t="shared" si="13"/>
        <v>4473.9369291513131</v>
      </c>
      <c r="T13" s="91">
        <f t="shared" si="13"/>
        <v>4467.1206551931464</v>
      </c>
      <c r="U13" s="91">
        <f t="shared" si="13"/>
        <v>4462.7793402722427</v>
      </c>
      <c r="V13" s="91">
        <f t="shared" si="13"/>
        <v>4460.0180536091157</v>
      </c>
    </row>
    <row r="14" spans="1:22" x14ac:dyDescent="0.25">
      <c r="A14" s="82"/>
      <c r="B14" s="64" t="s">
        <v>132</v>
      </c>
      <c r="C14" s="94">
        <f>Inc_2004*init_prop_Int_ART1</f>
        <v>499.08600271353481</v>
      </c>
      <c r="D14" s="91">
        <f>(C3*pAsympt_NoCare_Int_ART1_2004_2006)+(C4*pAsympt_InCare_Int_ART1_2004_2012)+(C12*pInt_NoCare_Int_ART1_2004_2006)+(C13*pInt_InCare_Int_ART1_2004_2012)+(C14*pInt_ART1_2004_2012)+(C5*pAsympt_LTFU_Int_ART1_2004_2012)+(C23*pInt_LTFU_Int_ART1_2004_2012)</f>
        <v>2299.209312918696</v>
      </c>
      <c r="E14" s="91">
        <f>(D3*pAsympt_NoCare_Int_ART1_2004_2006)+(D4*pAsympt_InCare_Int_ART1_2004_2012)+(D12*pInt_NoCare_Int_ART1_2004_2006)+(D13*pInt_InCare_Int_ART1_2004_2012)+(D14*pInt_ART1_2004_2012)+(D5*pAsympt_LTFU_Int_ART1_2004_2012)+(D23*pInt_LTFU_Int_ART1_2004_2012)</f>
        <v>4404.6622598193253</v>
      </c>
      <c r="F14" s="91">
        <f>(E3*pAsympt_NoCare_Int_ART1_2007_2009)+(E4*pAsympt_InCare_Int_ART1_2004_2012)+(E12*pInt_NoCare_Int_ART1_2007_2009)+(E13*pInt_InCare_Int_ART1_2004_2012)+(E14*pInt_ART1_2004_2012)+(E5*pAsympt_LTFU_Int_ART1_2004_2012)+(E23*pInt_LTFU_Int_ART1_2004_2012)</f>
        <v>6462.0346163191389</v>
      </c>
      <c r="G14" s="91">
        <f>(F3*pAsympt_NoCare_Int_ART1_2007_2009)+(F4*pAsympt_InCare_Int_ART1_2004_2012)+(F12*pInt_NoCare_Int_ART1_2007_2009)+(F13*pInt_InCare_Int_ART1_2004_2012)+(F14*pInt_ART1_2004_2012)+(F5*pAsympt_LTFU_Int_ART1_2004_2012)+(F23*pInt_LTFU_Int_ART1_2004_2012)</f>
        <v>8503.4940796788851</v>
      </c>
      <c r="H14" s="91">
        <f>(G3*pAsympt_NoCare_Int_ART1_2007_2009)+(G4*pAsympt_InCare_Int_ART1_2004_2012)+(G12*pInt_NoCare_Int_ART1_2007_2009)+(G13*pInt_InCare_Int_ART1_2004_2012)+(G14*pInt_ART1_2004_2012)+(G5*pAsympt_LTFU_Int_ART1_2004_2012)+(G23*pInt_LTFU_Int_ART1_2004_2012)</f>
        <v>10428.014914081959</v>
      </c>
      <c r="I14" s="91">
        <f>(H3*pAsympt_NoCare_Int_ART1_2010_2012)+(H4*pAsympt_InCare_Int_ART1_2004_2012)+(H12*pInt_NoCare_Int_ART1_2010_2012)+(H13*pInt_InCare_Int_ART1_2004_2012)+(H14*pInt_ART1_2004_2012)+(H5*pAsympt_LTFU_Int_ART1_2004_2012)+(H23*pInt_LTFU_Int_ART1_2004_2012)</f>
        <v>12198.303815214915</v>
      </c>
      <c r="J14" s="91">
        <f>(I3*pAsympt_NoCare_Int_ART1_2010_2012)+(I4*pAsympt_InCare_Int_ART1_2004_2012)+(I12*pInt_NoCare_Int_ART1_2010_2012)+(I13*pInt_InCare_Int_ART1_2004_2012)+(I14*pInt_ART1_2004_2012)+(I5*pAsympt_LTFU_Int_ART1_2004_2012)+(I23*pInt_LTFU_Int_ART1_2004_2012)</f>
        <v>13805.453763251333</v>
      </c>
      <c r="K14" s="91">
        <f>(J3*pAsympt_NoCare_Int_ART1_2010_2012)+(J4*pAsympt_InCare_Int_ART1_2004_2012)+(J12*pInt_NoCare_Int_ART1_2010_2012)+(J13*pInt_InCare_Int_ART1_2004_2012)+(J14*pInt_ART1_2004_2012)+(J5*pAsympt_LTFU_Int_ART1_2004_2012)+(J23*pInt_LTFU_Int_ART1_2004_2012)</f>
        <v>15259.913839575041</v>
      </c>
      <c r="L14" s="91">
        <f t="shared" ref="L14:V14" si="14">(K3*pAsympt_NoCare_Int_ART1_2013plus_u)+(K4*pAsympt_InCare_Int_ART1_2013plus_u)+(K12*pInt_NoCare_Int_ART1_2013plus_u)+(K13*pInt_InCare_Int_ART1_2013plus_u)+(K14*pInt_ART1_2013plus_u)+(K5*pAsympt_LTFU_Int_ART1_2013plus_u)+(K23*pInt_LTFU_Int_ART1_2013plus_u)</f>
        <v>16693.223843708023</v>
      </c>
      <c r="M14" s="91">
        <f t="shared" si="14"/>
        <v>17978.535183536027</v>
      </c>
      <c r="N14" s="91">
        <f t="shared" si="14"/>
        <v>19154.897929417901</v>
      </c>
      <c r="O14" s="91">
        <f t="shared" si="14"/>
        <v>20248.503491143521</v>
      </c>
      <c r="P14" s="91">
        <f t="shared" si="14"/>
        <v>21277.810051605207</v>
      </c>
      <c r="Q14" s="91">
        <f t="shared" si="14"/>
        <v>22256.105346976688</v>
      </c>
      <c r="R14" s="91">
        <f t="shared" si="14"/>
        <v>23193.020617802165</v>
      </c>
      <c r="S14" s="91">
        <f t="shared" si="14"/>
        <v>24095.545925151968</v>
      </c>
      <c r="T14" s="91">
        <f t="shared" si="14"/>
        <v>24968.757836584067</v>
      </c>
      <c r="U14" s="91">
        <f t="shared" si="14"/>
        <v>25816.353126912698</v>
      </c>
      <c r="V14" s="91">
        <f t="shared" si="14"/>
        <v>26641.040648236038</v>
      </c>
    </row>
    <row r="15" spans="1:22" x14ac:dyDescent="0.25">
      <c r="A15" s="82"/>
      <c r="B15" s="64" t="s">
        <v>133</v>
      </c>
      <c r="C15" s="95"/>
      <c r="D15" s="91">
        <f t="shared" ref="D15:K15" si="15">(C14*pInt_ART1_Int_ART2_2004_2012)+(C15*pInt_ART2_2004_2012)+(C23*pInt_LTFU_Int_ART2_2004_2012)</f>
        <v>220.67967048466105</v>
      </c>
      <c r="E15" s="91">
        <f t="shared" si="15"/>
        <v>624.87739869154939</v>
      </c>
      <c r="F15" s="91">
        <f t="shared" si="15"/>
        <v>1189.5791726580394</v>
      </c>
      <c r="G15" s="91">
        <f t="shared" si="15"/>
        <v>1815.3855211759815</v>
      </c>
      <c r="H15" s="91">
        <f t="shared" si="15"/>
        <v>2473.3180098342605</v>
      </c>
      <c r="I15" s="91">
        <f t="shared" si="15"/>
        <v>3134.9878761240998</v>
      </c>
      <c r="J15" s="91">
        <f t="shared" si="15"/>
        <v>3784.3807057842246</v>
      </c>
      <c r="K15" s="91">
        <f t="shared" si="15"/>
        <v>4413.7442422773511</v>
      </c>
      <c r="L15" s="91">
        <f t="shared" ref="L15:V15" si="16">(K14*pInt_ART1_Int_ART2_2013plus_u)+(K15*pInt_ART2_2013plus_u)+(K23*pInt_LTFU_Int_ART2_2013plus_u)</f>
        <v>5095.7766578989049</v>
      </c>
      <c r="M15" s="91">
        <f t="shared" si="16"/>
        <v>5728.3090411959238</v>
      </c>
      <c r="N15" s="91">
        <f t="shared" si="16"/>
        <v>6330.9042602031959</v>
      </c>
      <c r="O15" s="91">
        <f t="shared" si="16"/>
        <v>6914.3487287038961</v>
      </c>
      <c r="P15" s="91">
        <f t="shared" si="16"/>
        <v>7485.3393941523045</v>
      </c>
      <c r="Q15" s="91">
        <f t="shared" si="16"/>
        <v>8048.3559855658577</v>
      </c>
      <c r="R15" s="91">
        <f t="shared" si="16"/>
        <v>8606.4924485245901</v>
      </c>
      <c r="S15" s="91">
        <f t="shared" si="16"/>
        <v>9161.8923015208329</v>
      </c>
      <c r="T15" s="91">
        <f t="shared" si="16"/>
        <v>9716.0185529755199</v>
      </c>
      <c r="U15" s="91">
        <f t="shared" si="16"/>
        <v>10269.841223839057</v>
      </c>
      <c r="V15" s="91">
        <f t="shared" si="16"/>
        <v>10823.974530334608</v>
      </c>
    </row>
    <row r="16" spans="1:22" x14ac:dyDescent="0.25">
      <c r="A16" s="82"/>
      <c r="B16" s="64" t="s">
        <v>570</v>
      </c>
      <c r="C16" s="90"/>
      <c r="D16" s="91"/>
      <c r="E16" s="91"/>
      <c r="F16" s="91"/>
      <c r="G16" s="91"/>
      <c r="H16" s="91"/>
      <c r="I16" s="91"/>
      <c r="J16" s="91"/>
      <c r="K16" s="91"/>
      <c r="L16" s="91"/>
      <c r="M16" s="91"/>
      <c r="N16" s="91"/>
      <c r="O16" s="91"/>
      <c r="P16" s="91"/>
      <c r="Q16" s="91"/>
      <c r="R16" s="91"/>
      <c r="S16" s="91"/>
      <c r="T16" s="91"/>
      <c r="U16" s="91"/>
      <c r="V16" s="91"/>
    </row>
    <row r="17" spans="1:22" x14ac:dyDescent="0.25">
      <c r="A17" s="82"/>
      <c r="B17" s="63" t="s">
        <v>134</v>
      </c>
      <c r="C17" s="90">
        <f>Inc_2004*init_prop_Int_LTFU</f>
        <v>1428.0954159393805</v>
      </c>
      <c r="D17" s="91">
        <f t="shared" ref="D17:K17" si="17">(C13*pInt_InCare_Int_LTFU_2004_2012)+(C17*pInt_LTFU_2004_2012)</f>
        <v>1794.1639761460287</v>
      </c>
      <c r="E17" s="91">
        <f>(D13*pInt_InCare_Int_LTFU_2004_2012)+(D17*pInt_LTFU_2004_2012)</f>
        <v>2147.6882629479223</v>
      </c>
      <c r="F17" s="91">
        <f t="shared" si="17"/>
        <v>2179.9768240437447</v>
      </c>
      <c r="G17" s="91">
        <f t="shared" si="17"/>
        <v>2246.8041556550615</v>
      </c>
      <c r="H17" s="91">
        <f t="shared" si="17"/>
        <v>2210.845245715107</v>
      </c>
      <c r="I17" s="91">
        <f t="shared" si="17"/>
        <v>2106.8205403616521</v>
      </c>
      <c r="J17" s="91">
        <f t="shared" si="17"/>
        <v>1974.7648302597095</v>
      </c>
      <c r="K17" s="91">
        <f t="shared" si="17"/>
        <v>1845.5877697969638</v>
      </c>
      <c r="L17" s="91">
        <f t="shared" ref="L17:V17" si="18">(K13*pInt_InCare_Int_LTFU_2013plus_u)+(K17*pInt_LTFU_2013plus_u)</f>
        <v>1660.9802059528952</v>
      </c>
      <c r="M17" s="91">
        <f t="shared" si="18"/>
        <v>1549.662694762826</v>
      </c>
      <c r="N17" s="91">
        <f t="shared" si="18"/>
        <v>1479.5181261809987</v>
      </c>
      <c r="O17" s="91">
        <f t="shared" si="18"/>
        <v>1434.3582555792627</v>
      </c>
      <c r="P17" s="91">
        <f t="shared" si="18"/>
        <v>1405.0555525957479</v>
      </c>
      <c r="Q17" s="91">
        <f t="shared" si="18"/>
        <v>1386.0274216709881</v>
      </c>
      <c r="R17" s="91">
        <f t="shared" si="18"/>
        <v>1373.7003453224797</v>
      </c>
      <c r="S17" s="91">
        <f t="shared" si="18"/>
        <v>1365.7416967330337</v>
      </c>
      <c r="T17" s="91">
        <f t="shared" si="18"/>
        <v>1360.6212890272734</v>
      </c>
      <c r="U17" s="91">
        <f t="shared" si="18"/>
        <v>1357.3372374754194</v>
      </c>
      <c r="V17" s="91">
        <f t="shared" si="18"/>
        <v>1355.2365099400572</v>
      </c>
    </row>
    <row r="18" spans="1:22" x14ac:dyDescent="0.25">
      <c r="A18" s="82"/>
      <c r="B18" s="63" t="s">
        <v>730</v>
      </c>
      <c r="C18" s="95"/>
      <c r="D18" s="91">
        <f>(C5*pAsympt_LTFU_Int_LTFU_2004_2012)+(C18*pInt_LTFU_2004_2012)</f>
        <v>763.4879367695313</v>
      </c>
      <c r="E18" s="91">
        <f>(D5*pAsympt_LTFU_Int_LTFU_2004_2012)+(D18*pInt_LTFU_2004_2012)</f>
        <v>1368.6651505047453</v>
      </c>
      <c r="F18" s="91">
        <f t="shared" ref="F18:K18" si="19">(E5*pAsympt_LTFU_Int_LTFU_2004_2012)+(E18*pInt_LTFU_2004_2012)</f>
        <v>1644.3021114214725</v>
      </c>
      <c r="G18" s="91">
        <f t="shared" si="19"/>
        <v>1693.3497133945307</v>
      </c>
      <c r="H18" s="91">
        <f t="shared" si="19"/>
        <v>1663.7778888866237</v>
      </c>
      <c r="I18" s="91">
        <f t="shared" si="19"/>
        <v>1604.9647210864696</v>
      </c>
      <c r="J18" s="91">
        <f t="shared" si="19"/>
        <v>1532.534921281745</v>
      </c>
      <c r="K18" s="91">
        <f t="shared" si="19"/>
        <v>1452.9202298881057</v>
      </c>
      <c r="L18" s="91">
        <f t="shared" ref="L18:V18" si="20">(K5*pAsympt_LTFU_Int_LTFU_2013plus_u)+(K18*pInt_LTFU_2013plus_u)</f>
        <v>1313.9684338255367</v>
      </c>
      <c r="M18" s="91">
        <f t="shared" si="20"/>
        <v>1211.2687254796247</v>
      </c>
      <c r="N18" s="91">
        <f t="shared" si="20"/>
        <v>1132.6725806302884</v>
      </c>
      <c r="O18" s="91">
        <f t="shared" si="20"/>
        <v>1072.238941200279</v>
      </c>
      <c r="P18" s="91">
        <f t="shared" si="20"/>
        <v>1026.1896361055751</v>
      </c>
      <c r="Q18" s="91">
        <f t="shared" si="20"/>
        <v>991.58325343116474</v>
      </c>
      <c r="R18" s="91">
        <f t="shared" si="20"/>
        <v>965.95124886910389</v>
      </c>
      <c r="S18" s="91">
        <f t="shared" si="20"/>
        <v>947.22203529463627</v>
      </c>
      <c r="T18" s="91">
        <f t="shared" si="20"/>
        <v>933.70089799796961</v>
      </c>
      <c r="U18" s="91">
        <f t="shared" si="20"/>
        <v>924.04185691281327</v>
      </c>
      <c r="V18" s="91">
        <f t="shared" si="20"/>
        <v>917.20434547789046</v>
      </c>
    </row>
    <row r="19" spans="1:22" x14ac:dyDescent="0.25">
      <c r="A19" s="82"/>
      <c r="B19" s="63" t="s">
        <v>135</v>
      </c>
      <c r="C19" s="95"/>
      <c r="D19" s="91">
        <f>(C14*pInt_ART1_Int_LTFU_2004_2012)+(C19*pInt_LTFU_2004_2012)</f>
        <v>7.1796142551032087</v>
      </c>
      <c r="E19" s="91">
        <f>(D14*pInt_ART1_Int_LTFU_2004_2012)+(D19*pInt_LTFU_2004_2012)</f>
        <v>36.225951973961209</v>
      </c>
      <c r="F19" s="91">
        <f t="shared" ref="F19:K19" si="21">(E14*pInt_ART1_Int_LTFU_2004_2012)+(E19*pInt_LTFU_2004_2012)</f>
        <v>79.260355805389011</v>
      </c>
      <c r="G19" s="91">
        <f t="shared" si="21"/>
        <v>127.74145555172305</v>
      </c>
      <c r="H19" s="91">
        <f t="shared" si="21"/>
        <v>178.38380474396834</v>
      </c>
      <c r="I19" s="91">
        <f t="shared" si="21"/>
        <v>228.29234794922189</v>
      </c>
      <c r="J19" s="91">
        <f t="shared" si="21"/>
        <v>275.66016890005358</v>
      </c>
      <c r="K19" s="91">
        <f t="shared" si="21"/>
        <v>319.56620929146806</v>
      </c>
      <c r="L19" s="91">
        <f t="shared" ref="L19:V19" si="22">(K14*pInt_ART1_Int_LTFU_2013plus_u)+(K19*pInt_LTFU_2013plus_u)</f>
        <v>346.84612326309144</v>
      </c>
      <c r="M19" s="91">
        <f t="shared" si="22"/>
        <v>378.33413246775848</v>
      </c>
      <c r="N19" s="91">
        <f t="shared" si="22"/>
        <v>409.36972774833396</v>
      </c>
      <c r="O19" s="91">
        <f t="shared" si="22"/>
        <v>438.65778573919818</v>
      </c>
      <c r="P19" s="91">
        <f t="shared" si="22"/>
        <v>466.05906971451964</v>
      </c>
      <c r="Q19" s="91">
        <f t="shared" si="22"/>
        <v>491.78363446515255</v>
      </c>
      <c r="R19" s="91">
        <f t="shared" si="22"/>
        <v>516.10632284534063</v>
      </c>
      <c r="S19" s="91">
        <f t="shared" si="22"/>
        <v>539.27519050285719</v>
      </c>
      <c r="T19" s="91">
        <f t="shared" si="22"/>
        <v>561.48962554826244</v>
      </c>
      <c r="U19" s="91">
        <f t="shared" si="22"/>
        <v>582.90209895478529</v>
      </c>
      <c r="V19" s="91">
        <f t="shared" si="22"/>
        <v>603.62653953316124</v>
      </c>
    </row>
    <row r="20" spans="1:22" x14ac:dyDescent="0.25">
      <c r="A20" s="82"/>
      <c r="B20" s="63" t="s">
        <v>136</v>
      </c>
      <c r="C20" s="95"/>
      <c r="D20" s="91">
        <f>(C15*pInt_ART2_Int_LTFU_2004_2012)+(C20*pInt_LTFU_2004_2012)</f>
        <v>0</v>
      </c>
      <c r="E20" s="91">
        <f>(D15*pInt_ART2_Int_LTFU_2004_2012)+(D20*pInt_LTFU_2004_2012)</f>
        <v>3.1745929547388281</v>
      </c>
      <c r="F20" s="91">
        <f t="shared" ref="F20:K20" si="23">(E15*pInt_ART2_Int_LTFU_2004_2012)+(E20*pInt_LTFU_2004_2012)</f>
        <v>10.38229104705456</v>
      </c>
      <c r="G20" s="91">
        <f t="shared" si="23"/>
        <v>21.668765143057566</v>
      </c>
      <c r="H20" s="91">
        <f t="shared" si="23"/>
        <v>35.624143319991454</v>
      </c>
      <c r="I20" s="91">
        <f t="shared" si="23"/>
        <v>51.212863761572329</v>
      </c>
      <c r="J20" s="91">
        <f t="shared" si="23"/>
        <v>67.572105290941778</v>
      </c>
      <c r="K20" s="91">
        <f t="shared" si="23"/>
        <v>84.092861725230136</v>
      </c>
      <c r="L20" s="91">
        <f t="shared" ref="L20:V20" si="24">(K15*pInt_ART2_Int_LTFU_2013plus_u)+(K20*pInt_LTFU_2013plus_u)</f>
        <v>96.999011969628825</v>
      </c>
      <c r="M20" s="91">
        <f t="shared" si="24"/>
        <v>111.95258304841012</v>
      </c>
      <c r="N20" s="91">
        <f t="shared" si="24"/>
        <v>127.00982074217757</v>
      </c>
      <c r="O20" s="91">
        <f t="shared" si="24"/>
        <v>141.67770032743687</v>
      </c>
      <c r="P20" s="91">
        <f t="shared" si="24"/>
        <v>155.91495498694346</v>
      </c>
      <c r="Q20" s="91">
        <f t="shared" si="24"/>
        <v>169.80148195553761</v>
      </c>
      <c r="R20" s="91">
        <f t="shared" si="24"/>
        <v>183.43355781399003</v>
      </c>
      <c r="S20" s="91">
        <f t="shared" si="24"/>
        <v>196.89404991689247</v>
      </c>
      <c r="T20" s="91">
        <f t="shared" si="24"/>
        <v>210.24681060971449</v>
      </c>
      <c r="U20" s="91">
        <f t="shared" si="24"/>
        <v>223.53832662379241</v>
      </c>
      <c r="V20" s="91">
        <f t="shared" si="24"/>
        <v>236.80107385320611</v>
      </c>
    </row>
    <row r="21" spans="1:22" x14ac:dyDescent="0.25">
      <c r="A21" s="82"/>
      <c r="B21" s="63" t="s">
        <v>137</v>
      </c>
      <c r="C21" s="94">
        <f>SUM(C17:C18)</f>
        <v>1428.0954159393805</v>
      </c>
      <c r="D21" s="202">
        <f t="shared" ref="D21:I21" si="25">SUM(D17:D18)</f>
        <v>2557.6519129155599</v>
      </c>
      <c r="E21" s="202">
        <f t="shared" si="25"/>
        <v>3516.3534134526676</v>
      </c>
      <c r="F21" s="202">
        <f t="shared" si="25"/>
        <v>3824.2789354652173</v>
      </c>
      <c r="G21" s="202">
        <f t="shared" si="25"/>
        <v>3940.1538690495922</v>
      </c>
      <c r="H21" s="202">
        <f t="shared" si="25"/>
        <v>3874.6231346017307</v>
      </c>
      <c r="I21" s="202">
        <f t="shared" si="25"/>
        <v>3711.7852614481217</v>
      </c>
      <c r="J21" s="91">
        <f>SUM(J17:J18)</f>
        <v>3507.2997515414545</v>
      </c>
      <c r="K21" s="91">
        <f t="shared" ref="K21:L21" si="26">SUM(K17:K18)</f>
        <v>3298.5079996850695</v>
      </c>
      <c r="L21" s="91">
        <f t="shared" si="26"/>
        <v>2974.9486397784322</v>
      </c>
      <c r="M21" s="91">
        <f t="shared" ref="M21:V21" si="27">SUM(M17:M18)</f>
        <v>2760.9314202424507</v>
      </c>
      <c r="N21" s="91">
        <f t="shared" si="27"/>
        <v>2612.1907068112869</v>
      </c>
      <c r="O21" s="91">
        <f t="shared" si="27"/>
        <v>2506.5971967795417</v>
      </c>
      <c r="P21" s="91">
        <f t="shared" si="27"/>
        <v>2431.2451887013231</v>
      </c>
      <c r="Q21" s="91">
        <f t="shared" si="27"/>
        <v>2377.610675102153</v>
      </c>
      <c r="R21" s="91">
        <f t="shared" si="27"/>
        <v>2339.6515941915836</v>
      </c>
      <c r="S21" s="91">
        <f t="shared" si="27"/>
        <v>2312.9637320276697</v>
      </c>
      <c r="T21" s="91">
        <f t="shared" si="27"/>
        <v>2294.3221870252428</v>
      </c>
      <c r="U21" s="91">
        <f t="shared" si="27"/>
        <v>2281.3790943882327</v>
      </c>
      <c r="V21" s="91">
        <f t="shared" si="27"/>
        <v>2272.4408554179477</v>
      </c>
    </row>
    <row r="22" spans="1:22" x14ac:dyDescent="0.25">
      <c r="A22" s="82"/>
      <c r="B22" s="63" t="s">
        <v>138</v>
      </c>
      <c r="C22" s="90">
        <f>SUM(C19:C20)</f>
        <v>0</v>
      </c>
      <c r="D22" s="91">
        <f t="shared" ref="D22:I22" si="28">SUM(D19:D20)</f>
        <v>7.1796142551032087</v>
      </c>
      <c r="E22" s="91">
        <f t="shared" si="28"/>
        <v>39.400544928700036</v>
      </c>
      <c r="F22" s="91">
        <f t="shared" si="28"/>
        <v>89.642646852443576</v>
      </c>
      <c r="G22" s="91">
        <f t="shared" si="28"/>
        <v>149.41022069478061</v>
      </c>
      <c r="H22" s="91">
        <f t="shared" si="28"/>
        <v>214.00794806395979</v>
      </c>
      <c r="I22" s="91">
        <f t="shared" si="28"/>
        <v>279.50521171079424</v>
      </c>
      <c r="J22" s="91">
        <f>SUM(J19:J20)</f>
        <v>343.23227419099533</v>
      </c>
      <c r="K22" s="91">
        <f t="shared" ref="K22:L22" si="29">SUM(K19:K20)</f>
        <v>403.65907101669819</v>
      </c>
      <c r="L22" s="91">
        <f t="shared" si="29"/>
        <v>443.84513523272028</v>
      </c>
      <c r="M22" s="91">
        <f t="shared" ref="M22:V22" si="30">SUM(M19:M20)</f>
        <v>490.28671551616861</v>
      </c>
      <c r="N22" s="91">
        <f t="shared" si="30"/>
        <v>536.37954849051152</v>
      </c>
      <c r="O22" s="91">
        <f t="shared" si="30"/>
        <v>580.33548606663499</v>
      </c>
      <c r="P22" s="91">
        <f t="shared" si="30"/>
        <v>621.97402470146312</v>
      </c>
      <c r="Q22" s="91">
        <f t="shared" si="30"/>
        <v>661.58511642069016</v>
      </c>
      <c r="R22" s="91">
        <f t="shared" si="30"/>
        <v>699.53988065933072</v>
      </c>
      <c r="S22" s="91">
        <f t="shared" si="30"/>
        <v>736.16924041974971</v>
      </c>
      <c r="T22" s="91">
        <f t="shared" si="30"/>
        <v>771.73643615797687</v>
      </c>
      <c r="U22" s="91">
        <f t="shared" si="30"/>
        <v>806.44042557857767</v>
      </c>
      <c r="V22" s="91">
        <f t="shared" si="30"/>
        <v>840.42761338636728</v>
      </c>
    </row>
    <row r="23" spans="1:22" x14ac:dyDescent="0.25">
      <c r="A23" s="82"/>
      <c r="B23" s="63" t="s">
        <v>139</v>
      </c>
      <c r="C23" s="90">
        <f>SUM(C21:C22)</f>
        <v>1428.0954159393805</v>
      </c>
      <c r="D23" s="91">
        <f t="shared" ref="D23:I23" si="31">SUM(D21:D22)</f>
        <v>2564.8315271706633</v>
      </c>
      <c r="E23" s="91">
        <f t="shared" si="31"/>
        <v>3555.7539583813677</v>
      </c>
      <c r="F23" s="91">
        <f t="shared" si="31"/>
        <v>3913.921582317661</v>
      </c>
      <c r="G23" s="91">
        <f t="shared" si="31"/>
        <v>4089.5640897443727</v>
      </c>
      <c r="H23" s="91">
        <f t="shared" si="31"/>
        <v>4088.6310826656904</v>
      </c>
      <c r="I23" s="91">
        <f t="shared" si="31"/>
        <v>3991.290473158916</v>
      </c>
      <c r="J23" s="91">
        <f>SUM(J21:J22)</f>
        <v>3850.5320257324497</v>
      </c>
      <c r="K23" s="91">
        <f t="shared" ref="K23:L23" si="32">SUM(K21:K22)</f>
        <v>3702.1670707017679</v>
      </c>
      <c r="L23" s="91">
        <f t="shared" si="32"/>
        <v>3418.7937750111523</v>
      </c>
      <c r="M23" s="91">
        <f t="shared" ref="M23:V23" si="33">SUM(M21:M22)</f>
        <v>3251.2181357586192</v>
      </c>
      <c r="N23" s="91">
        <f t="shared" si="33"/>
        <v>3148.5702553017982</v>
      </c>
      <c r="O23" s="91">
        <f t="shared" si="33"/>
        <v>3086.9326828461767</v>
      </c>
      <c r="P23" s="91">
        <f t="shared" si="33"/>
        <v>3053.2192134027864</v>
      </c>
      <c r="Q23" s="91">
        <f t="shared" si="33"/>
        <v>3039.1957915228431</v>
      </c>
      <c r="R23" s="91">
        <f t="shared" si="33"/>
        <v>3039.1914748509143</v>
      </c>
      <c r="S23" s="91">
        <f t="shared" si="33"/>
        <v>3049.1329724474194</v>
      </c>
      <c r="T23" s="91">
        <f t="shared" si="33"/>
        <v>3066.0586231832194</v>
      </c>
      <c r="U23" s="91">
        <f t="shared" si="33"/>
        <v>3087.8195199668103</v>
      </c>
      <c r="V23" s="91">
        <f t="shared" si="33"/>
        <v>3112.8684688043149</v>
      </c>
    </row>
    <row r="24" spans="1:22" x14ac:dyDescent="0.25">
      <c r="A24" s="82"/>
      <c r="B24" s="63" t="s">
        <v>127</v>
      </c>
      <c r="C24" s="90"/>
      <c r="D24" s="91"/>
      <c r="E24" s="91"/>
      <c r="F24" s="91"/>
      <c r="G24" s="91"/>
      <c r="H24" s="91"/>
      <c r="I24" s="91"/>
      <c r="J24" s="200"/>
      <c r="K24" s="91"/>
      <c r="L24" s="91"/>
      <c r="M24" s="91"/>
      <c r="N24" s="91"/>
      <c r="O24" s="91"/>
      <c r="P24" s="91"/>
      <c r="Q24" s="91"/>
      <c r="R24" s="91"/>
      <c r="S24" s="91"/>
      <c r="T24" s="91"/>
      <c r="U24" s="91"/>
      <c r="V24" s="91"/>
    </row>
    <row r="25" spans="1:22" x14ac:dyDescent="0.25">
      <c r="A25" s="82"/>
      <c r="B25" s="63" t="s">
        <v>128</v>
      </c>
      <c r="C25" s="95"/>
      <c r="D25" s="91">
        <f>(C12*pInt_NoCare_Int_Dead_2004_2006)</f>
        <v>696.47284939598728</v>
      </c>
      <c r="E25" s="91">
        <f>(D12*pInt_NoCare_Int_Dead_2004_2006)</f>
        <v>571.73374031171613</v>
      </c>
      <c r="F25" s="91">
        <f>(E12*pInt_NoCare_Int_Dead_2007_2009)</f>
        <v>498.90519829245568</v>
      </c>
      <c r="G25" s="91">
        <f>(F12*pInt_NoCare_Int_Dead_2007_2009)</f>
        <v>427.1963980276455</v>
      </c>
      <c r="H25" s="91">
        <f>(G12*pInt_NoCare_Int_Dead_2007_2009)</f>
        <v>380.25164623917874</v>
      </c>
      <c r="I25" s="91">
        <f>(H12*pInt_NoCare_Int_Dead_2010_2012)</f>
        <v>344.40115857025063</v>
      </c>
      <c r="J25" s="91">
        <f>(I12*pInt_NoCare_Int_Dead_2010_2012)</f>
        <v>315.25987298583073</v>
      </c>
      <c r="K25" s="91">
        <f>(J12*pInt_NoCare_Int_Dead_2010_2012)</f>
        <v>293.74336184387477</v>
      </c>
      <c r="L25" s="91">
        <f t="shared" ref="L25:V25" si="34">(K12*pInt_NoCare_Int_Dead_2013plus_u)</f>
        <v>278.66018957063204</v>
      </c>
      <c r="M25" s="91">
        <f t="shared" si="34"/>
        <v>268.41424238169776</v>
      </c>
      <c r="N25" s="91">
        <f t="shared" si="34"/>
        <v>261.59472619782514</v>
      </c>
      <c r="O25" s="91">
        <f t="shared" si="34"/>
        <v>257.11801441716091</v>
      </c>
      <c r="P25" s="91">
        <f t="shared" si="34"/>
        <v>254.20738089426649</v>
      </c>
      <c r="Q25" s="91">
        <f t="shared" si="34"/>
        <v>252.32785988633583</v>
      </c>
      <c r="R25" s="91">
        <f t="shared" si="34"/>
        <v>251.12013789413257</v>
      </c>
      <c r="S25" s="91">
        <f t="shared" si="34"/>
        <v>250.3468724018916</v>
      </c>
      <c r="T25" s="91">
        <f t="shared" si="34"/>
        <v>249.85307665403371</v>
      </c>
      <c r="U25" s="91">
        <f t="shared" si="34"/>
        <v>249.53835752125502</v>
      </c>
      <c r="V25" s="91">
        <f t="shared" si="34"/>
        <v>249.33806034800017</v>
      </c>
    </row>
    <row r="26" spans="1:22" x14ac:dyDescent="0.25">
      <c r="A26" s="82"/>
      <c r="B26" s="63" t="s">
        <v>140</v>
      </c>
      <c r="C26" s="95"/>
      <c r="D26" s="91">
        <f t="shared" ref="D26:K26" si="35">(C13*pInt_InCare_Int_Dead_2004_2012)</f>
        <v>167.40401679576206</v>
      </c>
      <c r="E26" s="91">
        <f t="shared" si="35"/>
        <v>195.06147087926169</v>
      </c>
      <c r="F26" s="91">
        <f t="shared" si="35"/>
        <v>177.44633220150482</v>
      </c>
      <c r="G26" s="91">
        <f t="shared" si="35"/>
        <v>184.99697952303472</v>
      </c>
      <c r="H26" s="91">
        <f t="shared" si="35"/>
        <v>175.63582887365556</v>
      </c>
      <c r="I26" s="91">
        <f t="shared" si="35"/>
        <v>162.98240926212614</v>
      </c>
      <c r="J26" s="91">
        <f t="shared" si="35"/>
        <v>150.59256851597934</v>
      </c>
      <c r="K26" s="91">
        <f t="shared" si="35"/>
        <v>140.37930590569408</v>
      </c>
      <c r="L26" s="91">
        <f t="shared" ref="L26:V26" si="36">(K13*pInt_InCare_Int_Dead_2013plus_u)</f>
        <v>132.72813335947262</v>
      </c>
      <c r="M26" s="91">
        <f t="shared" si="36"/>
        <v>127.31307284955355</v>
      </c>
      <c r="N26" s="91">
        <f t="shared" si="36"/>
        <v>123.61468997628187</v>
      </c>
      <c r="O26" s="91">
        <f t="shared" si="36"/>
        <v>121.14662431064191</v>
      </c>
      <c r="P26" s="91">
        <f t="shared" si="36"/>
        <v>119.5249247176708</v>
      </c>
      <c r="Q26" s="91">
        <f t="shared" si="36"/>
        <v>118.47056494033988</v>
      </c>
      <c r="R26" s="91">
        <f t="shared" si="36"/>
        <v>117.79007588468561</v>
      </c>
      <c r="S26" s="91">
        <f t="shared" si="36"/>
        <v>117.35313974708392</v>
      </c>
      <c r="T26" s="91">
        <f t="shared" si="36"/>
        <v>117.07360763628164</v>
      </c>
      <c r="U26" s="91">
        <f t="shared" si="36"/>
        <v>116.89523994903952</v>
      </c>
      <c r="V26" s="91">
        <f t="shared" si="36"/>
        <v>116.78163678303069</v>
      </c>
    </row>
    <row r="27" spans="1:22" x14ac:dyDescent="0.25">
      <c r="A27" s="82"/>
      <c r="B27" s="63" t="s">
        <v>141</v>
      </c>
      <c r="C27" s="95"/>
      <c r="D27" s="91">
        <f t="shared" ref="D27:K27" si="37">(C14*pInt_ART1_Int_Dead_2004_2012)</f>
        <v>2.5239623826033184</v>
      </c>
      <c r="E27" s="91">
        <f t="shared" si="37"/>
        <v>11.627490620827693</v>
      </c>
      <c r="F27" s="91">
        <f t="shared" si="37"/>
        <v>22.275122506766731</v>
      </c>
      <c r="G27" s="91">
        <f t="shared" si="37"/>
        <v>32.679602709738873</v>
      </c>
      <c r="H27" s="91">
        <f t="shared" si="37"/>
        <v>43.003608718953728</v>
      </c>
      <c r="I27" s="91">
        <f t="shared" si="37"/>
        <v>52.736236290474245</v>
      </c>
      <c r="J27" s="91">
        <f t="shared" si="37"/>
        <v>61.688886872751475</v>
      </c>
      <c r="K27" s="91">
        <f t="shared" si="37"/>
        <v>69.816516159071256</v>
      </c>
      <c r="L27" s="91">
        <f t="shared" ref="L27:V27" si="38">(K14*pInt_ART1_Int_Dead_2013plus_u)</f>
        <v>77.171966922426904</v>
      </c>
      <c r="M27" s="91">
        <f t="shared" si="38"/>
        <v>84.420458191209477</v>
      </c>
      <c r="N27" s="91">
        <f t="shared" si="38"/>
        <v>90.920495166843494</v>
      </c>
      <c r="O27" s="91">
        <f t="shared" si="38"/>
        <v>96.869560664090059</v>
      </c>
      <c r="P27" s="91">
        <f t="shared" si="38"/>
        <v>102.40010907497296</v>
      </c>
      <c r="Q27" s="91">
        <f t="shared" si="38"/>
        <v>107.60548655429943</v>
      </c>
      <c r="R27" s="91">
        <f t="shared" si="38"/>
        <v>112.55289143275817</v>
      </c>
      <c r="S27" s="91">
        <f t="shared" si="38"/>
        <v>117.2910305238026</v>
      </c>
      <c r="T27" s="91">
        <f t="shared" si="38"/>
        <v>121.85525374928523</v>
      </c>
      <c r="U27" s="91">
        <f t="shared" si="38"/>
        <v>126.27123417052094</v>
      </c>
      <c r="V27" s="91">
        <f t="shared" si="38"/>
        <v>130.55766700339908</v>
      </c>
    </row>
    <row r="28" spans="1:22" x14ac:dyDescent="0.25">
      <c r="A28" s="82"/>
      <c r="B28" s="63" t="s">
        <v>142</v>
      </c>
      <c r="C28" s="95"/>
      <c r="D28" s="91">
        <f>(C15*pInt_ART2_Int_Dead_2004_2012)</f>
        <v>0</v>
      </c>
      <c r="E28" s="91">
        <f t="shared" ref="E28:K28" si="39">(D15*pInt_ART2_Int_Dead_2004_2012)</f>
        <v>1.1160144421607423</v>
      </c>
      <c r="F28" s="91">
        <f t="shared" si="39"/>
        <v>3.160110761394662</v>
      </c>
      <c r="G28" s="91">
        <f t="shared" si="39"/>
        <v>6.0159032042431697</v>
      </c>
      <c r="H28" s="91">
        <f t="shared" si="39"/>
        <v>9.1807118221282824</v>
      </c>
      <c r="I28" s="91">
        <f t="shared" si="39"/>
        <v>12.507987767831832</v>
      </c>
      <c r="J28" s="91">
        <f t="shared" si="39"/>
        <v>15.854164264743698</v>
      </c>
      <c r="K28" s="91">
        <f t="shared" si="39"/>
        <v>19.138253709614901</v>
      </c>
      <c r="L28" s="91">
        <f t="shared" ref="L28:V28" si="40">(K15*pInt_ART2_Int_Dead_2013plus_u)</f>
        <v>22.321051629120173</v>
      </c>
      <c r="M28" s="91">
        <f t="shared" si="40"/>
        <v>25.770204984224254</v>
      </c>
      <c r="N28" s="91">
        <f t="shared" si="40"/>
        <v>28.969028298322389</v>
      </c>
      <c r="O28" s="91">
        <f t="shared" si="40"/>
        <v>32.016454305947661</v>
      </c>
      <c r="P28" s="91">
        <f t="shared" si="40"/>
        <v>34.967031727128095</v>
      </c>
      <c r="Q28" s="91">
        <f t="shared" si="40"/>
        <v>37.854628158552394</v>
      </c>
      <c r="R28" s="91">
        <f t="shared" si="40"/>
        <v>40.701898348025118</v>
      </c>
      <c r="S28" s="91">
        <f t="shared" si="40"/>
        <v>43.524488901973562</v>
      </c>
      <c r="T28" s="91">
        <f t="shared" si="40"/>
        <v>46.333239956189239</v>
      </c>
      <c r="U28" s="91">
        <f t="shared" si="40"/>
        <v>49.135550191860951</v>
      </c>
      <c r="V28" s="91">
        <f t="shared" si="40"/>
        <v>51.936325169104286</v>
      </c>
    </row>
    <row r="29" spans="1:22" x14ac:dyDescent="0.25">
      <c r="A29" s="82"/>
      <c r="B29" s="64" t="s">
        <v>130</v>
      </c>
      <c r="C29" s="95"/>
      <c r="D29" s="91"/>
      <c r="E29" s="91"/>
      <c r="F29" s="91"/>
      <c r="G29" s="91"/>
      <c r="H29" s="91"/>
      <c r="I29" s="91"/>
      <c r="J29" s="91"/>
      <c r="K29" s="91"/>
      <c r="L29" s="91"/>
      <c r="M29" s="91"/>
      <c r="N29" s="91"/>
      <c r="O29" s="91"/>
      <c r="P29" s="91"/>
      <c r="Q29" s="91"/>
      <c r="R29" s="91"/>
      <c r="S29" s="91"/>
      <c r="T29" s="91"/>
      <c r="U29" s="91"/>
      <c r="V29" s="91"/>
    </row>
    <row r="30" spans="1:22" x14ac:dyDescent="0.25">
      <c r="A30" s="82"/>
      <c r="B30" s="63" t="s">
        <v>143</v>
      </c>
      <c r="C30" s="95"/>
      <c r="D30" s="91">
        <f>(C17*pInt_LTFU_Int_Dead_2004_2012)</f>
        <v>39.827492363014017</v>
      </c>
      <c r="E30" s="91">
        <f>(D17*pInt_LTFU_Int_Dead_2004_2012)</f>
        <v>50.036609081156818</v>
      </c>
      <c r="F30" s="91">
        <f t="shared" ref="F30:J30" si="41">(E17*pInt_LTFU_Int_Dead_2004_2012)</f>
        <v>59.895884361779984</v>
      </c>
      <c r="G30" s="91">
        <f t="shared" si="41"/>
        <v>60.796365104245417</v>
      </c>
      <c r="H30" s="91">
        <f t="shared" si="41"/>
        <v>62.660081638647704</v>
      </c>
      <c r="I30" s="91">
        <f t="shared" si="41"/>
        <v>61.657240235313459</v>
      </c>
      <c r="J30" s="91">
        <f t="shared" si="41"/>
        <v>58.756143353559047</v>
      </c>
      <c r="K30" s="91">
        <f t="shared" ref="K30:K33" si="42">(J17*pInt_LTFU_Int_Dead_2004_2012)</f>
        <v>55.073302748599936</v>
      </c>
      <c r="L30" s="91">
        <f t="shared" ref="L30:V30" si="43">(K17*pInt_LTFU_Int_Dead_2013plus_u)</f>
        <v>51.470743471653847</v>
      </c>
      <c r="M30" s="91">
        <f t="shared" si="43"/>
        <v>46.322308530198676</v>
      </c>
      <c r="N30" s="91">
        <f t="shared" si="43"/>
        <v>43.217825960400688</v>
      </c>
      <c r="O30" s="91">
        <f t="shared" si="43"/>
        <v>41.26159653880984</v>
      </c>
      <c r="P30" s="91">
        <f t="shared" si="43"/>
        <v>40.002153800299091</v>
      </c>
      <c r="Q30" s="91">
        <f t="shared" si="43"/>
        <v>39.184944273354468</v>
      </c>
      <c r="R30" s="91">
        <f t="shared" si="43"/>
        <v>38.654277533142434</v>
      </c>
      <c r="S30" s="91">
        <f t="shared" si="43"/>
        <v>38.310493403840702</v>
      </c>
      <c r="T30" s="91">
        <f t="shared" si="43"/>
        <v>38.088538335307994</v>
      </c>
      <c r="U30" s="91">
        <f t="shared" si="43"/>
        <v>37.945737653700498</v>
      </c>
      <c r="V30" s="91">
        <f t="shared" si="43"/>
        <v>37.854150259299985</v>
      </c>
    </row>
    <row r="31" spans="1:22" x14ac:dyDescent="0.25">
      <c r="A31" s="82"/>
      <c r="B31" s="63" t="s">
        <v>731</v>
      </c>
      <c r="C31" s="95"/>
      <c r="D31" s="91">
        <v>0</v>
      </c>
      <c r="E31" s="91">
        <f>(D18*pInt_LTFU_Int_Dead_2004_2012)</f>
        <v>21.292561849545621</v>
      </c>
      <c r="F31" s="91">
        <f t="shared" ref="F31:J33" si="44">(E18*pInt_LTFU_Int_Dead_2004_2012)</f>
        <v>38.170069185044582</v>
      </c>
      <c r="G31" s="91">
        <f t="shared" si="44"/>
        <v>45.857180867742777</v>
      </c>
      <c r="H31" s="91">
        <f t="shared" si="44"/>
        <v>47.225046747853582</v>
      </c>
      <c r="I31" s="91">
        <f t="shared" si="44"/>
        <v>46.400331815221207</v>
      </c>
      <c r="J31" s="91">
        <f t="shared" si="44"/>
        <v>44.760118587686605</v>
      </c>
      <c r="K31" s="91">
        <f t="shared" si="42"/>
        <v>42.740157409756634</v>
      </c>
      <c r="L31" s="91">
        <f t="shared" ref="L31:V31" si="45">(K18*pInt_LTFU_Int_Dead_2013plus_u)</f>
        <v>40.519820114311884</v>
      </c>
      <c r="M31" s="91">
        <f t="shared" si="45"/>
        <v>36.64465775839269</v>
      </c>
      <c r="N31" s="91">
        <f t="shared" si="45"/>
        <v>33.780513105186827</v>
      </c>
      <c r="O31" s="91">
        <f t="shared" si="45"/>
        <v>31.588581583097159</v>
      </c>
      <c r="P31" s="91">
        <f t="shared" si="45"/>
        <v>29.903175771970314</v>
      </c>
      <c r="Q31" s="91">
        <f t="shared" si="45"/>
        <v>28.618928006371945</v>
      </c>
      <c r="R31" s="91">
        <f t="shared" si="45"/>
        <v>27.653806610215092</v>
      </c>
      <c r="S31" s="91">
        <f t="shared" si="45"/>
        <v>26.938967493339476</v>
      </c>
      <c r="T31" s="91">
        <f t="shared" si="45"/>
        <v>26.416637120819026</v>
      </c>
      <c r="U31" s="91">
        <f t="shared" si="45"/>
        <v>26.039552378152841</v>
      </c>
      <c r="V31" s="91">
        <f t="shared" si="45"/>
        <v>25.770175849974539</v>
      </c>
    </row>
    <row r="32" spans="1:22" x14ac:dyDescent="0.25">
      <c r="A32" s="82"/>
      <c r="B32" s="63" t="s">
        <v>144</v>
      </c>
      <c r="C32" s="95"/>
      <c r="D32" s="91">
        <v>0</v>
      </c>
      <c r="E32" s="91">
        <f>(D19*pInt_LTFU_Int_Dead_2004_2012)</f>
        <v>0.20022894039360703</v>
      </c>
      <c r="F32" s="91">
        <f t="shared" si="44"/>
        <v>1.0102888150766922</v>
      </c>
      <c r="G32" s="91">
        <f t="shared" si="44"/>
        <v>2.2104553941533704</v>
      </c>
      <c r="H32" s="91">
        <f t="shared" si="44"/>
        <v>3.5625223557488845</v>
      </c>
      <c r="I32" s="91">
        <f t="shared" si="44"/>
        <v>4.9748634032639156</v>
      </c>
      <c r="J32" s="91">
        <f t="shared" si="44"/>
        <v>6.3667396750947365</v>
      </c>
      <c r="K32" s="91">
        <f t="shared" si="42"/>
        <v>7.6877589194082718</v>
      </c>
      <c r="L32" s="91">
        <f t="shared" ref="L32:V32" si="46">(K19*pInt_LTFU_Int_Dead_2013plus_u)</f>
        <v>8.9122341672536667</v>
      </c>
      <c r="M32" s="91">
        <f t="shared" si="46"/>
        <v>9.6730310672660043</v>
      </c>
      <c r="N32" s="91">
        <f t="shared" si="46"/>
        <v>10.551185588405245</v>
      </c>
      <c r="O32" s="91">
        <f t="shared" si="46"/>
        <v>11.416722946919659</v>
      </c>
      <c r="P32" s="91">
        <f t="shared" si="46"/>
        <v>12.233524046439587</v>
      </c>
      <c r="Q32" s="91">
        <f t="shared" si="46"/>
        <v>12.997705778334607</v>
      </c>
      <c r="R32" s="91">
        <f t="shared" si="46"/>
        <v>13.715126263487386</v>
      </c>
      <c r="S32" s="91">
        <f t="shared" si="46"/>
        <v>14.393450467107007</v>
      </c>
      <c r="T32" s="91">
        <f t="shared" si="46"/>
        <v>15.039596298394089</v>
      </c>
      <c r="U32" s="91">
        <f t="shared" si="46"/>
        <v>15.659124400119405</v>
      </c>
      <c r="V32" s="91">
        <f t="shared" si="46"/>
        <v>16.25628696471637</v>
      </c>
    </row>
    <row r="33" spans="1:22" x14ac:dyDescent="0.25">
      <c r="A33" s="82"/>
      <c r="B33" s="63" t="s">
        <v>145</v>
      </c>
      <c r="C33" s="95"/>
      <c r="D33" s="91">
        <v>0</v>
      </c>
      <c r="E33" s="91">
        <f>(D20*pInt_LTFU_Int_Dead_2004_2012)</f>
        <v>0</v>
      </c>
      <c r="F33" s="91">
        <f t="shared" si="44"/>
        <v>8.8534754225347734E-2</v>
      </c>
      <c r="G33" s="91">
        <f t="shared" si="44"/>
        <v>0.28954691176230657</v>
      </c>
      <c r="H33" s="91">
        <f t="shared" si="44"/>
        <v>0.6043101662667214</v>
      </c>
      <c r="I33" s="91">
        <f t="shared" si="44"/>
        <v>0.99350525194606631</v>
      </c>
      <c r="J33" s="91">
        <f t="shared" si="44"/>
        <v>1.4282518643969091</v>
      </c>
      <c r="K33" s="91">
        <f t="shared" si="42"/>
        <v>1.88448718299226</v>
      </c>
      <c r="L33" s="91">
        <f t="shared" ref="L33:V33" si="47">(K20*pInt_LTFU_Int_Dead_2013plus_u)</f>
        <v>2.3452269160478587</v>
      </c>
      <c r="M33" s="91">
        <f t="shared" si="47"/>
        <v>2.7051605693301117</v>
      </c>
      <c r="N33" s="91">
        <f t="shared" si="47"/>
        <v>3.1221937950464738</v>
      </c>
      <c r="O33" s="91">
        <f t="shared" si="47"/>
        <v>3.542118131028003</v>
      </c>
      <c r="P33" s="91">
        <f t="shared" si="47"/>
        <v>3.9511838388534533</v>
      </c>
      <c r="Q33" s="91">
        <f t="shared" si="47"/>
        <v>4.348240047348316</v>
      </c>
      <c r="R33" s="91">
        <f t="shared" si="47"/>
        <v>4.7355149735315036</v>
      </c>
      <c r="S33" s="91">
        <f t="shared" si="47"/>
        <v>5.1156936304228635</v>
      </c>
      <c r="T33" s="91">
        <f t="shared" si="47"/>
        <v>5.4910870673369647</v>
      </c>
      <c r="U33" s="91">
        <f t="shared" si="47"/>
        <v>5.8634760327960462</v>
      </c>
      <c r="V33" s="91">
        <f t="shared" si="47"/>
        <v>6.2341569737437892</v>
      </c>
    </row>
    <row r="34" spans="1:22" x14ac:dyDescent="0.25">
      <c r="A34" s="82"/>
      <c r="B34" s="63" t="s">
        <v>146</v>
      </c>
      <c r="C34" s="95"/>
      <c r="D34" s="91">
        <f>SUM(D30:D33)</f>
        <v>39.827492363014017</v>
      </c>
      <c r="E34" s="91">
        <f>SUM(E30:E33)</f>
        <v>71.529399871096047</v>
      </c>
      <c r="F34" s="91">
        <f t="shared" ref="F34:I34" si="48">SUM(F30:F33)</f>
        <v>99.164777116126615</v>
      </c>
      <c r="G34" s="91">
        <f t="shared" si="48"/>
        <v>109.15354827790387</v>
      </c>
      <c r="H34" s="91">
        <f t="shared" si="48"/>
        <v>114.0519609085169</v>
      </c>
      <c r="I34" s="91">
        <f t="shared" si="48"/>
        <v>114.02594070574465</v>
      </c>
      <c r="J34" s="91">
        <f>SUM(J30:J33)</f>
        <v>111.31125348073731</v>
      </c>
      <c r="K34" s="91">
        <f t="shared" ref="K34:L34" si="49">SUM(K30:K33)</f>
        <v>107.3857062607571</v>
      </c>
      <c r="L34" s="91">
        <f t="shared" si="49"/>
        <v>103.24802466926727</v>
      </c>
      <c r="M34" s="91">
        <f t="shared" ref="M34:V34" si="50">SUM(M30:M33)</f>
        <v>95.345157925187493</v>
      </c>
      <c r="N34" s="91">
        <f t="shared" si="50"/>
        <v>90.671718449039233</v>
      </c>
      <c r="O34" s="91">
        <f t="shared" si="50"/>
        <v>87.80901919985466</v>
      </c>
      <c r="P34" s="91">
        <f t="shared" si="50"/>
        <v>86.090037457562445</v>
      </c>
      <c r="Q34" s="91">
        <f t="shared" si="50"/>
        <v>85.149818105409338</v>
      </c>
      <c r="R34" s="91">
        <f t="shared" si="50"/>
        <v>84.758725380376418</v>
      </c>
      <c r="S34" s="91">
        <f t="shared" si="50"/>
        <v>84.758604994710041</v>
      </c>
      <c r="T34" s="91">
        <f t="shared" si="50"/>
        <v>85.035858821858071</v>
      </c>
      <c r="U34" s="91">
        <f t="shared" si="50"/>
        <v>85.507890464768792</v>
      </c>
      <c r="V34" s="91">
        <f t="shared" si="50"/>
        <v>86.11477004773468</v>
      </c>
    </row>
    <row r="35" spans="1:22" x14ac:dyDescent="0.25">
      <c r="A35" s="82"/>
      <c r="B35" s="98" t="s">
        <v>131</v>
      </c>
      <c r="C35" s="95"/>
      <c r="D35" s="91">
        <f>SUM(D25:D28)+D34</f>
        <v>906.22832093736668</v>
      </c>
      <c r="E35" s="91">
        <f t="shared" ref="E35:I35" si="51">SUM(E25:E28)+E34</f>
        <v>851.06811612506226</v>
      </c>
      <c r="F35" s="91">
        <f t="shared" si="51"/>
        <v>800.95154087824847</v>
      </c>
      <c r="G35" s="91">
        <f t="shared" si="51"/>
        <v>760.04243174256612</v>
      </c>
      <c r="H35" s="91">
        <f t="shared" si="51"/>
        <v>722.12375656243319</v>
      </c>
      <c r="I35" s="91">
        <f t="shared" si="51"/>
        <v>686.65373259642763</v>
      </c>
      <c r="J35" s="91">
        <f>SUM(J25:J28)+J34</f>
        <v>654.70674612004245</v>
      </c>
      <c r="K35" s="91">
        <f t="shared" ref="K35:L35" si="52">SUM(K25:K28)+K34</f>
        <v>630.46314387901202</v>
      </c>
      <c r="L35" s="91">
        <f t="shared" si="52"/>
        <v>614.12936615091905</v>
      </c>
      <c r="M35" s="91">
        <f t="shared" ref="M35:V35" si="53">SUM(M25:M28)+M34</f>
        <v>601.2631363318726</v>
      </c>
      <c r="N35" s="91">
        <f t="shared" si="53"/>
        <v>595.77065808831208</v>
      </c>
      <c r="O35" s="91">
        <f t="shared" si="53"/>
        <v>594.95967289769521</v>
      </c>
      <c r="P35" s="91">
        <f t="shared" si="53"/>
        <v>597.18948387160071</v>
      </c>
      <c r="Q35" s="91">
        <f t="shared" si="53"/>
        <v>601.40835764493681</v>
      </c>
      <c r="R35" s="91">
        <f t="shared" si="53"/>
        <v>606.92372893997788</v>
      </c>
      <c r="S35" s="91">
        <f t="shared" si="53"/>
        <v>613.27413656946169</v>
      </c>
      <c r="T35" s="91">
        <f t="shared" si="53"/>
        <v>620.15103681764788</v>
      </c>
      <c r="U35" s="91">
        <f t="shared" si="53"/>
        <v>627.34827229744531</v>
      </c>
      <c r="V35" s="91">
        <f t="shared" si="53"/>
        <v>634.72845935126884</v>
      </c>
    </row>
    <row r="36" spans="1:22" x14ac:dyDescent="0.25">
      <c r="A36" s="86" t="s">
        <v>315</v>
      </c>
      <c r="B36" s="64"/>
      <c r="C36" s="90"/>
      <c r="D36" s="91"/>
      <c r="E36" s="91"/>
      <c r="F36" s="91"/>
      <c r="G36" s="91"/>
      <c r="H36" s="91"/>
      <c r="I36" s="91"/>
      <c r="J36" s="91"/>
      <c r="K36" s="91"/>
      <c r="L36" s="91"/>
      <c r="M36" s="91"/>
      <c r="N36" s="91"/>
      <c r="O36" s="91"/>
      <c r="P36" s="91"/>
      <c r="Q36" s="91"/>
      <c r="R36" s="91"/>
      <c r="S36" s="91"/>
      <c r="T36" s="91"/>
      <c r="U36" s="91"/>
      <c r="V36" s="91"/>
    </row>
    <row r="37" spans="1:22" x14ac:dyDescent="0.25">
      <c r="A37" s="82"/>
      <c r="B37" s="64" t="s">
        <v>124</v>
      </c>
      <c r="C37" s="90">
        <f>Inc_2004*init_prop_AIDS_NoCare</f>
        <v>20197.694858662428</v>
      </c>
      <c r="D37" s="91">
        <f>(C12*pInt_NoCare_AIDS_NoCare_2004_2006)+(C37*pAIDS_NoCare_2004_2006)</f>
        <v>16460.764033938365</v>
      </c>
      <c r="E37" s="91">
        <f>(D12*pInt_NoCare_AIDS_NoCare_2004_2006)+(D37*pAIDS_NoCare_2004_2006)</f>
        <v>13459.558197925611</v>
      </c>
      <c r="F37" s="91">
        <f>(E12*pInt_NoCare_AIDS_NoCare_2007_2009)+(E37*pAIDS_NoCare_2007_2009)</f>
        <v>6296.2601741540166</v>
      </c>
      <c r="G37" s="91">
        <f>(F12*pInt_NoCare_AIDS_NoCare_2007_2009)+(F37*pAIDS_NoCare_2007_2009)</f>
        <v>5030.2015485239654</v>
      </c>
      <c r="H37" s="91">
        <f>(G12*pInt_NoCare_AIDS_NoCare_2007_2009)+(G37*pAIDS_NoCare_2007_2009)</f>
        <v>4437.7809743848038</v>
      </c>
      <c r="I37" s="91">
        <f>(H12*pInt_NoCare_AIDS_NoCare_2010_2012)+(H37*pAIDS_NoCare_2010_2012)</f>
        <v>4011.2223431467796</v>
      </c>
      <c r="J37" s="91">
        <f>(I12*pInt_NoCare_AIDS_NoCare_2010_2012)+(I37*pAIDS_NoCare_2010_2012)</f>
        <v>3668.2893297704495</v>
      </c>
      <c r="K37" s="91">
        <f>(J12*pInt_NoCare_AIDS_NoCare_2010_2012)+(J37*pAIDS_NoCare_2010_2012)</f>
        <v>3413.1518110233492</v>
      </c>
      <c r="L37" s="91">
        <f t="shared" ref="L37:V37" si="54">(K12*pInt_NoCare_AIDS_NoCare_2013plus_u)+(K37*pAIDS_NoCare_2013plus_u)</f>
        <v>3233.2813473185142</v>
      </c>
      <c r="M37" s="91">
        <f t="shared" si="54"/>
        <v>3110.6431882597944</v>
      </c>
      <c r="N37" s="91">
        <f t="shared" si="54"/>
        <v>3028.8158355082242</v>
      </c>
      <c r="O37" s="91">
        <f t="shared" si="54"/>
        <v>2975.0085736432011</v>
      </c>
      <c r="P37" s="91">
        <f t="shared" si="54"/>
        <v>2939.9827812400636</v>
      </c>
      <c r="Q37" s="91">
        <f t="shared" si="54"/>
        <v>2917.3457782369587</v>
      </c>
      <c r="R37" s="91">
        <f t="shared" si="54"/>
        <v>2902.7909282238243</v>
      </c>
      <c r="S37" s="91">
        <f t="shared" si="54"/>
        <v>2893.4677067220587</v>
      </c>
      <c r="T37" s="91">
        <f t="shared" si="54"/>
        <v>2887.5120544614197</v>
      </c>
      <c r="U37" s="91">
        <f t="shared" si="54"/>
        <v>2883.7153044945258</v>
      </c>
      <c r="V37" s="91">
        <f t="shared" si="54"/>
        <v>2881.2984922299543</v>
      </c>
    </row>
    <row r="38" spans="1:22" x14ac:dyDescent="0.25">
      <c r="A38" s="82"/>
      <c r="B38" s="64" t="s">
        <v>630</v>
      </c>
      <c r="C38" s="90">
        <f>Inc_2004*init_prop_AIDS_InCare</f>
        <v>3982.8067030577031</v>
      </c>
      <c r="D38" s="91">
        <f>(C12*pInt_NoCare_AIDS_InCare_2004_2006)+(C13*pInt_InCare_AIDS_InCare_2004_2012)+(C37*pAIDS_NoCare_AIDS_InCare_2004_2006)+(C38*pAIDS_InCare_2005)</f>
        <v>6470.8714325568135</v>
      </c>
      <c r="E38" s="91">
        <f>(D12*pInt_NoCare_AIDS_InCare_2004_2006)+(D13*pInt_InCare_AIDS_InCare_2004_2012)+(D37*pAIDS_NoCare_AIDS_InCare_2004_2006)+(D38*pAIDS_InCare_2006)</f>
        <v>8074.2508051884597</v>
      </c>
      <c r="F38" s="91">
        <f>(E12*pInt_NoCare_AIDS_InCare_2007_2009)+(E13*pInt_InCare_AIDS_InCare_2004_2012)+(E37*pAIDS_NoCare_AIDS_InCare_2007_2009)+(E38*pAIDS_InCare_2007)</f>
        <v>11500.958679440217</v>
      </c>
      <c r="G38" s="91">
        <f>(F12*pInt_NoCare_AIDS_InCare_2007_2009)+(F13*pInt_InCare_AIDS_InCare_2004_2012)+(F37*pAIDS_NoCare_AIDS_InCare_2007_2009)+(F38*pAIDS_InCare_2008)</f>
        <v>8143.6687733220115</v>
      </c>
      <c r="H38" s="91">
        <f>(G12*pInt_NoCare_AIDS_InCare_2007_2009)+(G13*pInt_InCare_AIDS_InCare_2004_2012)+(G37*pAIDS_NoCare_AIDS_InCare_2007_2009)+(G38*pAIDS_InCare_2009)</f>
        <v>6720.1990820195369</v>
      </c>
      <c r="I38" s="91">
        <f>(H12*pInt_NoCare_AIDS_InCare_2010_2012)+(H13*pInt_InCare_AIDS_InCare_2004_2012)+(H37*pAIDS_NoCare_AIDS_InCare_2010_2012)+(H38*pAIDS_InCare_2010)</f>
        <v>5995.2728793697515</v>
      </c>
      <c r="J38" s="91">
        <f>(I12*pInt_NoCare_AIDS_InCare_2010_2012)+(I13*pInt_InCare_AIDS_InCare_2004_2012)+(I37*pAIDS_NoCare_AIDS_InCare_2010_2012)+(I38*pAIDS_InCare_2011)</f>
        <v>5460.8671966258871</v>
      </c>
      <c r="K38" s="91">
        <f>(J12*pInt_NoCare_AIDS_InCare_2010_2012)+(J13*pInt_InCare_AIDS_InCare_2004_2012)+(J37*pAIDS_NoCare_AIDS_InCare_2010_2012)+(J38*pAIDS_InCare_2012)</f>
        <v>5041.0605094016928</v>
      </c>
      <c r="L38" s="91">
        <f t="shared" ref="L38:V38" si="55">(K12*pInt_NoCare_AIDS_InCare_2013plus_u)+(K13*pInt_InCare_AIDS_InCare_2013plus_u)+(K37*pAIDS_NoCare_AIDS_InCare_2013plus_u)+(K38*pAIDS_InCare_2013plus_u)</f>
        <v>4728.6648196601836</v>
      </c>
      <c r="M38" s="91">
        <f t="shared" si="55"/>
        <v>4507.5353229543462</v>
      </c>
      <c r="N38" s="91">
        <f t="shared" si="55"/>
        <v>4356.281069896404</v>
      </c>
      <c r="O38" s="91">
        <f t="shared" si="55"/>
        <v>4255.1587549579945</v>
      </c>
      <c r="P38" s="91">
        <f t="shared" si="55"/>
        <v>4188.5904021972101</v>
      </c>
      <c r="Q38" s="91">
        <f t="shared" si="55"/>
        <v>4145.2346955915073</v>
      </c>
      <c r="R38" s="91">
        <f t="shared" si="55"/>
        <v>4117.2086769590796</v>
      </c>
      <c r="S38" s="91">
        <f t="shared" si="55"/>
        <v>4099.1888068701683</v>
      </c>
      <c r="T38" s="91">
        <f t="shared" si="55"/>
        <v>4087.6471394192909</v>
      </c>
      <c r="U38" s="91">
        <f t="shared" si="55"/>
        <v>4080.275371747156</v>
      </c>
      <c r="V38" s="91">
        <f t="shared" si="55"/>
        <v>4075.576549945421</v>
      </c>
    </row>
    <row r="39" spans="1:22" x14ac:dyDescent="0.25">
      <c r="A39" s="82"/>
      <c r="B39" s="64" t="s">
        <v>147</v>
      </c>
      <c r="C39" s="90">
        <f>Inc_2004*init_prop_AIDS_ART1ear</f>
        <v>2500.913997286465</v>
      </c>
      <c r="D39" s="91">
        <f>(C12*pInt_NoCare_AIDS_ART1ear_2004_2006)+(C13*pInt_InCare_AIDS_ART1ear_2004_2012)+(C37*pAIDS_NoCare_AIDS_ART1ear_2004_2006)+(C38*pAIDS_InCare_AIDS_ART1ear_2005)+(C39*pAIDS_ART1ear_2004_2012)+(C53*pAIDS_LTFU_AIDS_ART1ear_2004_2012)</f>
        <v>3089.9192704268335</v>
      </c>
      <c r="E39" s="91">
        <f>(D12*pInt_NoCare_AIDS_ART1ear_2004_2006)+(D13*pInt_InCare_AIDS_ART1ear_2004_2012)+(D37*pAIDS_NoCare_AIDS_ART1ear_2004_2006)+(D38*pAIDS_InCare_AIDS_ART1ear_2006)+(D39*pAIDS_ART1ear_2004_2012)+(D53*pAIDS_LTFU_AIDS_ART1ear_2004_2012)</f>
        <v>2485.6813162007065</v>
      </c>
      <c r="F39" s="91">
        <f>(E12*pInt_NoCare_AIDS_ART1ear_2007_2009)+(E13*pInt_InCare_AIDS_ART1ear_2004_2012)+(E37*pAIDS_NoCare_AIDS_ART1ear_2007_2009)+(E38*pAIDS_InCare_AIDS_ART1ear_2007)+(E39*pAIDS_ART1ear_2004_2012)+(E53*pAIDS_LTFU_AIDS_ART1ear_2004_2012)</f>
        <v>4627.8868729191345</v>
      </c>
      <c r="G39" s="91">
        <f>(F12*pInt_NoCare_AIDS_ART1ear_2007_2009)+(F13*pInt_InCare_AIDS_ART1ear_2004_2012)+(F37*pAIDS_NoCare_AIDS_ART1ear_2007_2009)+(F38*pAIDS_InCare_AIDS_ART1ear_2008)+(F39*pAIDS_ART1ear_2004_2012)+(F53*pAIDS_LTFU_AIDS_ART1ear_2004_2012)</f>
        <v>6105.5783944797959</v>
      </c>
      <c r="H39" s="91">
        <f>(G12*pInt_NoCare_AIDS_ART1ear_2007_2009)+(G13*pInt_InCare_AIDS_ART1ear_2004_2012)+(G37*pAIDS_NoCare_AIDS_ART1ear_2007_2009)+(G38*pAIDS_InCare_AIDS_ART1ear_2009)+(G39*pAIDS_ART1ear_2004_2012)+(G53*pAIDS_LTFU_AIDS_ART1ear_2004_2012)</f>
        <v>4786.2431978776267</v>
      </c>
      <c r="I39" s="91">
        <f>(H12*pInt_NoCare_AIDS_ART1ear_2010_2012)+(H13*pInt_InCare_AIDS_ART1ear_2004_2012)+(H37*pAIDS_NoCare_AIDS_ART1ear_2010_2012)+(H38*pAIDS_InCare_AIDS_ART1ear_2010)+(H39*pAIDS_ART1ear_2004_2012)+(H53*pAIDS_LTFU_AIDS_ART1ear_2004_2012)</f>
        <v>4104.6084623852939</v>
      </c>
      <c r="J39" s="91">
        <f>(I12*pInt_NoCare_AIDS_ART1ear_2010_2012)+(I13*pInt_InCare_AIDS_ART1ear_2004_2012)+(I37*pAIDS_NoCare_AIDS_ART1ear_2010_2012)+(I38*pAIDS_InCare_AIDS_ART1ear_2011)+(I39*pAIDS_ART1ear_2004_2012)+(I53*pAIDS_LTFU_AIDS_ART1ear_2004_2012)</f>
        <v>3717.0707237232464</v>
      </c>
      <c r="K39" s="91">
        <f>(J12*pInt_NoCare_AIDS_ART1ear_2010_2012)+(J13*pInt_InCare_AIDS_ART1ear_2004_2012)+(J37*pAIDS_NoCare_AIDS_ART1ear_2010_2012)+(J38*pAIDS_InCare_AIDS_ART1ear_2012)+(J39*pAIDS_ART1ear_2004_2012)+(J53*pAIDS_LTFU_AIDS_ART1ear_2004_2012)</f>
        <v>3424.4752576891051</v>
      </c>
      <c r="L39" s="91">
        <f>(K12*pInt_NoCare_AIDS_ART1ear_2013plus_u)+(K13*pInt_InCare_AIDS_ART1ear_2013plus_u)+(K37*pAIDS_NoCare_AIDS_ART1ear_2013plus_u)+(K38*pAIDS_InCare_AIDS_ART1ear_2013plus_u)+(K39*pAIDS_ART1ear_2013plus_u)+(K53*pAIDS_LTFU_AIDS_ART1ear_2004_2012)</f>
        <v>3195.2414349187525</v>
      </c>
      <c r="M39" s="91">
        <f t="shared" ref="M39:V39" si="56">(L12*pInt_NoCare_AIDS_ART1ear_2013plus_u)+(L13*pInt_InCare_AIDS_ART1ear_2013plus_u)+(L37*pAIDS_NoCare_AIDS_ART1ear_2013plus_u)+(L38*pAIDS_InCare_AIDS_ART1ear_2013plus_u)+(L39*pAIDS_ART1ear_2013plus_u)+(L53*pAIDS_LTFU_AIDS_ART1ear_2004_2012)</f>
        <v>2997.267387910405</v>
      </c>
      <c r="N39" s="91">
        <f t="shared" si="56"/>
        <v>2866.7272492859811</v>
      </c>
      <c r="O39" s="91">
        <f t="shared" si="56"/>
        <v>2780.7338938514381</v>
      </c>
      <c r="P39" s="91">
        <f t="shared" si="56"/>
        <v>2725.1359971110942</v>
      </c>
      <c r="Q39" s="91">
        <f t="shared" si="56"/>
        <v>2690.0391238160291</v>
      </c>
      <c r="R39" s="91">
        <f t="shared" si="56"/>
        <v>2668.6017841801254</v>
      </c>
      <c r="S39" s="91">
        <f t="shared" si="56"/>
        <v>2656.1604675636954</v>
      </c>
      <c r="T39" s="91">
        <f t="shared" si="56"/>
        <v>2649.5792773697981</v>
      </c>
      <c r="U39" s="91">
        <f t="shared" si="56"/>
        <v>2646.773354687562</v>
      </c>
      <c r="V39" s="91">
        <f t="shared" si="56"/>
        <v>2646.3693878906865</v>
      </c>
    </row>
    <row r="40" spans="1:22" x14ac:dyDescent="0.25">
      <c r="A40" s="82"/>
      <c r="B40" s="63" t="s">
        <v>148</v>
      </c>
      <c r="C40" s="90">
        <f>Inc_2004*init_prop_AIDS_ART1late</f>
        <v>0</v>
      </c>
      <c r="D40" s="91">
        <f t="shared" ref="D40:K40" si="57">(C39*pAIDS_ART1ear_AIDS_ART1late_2004_2012)+(C40*pAIDS_ART1late_2004_2012)</f>
        <v>2051.9743897616877</v>
      </c>
      <c r="E40" s="91">
        <f t="shared" si="57"/>
        <v>4449.438132718923</v>
      </c>
      <c r="F40" s="91">
        <f t="shared" si="57"/>
        <v>6190.1488539882885</v>
      </c>
      <c r="G40" s="91">
        <f t="shared" si="57"/>
        <v>9571.634247001215</v>
      </c>
      <c r="H40" s="91">
        <f t="shared" si="57"/>
        <v>13938.494610123866</v>
      </c>
      <c r="I40" s="91">
        <f t="shared" si="57"/>
        <v>16929.633341922545</v>
      </c>
      <c r="J40" s="91">
        <f t="shared" si="57"/>
        <v>19160.652424247928</v>
      </c>
      <c r="K40" s="91">
        <f t="shared" si="57"/>
        <v>20923.895020052591</v>
      </c>
      <c r="L40" s="91">
        <f t="shared" ref="L40:V40" si="58">(K39*pAIDS_ART1ear_AIDS_ART1late_2013plus_u)+(K40*pAIDS_ART1late_2013plus_u)</f>
        <v>22328.669975499008</v>
      </c>
      <c r="M40" s="91">
        <f t="shared" si="58"/>
        <v>23451.034816723593</v>
      </c>
      <c r="N40" s="91">
        <f t="shared" si="58"/>
        <v>24335.600798083953</v>
      </c>
      <c r="O40" s="91">
        <f t="shared" si="58"/>
        <v>25053.664178522315</v>
      </c>
      <c r="P40" s="91">
        <f t="shared" si="58"/>
        <v>25652.955250867981</v>
      </c>
      <c r="Q40" s="91">
        <f t="shared" si="58"/>
        <v>26166.388355641597</v>
      </c>
      <c r="R40" s="91">
        <f t="shared" si="58"/>
        <v>26616.549458577483</v>
      </c>
      <c r="S40" s="91">
        <f t="shared" si="58"/>
        <v>27018.894578222476</v>
      </c>
      <c r="T40" s="91">
        <f t="shared" si="58"/>
        <v>27384.015548519561</v>
      </c>
      <c r="U40" s="91">
        <f t="shared" si="58"/>
        <v>27719.220024822607</v>
      </c>
      <c r="V40" s="91">
        <f t="shared" si="58"/>
        <v>28029.614371574167</v>
      </c>
    </row>
    <row r="41" spans="1:22" x14ac:dyDescent="0.25">
      <c r="A41" s="82"/>
      <c r="B41" s="64" t="s">
        <v>133</v>
      </c>
      <c r="C41" s="90">
        <f>Inc_2004*init_prop_AIDS_ART2</f>
        <v>0</v>
      </c>
      <c r="D41" s="91">
        <f t="shared" ref="D41:K41" si="59">(C40*pAIDS_ART1late_AIDS_ART2_2004_2012)+(C41*pAIDS_ART2_2004_2012)+(C53*pAIDS_LTFU_AIDS_ART2_2004_2012)</f>
        <v>47.753212063060928</v>
      </c>
      <c r="E41" s="91">
        <f t="shared" si="59"/>
        <v>241.06460795415808</v>
      </c>
      <c r="F41" s="91">
        <f t="shared" si="59"/>
        <v>591.92359014245085</v>
      </c>
      <c r="G41" s="91">
        <f t="shared" si="59"/>
        <v>1042.7108028531093</v>
      </c>
      <c r="H41" s="91">
        <f t="shared" si="59"/>
        <v>1635.0712853489022</v>
      </c>
      <c r="I41" s="91">
        <f t="shared" si="59"/>
        <v>2297.613127810238</v>
      </c>
      <c r="J41" s="91">
        <f t="shared" si="59"/>
        <v>2960.9625607337603</v>
      </c>
      <c r="K41" s="91">
        <f t="shared" si="59"/>
        <v>3602.5556287286945</v>
      </c>
      <c r="L41" s="91">
        <f t="shared" ref="L41:V41" si="60">(K40*pAIDS_ART1late_AIDS_ART2_2013plus_u)+(K41*pAIDS_ART2_2013plus_u)+(K53*pAIDS_LTFU_AIDS_ART2_2013plus_u)</f>
        <v>4296.915727131066</v>
      </c>
      <c r="M41" s="91">
        <f t="shared" si="60"/>
        <v>4905.0060658206876</v>
      </c>
      <c r="N41" s="91">
        <f t="shared" si="60"/>
        <v>5453.1298368446687</v>
      </c>
      <c r="O41" s="91">
        <f t="shared" si="60"/>
        <v>5951.5391156831802</v>
      </c>
      <c r="P41" s="91">
        <f t="shared" si="60"/>
        <v>6406.7706264233138</v>
      </c>
      <c r="Q41" s="91">
        <f t="shared" si="60"/>
        <v>6823.8219053735629</v>
      </c>
      <c r="R41" s="91">
        <f t="shared" si="60"/>
        <v>7206.8833010368562</v>
      </c>
      <c r="S41" s="91">
        <f t="shared" si="60"/>
        <v>7559.5781882948095</v>
      </c>
      <c r="T41" s="91">
        <f t="shared" si="60"/>
        <v>7885.0620633085546</v>
      </c>
      <c r="U41" s="91">
        <f t="shared" si="60"/>
        <v>8186.0853875554003</v>
      </c>
      <c r="V41" s="91">
        <f t="shared" si="60"/>
        <v>8465.0475082879238</v>
      </c>
    </row>
    <row r="42" spans="1:22" x14ac:dyDescent="0.25">
      <c r="A42" s="82"/>
      <c r="B42" s="64" t="s">
        <v>570</v>
      </c>
      <c r="D42" s="91"/>
      <c r="E42" s="91"/>
      <c r="F42" s="91"/>
      <c r="G42" s="91"/>
      <c r="H42" s="91"/>
      <c r="I42" s="91"/>
      <c r="J42" s="91"/>
      <c r="K42" s="91"/>
      <c r="L42" s="91"/>
      <c r="M42" s="91"/>
      <c r="N42" s="91"/>
      <c r="O42" s="91"/>
      <c r="P42" s="91"/>
      <c r="Q42" s="91"/>
      <c r="R42" s="91"/>
      <c r="S42" s="91"/>
      <c r="T42" s="91"/>
      <c r="U42" s="91"/>
      <c r="V42" s="91"/>
    </row>
    <row r="43" spans="1:22" x14ac:dyDescent="0.25">
      <c r="A43" s="82"/>
      <c r="B43" s="63" t="s">
        <v>134</v>
      </c>
      <c r="C43" s="90">
        <f>Inc_2004*init_prop_AIDS_LTFU</f>
        <v>248.84425254330867</v>
      </c>
      <c r="D43" s="91">
        <f>(C38*pAIDS_InCare_AIDS_LTFU_2004_2012)+(C43*pAIDS_LTFU_2004_2012)</f>
        <v>287.90776975410336</v>
      </c>
      <c r="E43" s="91">
        <f t="shared" ref="E43:K43" si="61">(D38*pAIDS_InCare_AIDS_LTFU_2004_2012)+(D43*pAIDS_LTFU_2004_2012)</f>
        <v>442.64893402912173</v>
      </c>
      <c r="F43" s="91">
        <f t="shared" si="61"/>
        <v>570.3272853261708</v>
      </c>
      <c r="G43" s="91">
        <f t="shared" si="61"/>
        <v>799.38758253634819</v>
      </c>
      <c r="H43" s="91">
        <f t="shared" si="61"/>
        <v>651.38838467372011</v>
      </c>
      <c r="I43" s="91">
        <f t="shared" si="61"/>
        <v>535.74452497386756</v>
      </c>
      <c r="J43" s="91">
        <f t="shared" si="61"/>
        <v>468.16065337648263</v>
      </c>
      <c r="K43" s="91">
        <f t="shared" si="61"/>
        <v>422.1510689223731</v>
      </c>
      <c r="L43" s="91">
        <f t="shared" ref="L43:V43" si="62">(K38*pAIDS_InCare_AIDS_LTFU_2013plus_u)+(K43*pAIDS_LTFU_2013plus_u)</f>
        <v>357.68986567706094</v>
      </c>
      <c r="M43" s="91">
        <f t="shared" si="62"/>
        <v>329.96691761631325</v>
      </c>
      <c r="N43" s="91">
        <f t="shared" si="62"/>
        <v>312.94110093016087</v>
      </c>
      <c r="O43" s="91">
        <f t="shared" si="62"/>
        <v>301.57632737552893</v>
      </c>
      <c r="P43" s="91">
        <f t="shared" si="62"/>
        <v>293.98092027444733</v>
      </c>
      <c r="Q43" s="91">
        <f t="shared" si="62"/>
        <v>288.96435491655427</v>
      </c>
      <c r="R43" s="91">
        <f t="shared" si="62"/>
        <v>285.68697221524405</v>
      </c>
      <c r="S43" s="91">
        <f t="shared" si="62"/>
        <v>283.56338889688999</v>
      </c>
      <c r="T43" s="91">
        <f t="shared" si="62"/>
        <v>282.19562120105059</v>
      </c>
      <c r="U43" s="91">
        <f t="shared" si="62"/>
        <v>281.31846500822098</v>
      </c>
      <c r="V43" s="91">
        <f t="shared" si="62"/>
        <v>280.75770225883582</v>
      </c>
    </row>
    <row r="44" spans="1:22" x14ac:dyDescent="0.25">
      <c r="A44" s="82"/>
      <c r="B44" s="63" t="s">
        <v>732</v>
      </c>
      <c r="C44" s="95"/>
      <c r="D44" s="91">
        <f>(C18*pInt_LTFU_AIDS_LTFU_2004_2012)</f>
        <v>0</v>
      </c>
      <c r="E44" s="91">
        <f>(D18*pInt_LTFU_AIDS_LTFU_2004_2012)+(D44*pAIDS_LTFU_2004_2012)</f>
        <v>183.52958014673916</v>
      </c>
      <c r="F44" s="91">
        <f t="shared" ref="F44:K44" si="63">(E18*pInt_LTFU_AIDS_LTFU_2004_2012)+(E44*pAIDS_LTFU_2004_2012)</f>
        <v>368.6069199139809</v>
      </c>
      <c r="G44" s="91">
        <f t="shared" si="63"/>
        <v>474.80234314595907</v>
      </c>
      <c r="H44" s="91">
        <f t="shared" si="63"/>
        <v>509.50796386286049</v>
      </c>
      <c r="I44" s="91">
        <f t="shared" si="63"/>
        <v>509.88835911858502</v>
      </c>
      <c r="J44" s="91">
        <f t="shared" si="63"/>
        <v>495.83275251411573</v>
      </c>
      <c r="K44" s="91">
        <f t="shared" si="63"/>
        <v>475.38886155909012</v>
      </c>
      <c r="L44" s="91">
        <f t="shared" ref="L44:V44" si="64">(K18*pInt_LTFU_AIDS_LTFU_2013plus_u)+(K44*pAIDS_LTFU_2013plus_u)</f>
        <v>418.22935412724974</v>
      </c>
      <c r="M44" s="91">
        <f t="shared" si="64"/>
        <v>376.53469162185382</v>
      </c>
      <c r="N44" s="91">
        <f t="shared" si="64"/>
        <v>345.79813861375982</v>
      </c>
      <c r="O44" s="91">
        <f t="shared" si="64"/>
        <v>322.44553457039706</v>
      </c>
      <c r="P44" s="91">
        <f t="shared" si="64"/>
        <v>304.53019164921847</v>
      </c>
      <c r="Q44" s="91">
        <f t="shared" si="64"/>
        <v>290.861465741301</v>
      </c>
      <c r="R44" s="91">
        <f t="shared" si="64"/>
        <v>280.55954628514002</v>
      </c>
      <c r="S44" s="91">
        <f t="shared" si="64"/>
        <v>272.90338945660761</v>
      </c>
      <c r="T44" s="91">
        <f t="shared" si="64"/>
        <v>267.29040793468891</v>
      </c>
      <c r="U44" s="91">
        <f t="shared" si="64"/>
        <v>263.22579444219116</v>
      </c>
      <c r="V44" s="91">
        <f t="shared" si="64"/>
        <v>260.31420890474493</v>
      </c>
    </row>
    <row r="45" spans="1:22" x14ac:dyDescent="0.25">
      <c r="A45" s="82"/>
      <c r="B45" s="63" t="s">
        <v>733</v>
      </c>
      <c r="C45" s="95"/>
      <c r="D45" s="91">
        <f>(C17*pInt_LTFU_AIDS_LTFU_2004_2012)</f>
        <v>343.28997155583733</v>
      </c>
      <c r="E45" s="91">
        <f>(D17*pInt_LTFU_AIDS_LTFU_2004_2012)+(D45*pAIDS_LTFU_2004_2012)</f>
        <v>505.36357511488211</v>
      </c>
      <c r="F45" s="91">
        <f>(E17*pInt_LTFU_AIDS_LTFU_2004_2012)+(E45*pAIDS_LTFU_2004_2012)</f>
        <v>625.31792623142746</v>
      </c>
      <c r="G45" s="91">
        <f t="shared" ref="G45:K45" si="65">(F17*pInt_LTFU_AIDS_LTFU_2004_2012)+(F45*pAIDS_LTFU_2004_2012)</f>
        <v>658.96393097458463</v>
      </c>
      <c r="H45" s="91">
        <f t="shared" si="65"/>
        <v>682.28840257079548</v>
      </c>
      <c r="I45" s="91">
        <f t="shared" si="65"/>
        <v>678.67756633041142</v>
      </c>
      <c r="J45" s="91">
        <f t="shared" si="65"/>
        <v>652.8926222413869</v>
      </c>
      <c r="K45" s="91">
        <f t="shared" si="65"/>
        <v>615.58465329049943</v>
      </c>
      <c r="L45" s="91">
        <f t="shared" ref="L45:V45" si="66">(K17*pInt_LTFU_AIDS_LTFU_2013plus_u)+(K45*pAIDS_LTFU_2013plus_u)</f>
        <v>532.96032907695349</v>
      </c>
      <c r="M45" s="91">
        <f t="shared" si="66"/>
        <v>476.59622298350905</v>
      </c>
      <c r="N45" s="91">
        <f t="shared" si="66"/>
        <v>441.65977594145511</v>
      </c>
      <c r="O45" s="91">
        <f t="shared" si="66"/>
        <v>419.72944508899525</v>
      </c>
      <c r="P45" s="91">
        <f t="shared" si="66"/>
        <v>405.69200860732803</v>
      </c>
      <c r="Q45" s="91">
        <f t="shared" si="66"/>
        <v>396.61150952914494</v>
      </c>
      <c r="R45" s="91">
        <f t="shared" si="66"/>
        <v>390.72002226650153</v>
      </c>
      <c r="S45" s="91">
        <f t="shared" si="66"/>
        <v>386.90203374159267</v>
      </c>
      <c r="T45" s="91">
        <f t="shared" si="66"/>
        <v>384.43497543379266</v>
      </c>
      <c r="U45" s="91">
        <f t="shared" si="66"/>
        <v>382.84618226939409</v>
      </c>
      <c r="V45" s="91">
        <f t="shared" si="66"/>
        <v>381.82624137748161</v>
      </c>
    </row>
    <row r="46" spans="1:22" x14ac:dyDescent="0.25">
      <c r="A46" s="82"/>
      <c r="B46" s="63" t="s">
        <v>149</v>
      </c>
      <c r="C46" s="95"/>
      <c r="D46" s="91">
        <f>(C39*pAIDS_ART1ear_AIDS_LTFU_2004_2012)</f>
        <v>79.292230589934846</v>
      </c>
      <c r="E46" s="91">
        <f>(D39*pAIDS_ART1ear_AIDS_LTFU_2004_2012)+(D46*pAIDS_LTFU_2004_2012)</f>
        <v>115.0769146833459</v>
      </c>
      <c r="F46" s="91">
        <f t="shared" ref="F46:K46" si="67">(E39*pAIDS_ART1ear_AIDS_LTFU_2004_2012)+(E46*pAIDS_LTFU_2004_2012)</f>
        <v>103.64117600417765</v>
      </c>
      <c r="G46" s="91">
        <f t="shared" si="67"/>
        <v>169.09278371836774</v>
      </c>
      <c r="H46" s="91">
        <f t="shared" si="67"/>
        <v>230.06693021650244</v>
      </c>
      <c r="I46" s="91">
        <f t="shared" si="67"/>
        <v>201.3943330946905</v>
      </c>
      <c r="J46" s="91">
        <f t="shared" si="67"/>
        <v>173.59577488825124</v>
      </c>
      <c r="K46" s="91">
        <f t="shared" si="67"/>
        <v>155.31025515042984</v>
      </c>
      <c r="L46" s="91">
        <f t="shared" ref="L46:V46" si="68">(K39*pAIDS_ART1ear_AIDS_LTFU_2013plus_u)+(K46*pAIDS_LTFU_2013plus_u)</f>
        <v>131.10724718244046</v>
      </c>
      <c r="M46" s="91">
        <f t="shared" si="68"/>
        <v>120.32782013023373</v>
      </c>
      <c r="N46" s="91">
        <f t="shared" si="68"/>
        <v>112.48705742196908</v>
      </c>
      <c r="O46" s="91">
        <f t="shared" si="68"/>
        <v>107.21066394935417</v>
      </c>
      <c r="P46" s="91">
        <f t="shared" si="68"/>
        <v>103.71869181964199</v>
      </c>
      <c r="Q46" s="91">
        <f t="shared" si="68"/>
        <v>101.44931008867363</v>
      </c>
      <c r="R46" s="91">
        <f t="shared" si="68"/>
        <v>100.00729932095027</v>
      </c>
      <c r="S46" s="91">
        <f t="shared" si="68"/>
        <v>99.118407509570872</v>
      </c>
      <c r="T46" s="91">
        <f t="shared" si="68"/>
        <v>98.5949867226701</v>
      </c>
      <c r="U46" s="91">
        <f t="shared" si="68"/>
        <v>98.310387466023656</v>
      </c>
      <c r="V46" s="91">
        <f t="shared" si="68"/>
        <v>98.180133685697641</v>
      </c>
    </row>
    <row r="47" spans="1:22" x14ac:dyDescent="0.25">
      <c r="A47" s="82"/>
      <c r="B47" s="63" t="s">
        <v>150</v>
      </c>
      <c r="C47" s="95"/>
      <c r="D47" s="91">
        <f>(C40*pAIDS_ART1late_AIDS_LTFU_2004_2012)</f>
        <v>0</v>
      </c>
      <c r="E47" s="91">
        <f>(D40*pAIDS_ART1late_AIDS_LTFU_2004_2012)+(D47*pAIDS_LTFU_2004_2012)</f>
        <v>22.156509985903931</v>
      </c>
      <c r="F47" s="91">
        <f t="shared" ref="F47:K47" si="69">(E40*pAIDS_ART1late_AIDS_LTFU_2004_2012)+(E47*pAIDS_LTFU_2004_2012)</f>
        <v>52.824542859499218</v>
      </c>
      <c r="G47" s="91">
        <f t="shared" si="69"/>
        <v>78.237844872499366</v>
      </c>
      <c r="H47" s="91">
        <f t="shared" si="69"/>
        <v>120.23377101556591</v>
      </c>
      <c r="I47" s="91">
        <f t="shared" si="69"/>
        <v>176.44772127780541</v>
      </c>
      <c r="J47" s="91">
        <f t="shared" si="69"/>
        <v>220.87514507921716</v>
      </c>
      <c r="K47" s="91">
        <f t="shared" si="69"/>
        <v>254.55170102183808</v>
      </c>
      <c r="L47" s="91">
        <f t="shared" ref="L47:V47" si="70">(K40*pAIDS_ART1late_AIDS_LTFU_2013plus_u)+(K47*pAIDS_LTFU_2013plus_u)</f>
        <v>262.86068410115183</v>
      </c>
      <c r="M47" s="91">
        <f t="shared" si="70"/>
        <v>279.23446935047343</v>
      </c>
      <c r="N47" s="91">
        <f t="shared" si="70"/>
        <v>293.72897176372868</v>
      </c>
      <c r="O47" s="91">
        <f t="shared" si="70"/>
        <v>305.38314806558498</v>
      </c>
      <c r="P47" s="91">
        <f t="shared" si="70"/>
        <v>314.8273973941553</v>
      </c>
      <c r="Q47" s="91">
        <f t="shared" si="70"/>
        <v>322.66855657248158</v>
      </c>
      <c r="R47" s="91">
        <f t="shared" si="70"/>
        <v>329.35006634857723</v>
      </c>
      <c r="S47" s="91">
        <f t="shared" si="70"/>
        <v>335.18013888826584</v>
      </c>
      <c r="T47" s="91">
        <f t="shared" si="70"/>
        <v>340.3703799786</v>
      </c>
      <c r="U47" s="91">
        <f t="shared" si="70"/>
        <v>345.0658574613368</v>
      </c>
      <c r="V47" s="91">
        <f t="shared" si="70"/>
        <v>349.36652407813438</v>
      </c>
    </row>
    <row r="48" spans="1:22" x14ac:dyDescent="0.25">
      <c r="A48" s="82"/>
      <c r="B48" s="63" t="s">
        <v>718</v>
      </c>
      <c r="C48" s="95"/>
      <c r="D48" s="91">
        <f>(C19*pInt_LTFU_AIDS_LTFU_2004_2012)</f>
        <v>0</v>
      </c>
      <c r="E48" s="91">
        <f>(D19*pInt_LTFU_AIDS_LTFU_2004_2012)+(D48*pAIDS_LTFU_2004_2012)</f>
        <v>1.7258577724619526</v>
      </c>
      <c r="F48" s="91">
        <f t="shared" ref="F48:K48" si="71">(E19*pInt_LTFU_AIDS_LTFU_2004_2012)+(E48*pAIDS_LTFU_2004_2012)</f>
        <v>9.0805205048544142</v>
      </c>
      <c r="G48" s="91">
        <f t="shared" si="71"/>
        <v>21.012290773963219</v>
      </c>
      <c r="H48" s="91">
        <f t="shared" si="71"/>
        <v>35.241026918870304</v>
      </c>
      <c r="I48" s="91">
        <f t="shared" si="71"/>
        <v>50.484942240219091</v>
      </c>
      <c r="J48" s="91">
        <f t="shared" si="71"/>
        <v>65.771523724123469</v>
      </c>
      <c r="K48" s="91">
        <f t="shared" si="71"/>
        <v>80.456565301584845</v>
      </c>
      <c r="L48" s="91">
        <f t="shared" ref="L48:V48" si="72">(K19*pInt_LTFU_AIDS_LTFU_2013plus_u)+(K48*pAIDS_LTFU_2013plus_u)</f>
        <v>88.491370800355625</v>
      </c>
      <c r="M48" s="91">
        <f t="shared" si="72"/>
        <v>96.214732342981648</v>
      </c>
      <c r="N48" s="91">
        <f t="shared" si="72"/>
        <v>104.90446284175744</v>
      </c>
      <c r="O48" s="91">
        <f t="shared" si="72"/>
        <v>113.62564658189406</v>
      </c>
      <c r="P48" s="91">
        <f t="shared" si="72"/>
        <v>121.9313153314155</v>
      </c>
      <c r="Q48" s="91">
        <f t="shared" si="72"/>
        <v>129.72315043470917</v>
      </c>
      <c r="R48" s="91">
        <f t="shared" si="72"/>
        <v>137.03738092103981</v>
      </c>
      <c r="S48" s="91">
        <f t="shared" si="72"/>
        <v>143.94533065982918</v>
      </c>
      <c r="T48" s="91">
        <f t="shared" si="72"/>
        <v>150.51697607342896</v>
      </c>
      <c r="U48" s="91">
        <f t="shared" si="72"/>
        <v>156.81039923709307</v>
      </c>
      <c r="V48" s="91">
        <f t="shared" si="72"/>
        <v>162.87067844573818</v>
      </c>
    </row>
    <row r="49" spans="1:22" x14ac:dyDescent="0.25">
      <c r="A49" s="82"/>
      <c r="B49" s="63" t="s">
        <v>136</v>
      </c>
      <c r="C49" s="95"/>
      <c r="D49" s="91">
        <f>(C41*pAIDS_ART2_AIDS_LTFU_2004_2012)</f>
        <v>0</v>
      </c>
      <c r="E49" s="91">
        <f>(D41*pAIDS_ART2_AIDS_LTFU_2004_2012)+(D49*pAIDS_LTFU_2004_2012)</f>
        <v>1.3106379751251294</v>
      </c>
      <c r="F49" s="91">
        <f t="shared" ref="F49:K49" si="73">(E41*pAIDS_ART2_AIDS_LTFU_2004_2012)+(E49*pAIDS_LTFU_2004_2012)</f>
        <v>6.8990923322267257</v>
      </c>
      <c r="G49" s="91">
        <f t="shared" si="73"/>
        <v>17.734698413257739</v>
      </c>
      <c r="H49" s="91">
        <f t="shared" si="73"/>
        <v>32.445199657932882</v>
      </c>
      <c r="I49" s="91">
        <f t="shared" si="73"/>
        <v>51.877475965462239</v>
      </c>
      <c r="J49" s="91">
        <f t="shared" si="73"/>
        <v>74.254844220875498</v>
      </c>
      <c r="K49" s="91">
        <f t="shared" si="73"/>
        <v>97.289885096903831</v>
      </c>
      <c r="L49" s="91">
        <f t="shared" ref="L49:V49" si="74">(K41*pAIDS_ART2_AIDS_LTFU_2013plus_u)+(K49*pAIDS_LTFU_2013plus_u)</f>
        <v>112.99132045214802</v>
      </c>
      <c r="M49" s="91">
        <f t="shared" si="74"/>
        <v>134.32682279929614</v>
      </c>
      <c r="N49" s="91">
        <f t="shared" si="74"/>
        <v>154.11197941318324</v>
      </c>
      <c r="O49" s="91">
        <f t="shared" si="74"/>
        <v>172.02635712933039</v>
      </c>
      <c r="P49" s="91">
        <f t="shared" si="74"/>
        <v>188.30484499393012</v>
      </c>
      <c r="Q49" s="91">
        <f t="shared" si="74"/>
        <v>203.16092932904107</v>
      </c>
      <c r="R49" s="91">
        <f t="shared" si="74"/>
        <v>216.76274658220967</v>
      </c>
      <c r="S49" s="91">
        <f t="shared" si="74"/>
        <v>229.24969946999369</v>
      </c>
      <c r="T49" s="91">
        <f t="shared" si="74"/>
        <v>240.74146067067923</v>
      </c>
      <c r="U49" s="91">
        <f t="shared" si="74"/>
        <v>251.34199889292643</v>
      </c>
      <c r="V49" s="91">
        <f t="shared" si="74"/>
        <v>261.14188782078719</v>
      </c>
    </row>
    <row r="50" spans="1:22" x14ac:dyDescent="0.25">
      <c r="A50" s="82"/>
      <c r="B50" s="63" t="s">
        <v>734</v>
      </c>
      <c r="C50" s="95"/>
      <c r="D50" s="91">
        <f>(C20*pInt_LTFU_AIDS_LTFU_2004_2012)</f>
        <v>0</v>
      </c>
      <c r="E50" s="91">
        <f>(D20*pInt_LTFU_AIDS_LTFU_2004_2012)+(D50*pAIDS_LTFU_2004_2012)</f>
        <v>0</v>
      </c>
      <c r="F50" s="91">
        <f t="shared" ref="F50:J50" si="75">(E20*pInt_LTFU_AIDS_LTFU_2004_2012)+(E50*pAIDS_LTFU_2004_2012)</f>
        <v>0.76311842540072539</v>
      </c>
      <c r="G50" s="91">
        <f t="shared" si="75"/>
        <v>2.6603967862208489</v>
      </c>
      <c r="H50" s="91">
        <f t="shared" si="75"/>
        <v>5.7828788751642239</v>
      </c>
      <c r="I50" s="91">
        <f t="shared" si="75"/>
        <v>9.8113012486901336</v>
      </c>
      <c r="J50" s="91">
        <f t="shared" si="75"/>
        <v>14.427840024375133</v>
      </c>
      <c r="K50" s="91">
        <f>(J20*pInt_LTFU_AIDS_LTFU_2004_2012)+(J50*pAIDS_LTFU_2004_2012)</f>
        <v>19.356505882444143</v>
      </c>
      <c r="L50" s="91">
        <f t="shared" ref="L50:V50" si="76">(K20*pInt_LTFU_AIDS_LTFU_2013plus_u)+(K50*pAIDS_LTFU_2013plus_u)</f>
        <v>23.022844648743405</v>
      </c>
      <c r="M50" s="91">
        <f t="shared" si="76"/>
        <v>26.657196487145431</v>
      </c>
      <c r="N50" s="91">
        <f t="shared" si="76"/>
        <v>30.779072815578399</v>
      </c>
      <c r="O50" s="91">
        <f t="shared" si="76"/>
        <v>34.996601462212574</v>
      </c>
      <c r="P50" s="91">
        <f t="shared" si="76"/>
        <v>39.134412749953455</v>
      </c>
      <c r="Q50" s="91">
        <f t="shared" si="76"/>
        <v>43.157143278763471</v>
      </c>
      <c r="R50" s="91">
        <f t="shared" si="76"/>
        <v>47.078868283716766</v>
      </c>
      <c r="S50" s="91">
        <f t="shared" si="76"/>
        <v>50.924773134788644</v>
      </c>
      <c r="T50" s="91">
        <f t="shared" si="76"/>
        <v>54.718431767723494</v>
      </c>
      <c r="U50" s="91">
        <f t="shared" si="76"/>
        <v>58.478613436490328</v>
      </c>
      <c r="V50" s="91">
        <f t="shared" si="76"/>
        <v>62.219215906771197</v>
      </c>
    </row>
    <row r="51" spans="1:22" x14ac:dyDescent="0.25">
      <c r="A51" s="82"/>
      <c r="B51" s="63" t="s">
        <v>137</v>
      </c>
      <c r="C51" s="91">
        <f>SUM(C43:C45)</f>
        <v>248.84425254330867</v>
      </c>
      <c r="D51" s="91">
        <f>SUM(D43:D45)</f>
        <v>631.19774130994074</v>
      </c>
      <c r="E51" s="91">
        <f t="shared" ref="E51:I51" si="77">SUM(E43:E45)</f>
        <v>1131.542089290743</v>
      </c>
      <c r="F51" s="91">
        <f t="shared" si="77"/>
        <v>1564.2521314715791</v>
      </c>
      <c r="G51" s="91">
        <f t="shared" si="77"/>
        <v>1933.1538566568918</v>
      </c>
      <c r="H51" s="91">
        <f t="shared" si="77"/>
        <v>1843.1847511073761</v>
      </c>
      <c r="I51" s="91">
        <f t="shared" si="77"/>
        <v>1724.3104504228641</v>
      </c>
      <c r="J51" s="91">
        <f>SUM(J43:J45)</f>
        <v>1616.8860281319853</v>
      </c>
      <c r="K51" s="91">
        <f t="shared" ref="K51:L51" si="78">SUM(K43:K45)</f>
        <v>1513.1245837719625</v>
      </c>
      <c r="L51" s="91">
        <f t="shared" si="78"/>
        <v>1308.8795488812641</v>
      </c>
      <c r="M51" s="91">
        <f t="shared" ref="M51:V51" si="79">SUM(M43:M45)</f>
        <v>1183.0978322216761</v>
      </c>
      <c r="N51" s="91">
        <f t="shared" si="79"/>
        <v>1100.3990154853759</v>
      </c>
      <c r="O51" s="91">
        <f t="shared" si="79"/>
        <v>1043.7513070349214</v>
      </c>
      <c r="P51" s="91">
        <f t="shared" si="79"/>
        <v>1004.2031205309938</v>
      </c>
      <c r="Q51" s="91">
        <f t="shared" si="79"/>
        <v>976.43733018700027</v>
      </c>
      <c r="R51" s="91">
        <f t="shared" si="79"/>
        <v>956.9665407668856</v>
      </c>
      <c r="S51" s="91">
        <f t="shared" si="79"/>
        <v>943.36881209509033</v>
      </c>
      <c r="T51" s="91">
        <f t="shared" si="79"/>
        <v>933.92100456953222</v>
      </c>
      <c r="U51" s="91">
        <f t="shared" si="79"/>
        <v>927.39044171980618</v>
      </c>
      <c r="V51" s="91">
        <f t="shared" si="79"/>
        <v>922.89815254106247</v>
      </c>
    </row>
    <row r="52" spans="1:22" x14ac:dyDescent="0.25">
      <c r="A52" s="82"/>
      <c r="B52" s="63" t="s">
        <v>138</v>
      </c>
      <c r="C52" s="91">
        <f>SUM(C46:C50)</f>
        <v>0</v>
      </c>
      <c r="D52" s="91">
        <f>SUM(D46:D50)</f>
        <v>79.292230589934846</v>
      </c>
      <c r="E52" s="91">
        <f t="shared" ref="E52:I52" si="80">SUM(E46:E50)</f>
        <v>140.26992041683692</v>
      </c>
      <c r="F52" s="91">
        <f t="shared" si="80"/>
        <v>173.20845012615874</v>
      </c>
      <c r="G52" s="91">
        <f t="shared" si="80"/>
        <v>288.73801456430891</v>
      </c>
      <c r="H52" s="91">
        <f t="shared" si="80"/>
        <v>423.76980668403581</v>
      </c>
      <c r="I52" s="91">
        <f t="shared" si="80"/>
        <v>490.01577382686736</v>
      </c>
      <c r="J52" s="91">
        <f>SUM(J46:J50)</f>
        <v>548.92512793684239</v>
      </c>
      <c r="K52" s="91">
        <f t="shared" ref="K52:L52" si="81">SUM(K46:K50)</f>
        <v>606.96491245320078</v>
      </c>
      <c r="L52" s="91">
        <f t="shared" si="81"/>
        <v>618.47346718483936</v>
      </c>
      <c r="M52" s="91">
        <f t="shared" ref="M52:V52" si="82">SUM(M46:M50)</f>
        <v>656.76104111013035</v>
      </c>
      <c r="N52" s="91">
        <f t="shared" si="82"/>
        <v>696.01154425621678</v>
      </c>
      <c r="O52" s="91">
        <f t="shared" si="82"/>
        <v>733.24241718837607</v>
      </c>
      <c r="P52" s="91">
        <f t="shared" si="82"/>
        <v>767.91666228909639</v>
      </c>
      <c r="Q52" s="91">
        <f t="shared" si="82"/>
        <v>800.15908970366888</v>
      </c>
      <c r="R52" s="91">
        <f t="shared" si="82"/>
        <v>830.23636145649391</v>
      </c>
      <c r="S52" s="91">
        <f t="shared" si="82"/>
        <v>858.41834966244824</v>
      </c>
      <c r="T52" s="91">
        <f t="shared" si="82"/>
        <v>884.94223521310175</v>
      </c>
      <c r="U52" s="91">
        <f t="shared" si="82"/>
        <v>910.00725649387039</v>
      </c>
      <c r="V52" s="91">
        <f t="shared" si="82"/>
        <v>933.77843993712861</v>
      </c>
    </row>
    <row r="53" spans="1:22" x14ac:dyDescent="0.25">
      <c r="A53" s="82"/>
      <c r="B53" s="63" t="s">
        <v>139</v>
      </c>
      <c r="C53" s="91">
        <f>SUM(C51:C52)</f>
        <v>248.84425254330867</v>
      </c>
      <c r="D53" s="91">
        <f>SUM(D51:D52)</f>
        <v>710.48997189987563</v>
      </c>
      <c r="E53" s="91">
        <f t="shared" ref="E53:I53" si="83">SUM(E51:E52)</f>
        <v>1271.8120097075798</v>
      </c>
      <c r="F53" s="91">
        <f t="shared" si="83"/>
        <v>1737.4605815977379</v>
      </c>
      <c r="G53" s="91">
        <f t="shared" si="83"/>
        <v>2221.8918712212007</v>
      </c>
      <c r="H53" s="91">
        <f t="shared" si="83"/>
        <v>2266.9545577914118</v>
      </c>
      <c r="I53" s="91">
        <f t="shared" si="83"/>
        <v>2214.3262242497312</v>
      </c>
      <c r="J53" s="91">
        <f>SUM(J51:J52)</f>
        <v>2165.8111560688276</v>
      </c>
      <c r="K53" s="91">
        <f t="shared" ref="K53:L53" si="84">SUM(K51:K52)</f>
        <v>2120.0894962251632</v>
      </c>
      <c r="L53" s="91">
        <f t="shared" si="84"/>
        <v>1927.3530160661035</v>
      </c>
      <c r="M53" s="91">
        <f t="shared" ref="M53:V53" si="85">SUM(M51:M52)</f>
        <v>1839.8588733318065</v>
      </c>
      <c r="N53" s="91">
        <f t="shared" si="85"/>
        <v>1796.4105597415928</v>
      </c>
      <c r="O53" s="91">
        <f t="shared" si="85"/>
        <v>1776.9937242232975</v>
      </c>
      <c r="P53" s="91">
        <f t="shared" si="85"/>
        <v>1772.1197828200902</v>
      </c>
      <c r="Q53" s="91">
        <f t="shared" si="85"/>
        <v>1776.596419890669</v>
      </c>
      <c r="R53" s="91">
        <f t="shared" si="85"/>
        <v>1787.2029022233796</v>
      </c>
      <c r="S53" s="91">
        <f t="shared" si="85"/>
        <v>1801.7871617575386</v>
      </c>
      <c r="T53" s="91">
        <f t="shared" si="85"/>
        <v>1818.8632397826341</v>
      </c>
      <c r="U53" s="91">
        <f t="shared" si="85"/>
        <v>1837.3976982136764</v>
      </c>
      <c r="V53" s="91">
        <f t="shared" si="85"/>
        <v>1856.6765924781912</v>
      </c>
    </row>
    <row r="54" spans="1:22" x14ac:dyDescent="0.25">
      <c r="A54" s="82"/>
      <c r="B54" s="63" t="s">
        <v>127</v>
      </c>
      <c r="C54" s="90"/>
      <c r="D54" s="91"/>
      <c r="E54" s="91"/>
      <c r="F54" s="91"/>
      <c r="G54" s="91"/>
      <c r="H54" s="91"/>
      <c r="I54" s="91"/>
      <c r="J54" s="91"/>
      <c r="K54" s="91"/>
      <c r="L54" s="91"/>
      <c r="M54" s="91"/>
      <c r="N54" s="91"/>
      <c r="O54" s="91"/>
      <c r="P54" s="91"/>
      <c r="Q54" s="91"/>
      <c r="R54" s="91"/>
      <c r="S54" s="91"/>
      <c r="T54" s="91"/>
      <c r="U54" s="91"/>
      <c r="V54" s="91"/>
    </row>
    <row r="55" spans="1:22" x14ac:dyDescent="0.25">
      <c r="A55" s="82"/>
      <c r="B55" s="63" t="s">
        <v>128</v>
      </c>
      <c r="C55" s="95"/>
      <c r="D55" s="91">
        <f>(C37*pAIDS_NoCare_AIDS_Dead_2004_2006)</f>
        <v>8291.4514192246461</v>
      </c>
      <c r="E55" s="91">
        <f>(D37*pAIDS_NoCare_AIDS_Dead_2004_2006)</f>
        <v>6757.3862396571903</v>
      </c>
      <c r="F55" s="91">
        <f>(E37*pAIDS_NoCare_AIDS_Dead_2007_2009)</f>
        <v>5525.3470112934256</v>
      </c>
      <c r="G55" s="91">
        <f>(F37*pAIDS_NoCare_AIDS_Dead_2007_2009)</f>
        <v>2584.707597679499</v>
      </c>
      <c r="H55" s="91">
        <f>(G37*pAIDS_NoCare_AIDS_Dead_2007_2009)</f>
        <v>2064.9718723029114</v>
      </c>
      <c r="I55" s="91">
        <f>(H37*pAIDS_NoCare_AIDS_Dead_2010_2012)</f>
        <v>1821.7744953449489</v>
      </c>
      <c r="J55" s="91">
        <f>(I37*pAIDS_NoCare_AIDS_Dead_2010_2012)</f>
        <v>1646.6658904714491</v>
      </c>
      <c r="K55" s="91">
        <f>(J37*pAIDS_NoCare_AIDS_Dead_2010_2012)</f>
        <v>1505.8868342298567</v>
      </c>
      <c r="L55" s="91">
        <f t="shared" ref="L55:V55" si="86">(K37*pAIDS_NoCare_AIDS_Dead_2013plus_u)</f>
        <v>1401.1491224901522</v>
      </c>
      <c r="M55" s="91">
        <f t="shared" si="86"/>
        <v>1327.3096461539494</v>
      </c>
      <c r="N55" s="91">
        <f t="shared" si="86"/>
        <v>1276.9648743820155</v>
      </c>
      <c r="O55" s="91">
        <f t="shared" si="86"/>
        <v>1243.3735400811897</v>
      </c>
      <c r="P55" s="91">
        <f t="shared" si="86"/>
        <v>1221.2848660578768</v>
      </c>
      <c r="Q55" s="91">
        <f t="shared" si="86"/>
        <v>1206.9062620556529</v>
      </c>
      <c r="R55" s="91">
        <f t="shared" si="86"/>
        <v>1197.6134386918723</v>
      </c>
      <c r="S55" s="91">
        <f t="shared" si="86"/>
        <v>1191.6384582476933</v>
      </c>
      <c r="T55" s="91">
        <f t="shared" si="86"/>
        <v>1187.8111384127565</v>
      </c>
      <c r="U55" s="91">
        <f t="shared" si="86"/>
        <v>1185.3662553835575</v>
      </c>
      <c r="V55" s="91">
        <f t="shared" si="86"/>
        <v>1183.8076335644967</v>
      </c>
    </row>
    <row r="56" spans="1:22" x14ac:dyDescent="0.25">
      <c r="A56" s="82"/>
      <c r="B56" s="63" t="s">
        <v>151</v>
      </c>
      <c r="C56" s="95"/>
      <c r="D56" s="91">
        <f t="shared" ref="D56:K56" si="87">(C38*pAIDS_InCare_AIDS_Dead_2004_2012)</f>
        <v>1534.1272679265815</v>
      </c>
      <c r="E56" s="91">
        <f t="shared" si="87"/>
        <v>2492.4986453174411</v>
      </c>
      <c r="F56" s="91">
        <f t="shared" si="87"/>
        <v>3110.1003015807946</v>
      </c>
      <c r="G56" s="91">
        <f t="shared" si="87"/>
        <v>4430.0252643143394</v>
      </c>
      <c r="H56" s="91">
        <f t="shared" si="87"/>
        <v>3136.8392336298898</v>
      </c>
      <c r="I56" s="91">
        <f t="shared" si="87"/>
        <v>2588.5365337229086</v>
      </c>
      <c r="J56" s="91">
        <f t="shared" si="87"/>
        <v>2309.3040382403397</v>
      </c>
      <c r="K56" s="91">
        <f t="shared" si="87"/>
        <v>2103.4576612612941</v>
      </c>
      <c r="L56" s="91">
        <f t="shared" ref="L56:V56" si="88">(K38*pAIDS_InCare_AIDS_Dead_2013plus_u)</f>
        <v>1941.7533823079325</v>
      </c>
      <c r="M56" s="91">
        <f t="shared" si="88"/>
        <v>1821.4224745470196</v>
      </c>
      <c r="N56" s="91">
        <f t="shared" si="88"/>
        <v>1736.246161476425</v>
      </c>
      <c r="O56" s="91">
        <f t="shared" si="88"/>
        <v>1677.9849172568872</v>
      </c>
      <c r="P56" s="91">
        <f t="shared" si="88"/>
        <v>1639.0338678314224</v>
      </c>
      <c r="Q56" s="91">
        <f t="shared" si="88"/>
        <v>1613.392571940042</v>
      </c>
      <c r="R56" s="91">
        <f t="shared" si="88"/>
        <v>1596.6924966707679</v>
      </c>
      <c r="S56" s="91">
        <f t="shared" si="88"/>
        <v>1585.8972252451131</v>
      </c>
      <c r="T56" s="91">
        <f t="shared" si="88"/>
        <v>1578.9561969379472</v>
      </c>
      <c r="U56" s="91">
        <f t="shared" si="88"/>
        <v>1574.5104911646447</v>
      </c>
      <c r="V56" s="91">
        <f t="shared" si="88"/>
        <v>1571.6709785691778</v>
      </c>
    </row>
    <row r="57" spans="1:22" x14ac:dyDescent="0.25">
      <c r="A57" s="82"/>
      <c r="B57" s="63" t="s">
        <v>152</v>
      </c>
      <c r="C57" s="95"/>
      <c r="D57" s="91">
        <f t="shared" ref="D57:K57" si="89">(C39*pAIDS_ART1ear_AIDS_Dead_2004_2012)</f>
        <v>369.6473769348425</v>
      </c>
      <c r="E57" s="91">
        <f t="shared" si="89"/>
        <v>456.70525035766406</v>
      </c>
      <c r="F57" s="91">
        <f t="shared" si="89"/>
        <v>367.39591182522855</v>
      </c>
      <c r="G57" s="91">
        <f t="shared" si="89"/>
        <v>684.02441874525596</v>
      </c>
      <c r="H57" s="91">
        <f t="shared" si="89"/>
        <v>902.43448620715913</v>
      </c>
      <c r="I57" s="91">
        <f t="shared" si="89"/>
        <v>707.4302616512739</v>
      </c>
      <c r="J57" s="91">
        <f t="shared" si="89"/>
        <v>606.68129856185863</v>
      </c>
      <c r="K57" s="91">
        <f t="shared" si="89"/>
        <v>549.40131663720319</v>
      </c>
      <c r="L57" s="91">
        <f t="shared" ref="L57:V57" si="90">(K39*pAIDS_ART1ear_AIDS_Dead_2013plus_u)</f>
        <v>506.15426910182197</v>
      </c>
      <c r="M57" s="91">
        <f t="shared" si="90"/>
        <v>472.272383765602</v>
      </c>
      <c r="N57" s="91">
        <f t="shared" si="90"/>
        <v>443.01084688060195</v>
      </c>
      <c r="O57" s="91">
        <f t="shared" si="90"/>
        <v>423.71637298842285</v>
      </c>
      <c r="P57" s="91">
        <f t="shared" si="90"/>
        <v>411.00613253045663</v>
      </c>
      <c r="Q57" s="91">
        <f t="shared" si="90"/>
        <v>402.78849021430295</v>
      </c>
      <c r="R57" s="91">
        <f t="shared" si="90"/>
        <v>397.60099989427925</v>
      </c>
      <c r="S57" s="91">
        <f t="shared" si="90"/>
        <v>394.43245576462459</v>
      </c>
      <c r="T57" s="91">
        <f t="shared" si="90"/>
        <v>392.59356803882952</v>
      </c>
      <c r="U57" s="91">
        <f t="shared" si="90"/>
        <v>391.62083579176982</v>
      </c>
      <c r="V57" s="91">
        <f t="shared" si="90"/>
        <v>391.20610663255206</v>
      </c>
    </row>
    <row r="58" spans="1:22" x14ac:dyDescent="0.25">
      <c r="A58" s="82"/>
      <c r="B58" s="63" t="s">
        <v>153</v>
      </c>
      <c r="C58" s="95"/>
      <c r="D58" s="91">
        <f t="shared" ref="D58:K58" si="91">(C40*pAIDS_ART1late_AIDS_Dead_2004_2012)</f>
        <v>0</v>
      </c>
      <c r="E58" s="91">
        <f t="shared" si="91"/>
        <v>52.849003591907035</v>
      </c>
      <c r="F58" s="91">
        <f t="shared" si="91"/>
        <v>114.59615335907783</v>
      </c>
      <c r="G58" s="91">
        <f t="shared" si="91"/>
        <v>159.42850001010981</v>
      </c>
      <c r="H58" s="91">
        <f t="shared" si="91"/>
        <v>246.51932072063346</v>
      </c>
      <c r="I58" s="91">
        <f t="shared" si="91"/>
        <v>358.98866739840963</v>
      </c>
      <c r="J58" s="91">
        <f t="shared" si="91"/>
        <v>436.02603315182898</v>
      </c>
      <c r="K58" s="91">
        <f t="shared" si="91"/>
        <v>493.48636798043316</v>
      </c>
      <c r="L58" s="91">
        <f t="shared" ref="L58:V58" si="92">(K40*pAIDS_ART1late_AIDS_Dead_2013plus_u)</f>
        <v>538.89902748731254</v>
      </c>
      <c r="M58" s="91">
        <f t="shared" si="92"/>
        <v>575.07928248300527</v>
      </c>
      <c r="N58" s="91">
        <f t="shared" si="92"/>
        <v>603.98600949736976</v>
      </c>
      <c r="O58" s="91">
        <f t="shared" si="92"/>
        <v>626.76818015185916</v>
      </c>
      <c r="P58" s="91">
        <f t="shared" si="92"/>
        <v>645.26204360422469</v>
      </c>
      <c r="Q58" s="91">
        <f t="shared" si="92"/>
        <v>660.6969029246045</v>
      </c>
      <c r="R58" s="91">
        <f t="shared" si="92"/>
        <v>673.92047342030457</v>
      </c>
      <c r="S58" s="91">
        <f t="shared" si="92"/>
        <v>685.51446107663128</v>
      </c>
      <c r="T58" s="91">
        <f t="shared" si="92"/>
        <v>695.87693868814483</v>
      </c>
      <c r="U58" s="91">
        <f t="shared" si="92"/>
        <v>705.28070101919036</v>
      </c>
      <c r="V58" s="91">
        <f t="shared" si="92"/>
        <v>713.9139581692566</v>
      </c>
    </row>
    <row r="59" spans="1:22" x14ac:dyDescent="0.25">
      <c r="A59" s="82"/>
      <c r="B59" s="63" t="s">
        <v>142</v>
      </c>
      <c r="C59" s="95"/>
      <c r="D59" s="91">
        <f t="shared" ref="D59:K59" si="93">(C41*pAIDS_ART2_AIDS_Dead_2004_2012)</f>
        <v>0</v>
      </c>
      <c r="E59" s="91">
        <f t="shared" si="93"/>
        <v>4.49893532054059</v>
      </c>
      <c r="F59" s="91">
        <f t="shared" si="93"/>
        <v>22.711227840025519</v>
      </c>
      <c r="G59" s="91">
        <f t="shared" si="93"/>
        <v>55.766425580678877</v>
      </c>
      <c r="H59" s="91">
        <f t="shared" si="93"/>
        <v>98.236082085331361</v>
      </c>
      <c r="I59" s="91">
        <f t="shared" si="93"/>
        <v>154.04366825719998</v>
      </c>
      <c r="J59" s="91">
        <f t="shared" si="93"/>
        <v>216.46319497823205</v>
      </c>
      <c r="K59" s="91">
        <f t="shared" si="93"/>
        <v>278.95880657602726</v>
      </c>
      <c r="L59" s="91">
        <f t="shared" ref="L59:V59" si="94">(K41*pAIDS_ART2_AIDS_Dead_2013plus_u)</f>
        <v>339.40470309927343</v>
      </c>
      <c r="M59" s="91">
        <f t="shared" si="94"/>
        <v>404.82189781595969</v>
      </c>
      <c r="N59" s="91">
        <f t="shared" si="94"/>
        <v>462.11142839659368</v>
      </c>
      <c r="O59" s="91">
        <f t="shared" si="94"/>
        <v>513.75137651633963</v>
      </c>
      <c r="P59" s="91">
        <f t="shared" si="94"/>
        <v>560.70761279402996</v>
      </c>
      <c r="Q59" s="91">
        <f t="shared" si="94"/>
        <v>603.59597640792174</v>
      </c>
      <c r="R59" s="91">
        <f t="shared" si="94"/>
        <v>642.88729626444058</v>
      </c>
      <c r="S59" s="91">
        <f t="shared" si="94"/>
        <v>678.97635432841662</v>
      </c>
      <c r="T59" s="91">
        <f t="shared" si="94"/>
        <v>712.20451673063337</v>
      </c>
      <c r="U59" s="91">
        <f t="shared" si="94"/>
        <v>742.86906971676592</v>
      </c>
      <c r="V59" s="91">
        <f t="shared" si="94"/>
        <v>771.22914032253516</v>
      </c>
    </row>
    <row r="60" spans="1:22" x14ac:dyDescent="0.25">
      <c r="A60" s="82"/>
      <c r="B60" s="64" t="s">
        <v>130</v>
      </c>
      <c r="C60" s="95"/>
      <c r="D60" s="91"/>
      <c r="E60" s="91"/>
      <c r="F60" s="91"/>
      <c r="G60" s="91"/>
      <c r="H60" s="91"/>
      <c r="I60" s="91"/>
      <c r="J60" s="91"/>
      <c r="K60" s="91"/>
      <c r="L60" s="91"/>
      <c r="M60" s="91"/>
      <c r="N60" s="91"/>
      <c r="O60" s="91"/>
      <c r="P60" s="91"/>
      <c r="Q60" s="91"/>
      <c r="R60" s="91"/>
      <c r="S60" s="91"/>
      <c r="T60" s="91"/>
      <c r="U60" s="91"/>
      <c r="V60" s="91"/>
    </row>
    <row r="61" spans="1:22" x14ac:dyDescent="0.25">
      <c r="A61" s="82"/>
      <c r="B61" s="63" t="s">
        <v>143</v>
      </c>
      <c r="C61" s="95"/>
      <c r="D61" s="91">
        <f>(C43*pAIDS_LTFU_AIDS_Dead_2004_2012)</f>
        <v>102.15423321098493</v>
      </c>
      <c r="E61" s="91">
        <f t="shared" ref="D61:J68" si="95">(D43*pAIDS_LTFU_AIDS_Dead_2004_2012)</f>
        <v>118.19038275596323</v>
      </c>
      <c r="F61" s="91">
        <f t="shared" si="95"/>
        <v>181.71391131300086</v>
      </c>
      <c r="G61" s="91">
        <f t="shared" si="95"/>
        <v>234.12775628264845</v>
      </c>
      <c r="H61" s="91">
        <f t="shared" si="95"/>
        <v>328.16038424745767</v>
      </c>
      <c r="I61" s="91">
        <f t="shared" si="95"/>
        <v>267.40453226784905</v>
      </c>
      <c r="J61" s="91">
        <f t="shared" si="95"/>
        <v>219.93102346683247</v>
      </c>
      <c r="K61" s="91">
        <f t="shared" ref="K61:K68" si="96">(J43*pAIDS_LTFU_AIDS_Dead_2004_2012)</f>
        <v>192.18684810453851</v>
      </c>
      <c r="L61" s="91">
        <f t="shared" ref="L61:V61" si="97">(K43*pAIDS_LTFU_AIDS_Dead_2013plus_u)</f>
        <v>173.2992355829368</v>
      </c>
      <c r="M61" s="91">
        <f t="shared" si="97"/>
        <v>146.8369616020006</v>
      </c>
      <c r="N61" s="91">
        <f t="shared" si="97"/>
        <v>135.45628283385923</v>
      </c>
      <c r="O61" s="91">
        <f t="shared" si="97"/>
        <v>128.46693415255106</v>
      </c>
      <c r="P61" s="91">
        <f t="shared" si="97"/>
        <v>123.80152711090018</v>
      </c>
      <c r="Q61" s="91">
        <f t="shared" si="97"/>
        <v>120.68350055249606</v>
      </c>
      <c r="R61" s="91">
        <f t="shared" si="97"/>
        <v>118.62412653742143</v>
      </c>
      <c r="S61" s="91">
        <f t="shared" si="97"/>
        <v>117.27871263547478</v>
      </c>
      <c r="T61" s="91">
        <f t="shared" si="97"/>
        <v>116.40695038527636</v>
      </c>
      <c r="U61" s="91">
        <f t="shared" si="97"/>
        <v>115.84546158755975</v>
      </c>
      <c r="V61" s="91">
        <f t="shared" si="97"/>
        <v>115.48537604260959</v>
      </c>
    </row>
    <row r="62" spans="1:22" x14ac:dyDescent="0.25">
      <c r="A62" s="82"/>
      <c r="B62" s="63" t="s">
        <v>735</v>
      </c>
      <c r="C62" s="95"/>
      <c r="D62" s="91">
        <f>(C44*pAIDS_LTFU_AIDS_Dead_2004_2012)</f>
        <v>0</v>
      </c>
      <c r="E62" s="91">
        <f>(D44*pAIDS_LTFU_AIDS_Dead_2004_2012)</f>
        <v>0</v>
      </c>
      <c r="F62" s="91">
        <f t="shared" si="95"/>
        <v>75.341597564770751</v>
      </c>
      <c r="G62" s="91">
        <f t="shared" si="95"/>
        <v>151.31857326510783</v>
      </c>
      <c r="H62" s="91">
        <f t="shared" si="95"/>
        <v>194.91335964214386</v>
      </c>
      <c r="I62" s="91">
        <f t="shared" si="95"/>
        <v>209.16052844838063</v>
      </c>
      <c r="J62" s="91">
        <f t="shared" si="95"/>
        <v>209.31668630723604</v>
      </c>
      <c r="K62" s="91">
        <f t="shared" si="96"/>
        <v>203.54665264031451</v>
      </c>
      <c r="L62" s="91">
        <f t="shared" ref="L62:V62" si="98">(K44*pAIDS_LTFU_AIDS_Dead_2013plus_u)</f>
        <v>195.15413409502014</v>
      </c>
      <c r="M62" s="91">
        <f t="shared" si="98"/>
        <v>171.68931386011832</v>
      </c>
      <c r="N62" s="91">
        <f t="shared" si="98"/>
        <v>154.57304039309003</v>
      </c>
      <c r="O62" s="91">
        <f t="shared" si="98"/>
        <v>141.9552323786406</v>
      </c>
      <c r="P62" s="91">
        <f t="shared" si="98"/>
        <v>132.36864424108944</v>
      </c>
      <c r="Q62" s="91">
        <f t="shared" si="98"/>
        <v>125.01413193019599</v>
      </c>
      <c r="R62" s="91">
        <f t="shared" si="98"/>
        <v>119.40291849117385</v>
      </c>
      <c r="S62" s="91">
        <f t="shared" si="98"/>
        <v>115.17382872161087</v>
      </c>
      <c r="T62" s="91">
        <f t="shared" si="98"/>
        <v>112.03086350474031</v>
      </c>
      <c r="U62" s="91">
        <f t="shared" si="98"/>
        <v>109.72665186417112</v>
      </c>
      <c r="V62" s="91">
        <f t="shared" si="98"/>
        <v>108.05806811999616</v>
      </c>
    </row>
    <row r="63" spans="1:22" x14ac:dyDescent="0.25">
      <c r="A63" s="82"/>
      <c r="B63" s="63" t="s">
        <v>736</v>
      </c>
      <c r="C63" s="95"/>
      <c r="D63" s="91">
        <f t="shared" si="95"/>
        <v>0</v>
      </c>
      <c r="E63" s="91">
        <f t="shared" si="95"/>
        <v>140.92559283523772</v>
      </c>
      <c r="F63" s="91">
        <f t="shared" si="95"/>
        <v>207.45919578607902</v>
      </c>
      <c r="G63" s="91">
        <f t="shared" si="95"/>
        <v>256.70222484297597</v>
      </c>
      <c r="H63" s="91">
        <f t="shared" si="95"/>
        <v>270.5144056750496</v>
      </c>
      <c r="I63" s="91">
        <f t="shared" si="95"/>
        <v>280.08944502842036</v>
      </c>
      <c r="J63" s="91">
        <f t="shared" si="95"/>
        <v>278.60714353414465</v>
      </c>
      <c r="K63" s="91">
        <f t="shared" si="96"/>
        <v>268.0220439592851</v>
      </c>
      <c r="L63" s="91">
        <f t="shared" ref="L63:V63" si="99">(K45*pAIDS_LTFU_AIDS_Dead_2013plus_u)</f>
        <v>252.70657284880065</v>
      </c>
      <c r="M63" s="91">
        <f t="shared" si="99"/>
        <v>218.78807001682691</v>
      </c>
      <c r="N63" s="91">
        <f t="shared" si="99"/>
        <v>195.64977375420244</v>
      </c>
      <c r="O63" s="91">
        <f t="shared" si="99"/>
        <v>181.30784733950225</v>
      </c>
      <c r="P63" s="91">
        <f t="shared" si="99"/>
        <v>172.30512330870977</v>
      </c>
      <c r="Q63" s="91">
        <f t="shared" si="99"/>
        <v>166.54254874499526</v>
      </c>
      <c r="R63" s="91">
        <f t="shared" si="99"/>
        <v>162.81487004225565</v>
      </c>
      <c r="S63" s="91">
        <f t="shared" si="99"/>
        <v>160.396327690417</v>
      </c>
      <c r="T63" s="91">
        <f t="shared" si="99"/>
        <v>158.82898713027075</v>
      </c>
      <c r="U63" s="91">
        <f t="shared" si="99"/>
        <v>157.81622333466635</v>
      </c>
      <c r="V63" s="91">
        <f t="shared" si="99"/>
        <v>157.1640003245659</v>
      </c>
    </row>
    <row r="64" spans="1:22" x14ac:dyDescent="0.25">
      <c r="A64" s="82"/>
      <c r="B64" s="63" t="s">
        <v>154</v>
      </c>
      <c r="C64" s="95"/>
      <c r="D64" s="91">
        <f>(C46*pAIDS_LTFU_AIDS_Dead_2004_2012)</f>
        <v>0</v>
      </c>
      <c r="E64" s="91">
        <f t="shared" si="95"/>
        <v>32.550629290076422</v>
      </c>
      <c r="F64" s="91">
        <f t="shared" si="95"/>
        <v>47.240769515933259</v>
      </c>
      <c r="G64" s="91">
        <f t="shared" si="95"/>
        <v>42.54623024475471</v>
      </c>
      <c r="H64" s="91">
        <f t="shared" si="95"/>
        <v>69.415079857046322</v>
      </c>
      <c r="I64" s="91">
        <f t="shared" si="95"/>
        <v>94.445865649967786</v>
      </c>
      <c r="J64" s="91">
        <f t="shared" si="95"/>
        <v>82.675341946044071</v>
      </c>
      <c r="K64" s="91">
        <f t="shared" si="96"/>
        <v>71.2636240987311</v>
      </c>
      <c r="L64" s="91">
        <f t="shared" ref="L64:V64" si="100">(K46*pAIDS_LTFU_AIDS_Dead_2013plus_u)</f>
        <v>63.757148748827724</v>
      </c>
      <c r="M64" s="91">
        <f t="shared" si="100"/>
        <v>53.821457266706744</v>
      </c>
      <c r="N64" s="91">
        <f t="shared" si="100"/>
        <v>49.396343591315429</v>
      </c>
      <c r="O64" s="91">
        <f t="shared" si="100"/>
        <v>46.177594940037416</v>
      </c>
      <c r="P64" s="91">
        <f t="shared" si="100"/>
        <v>44.011557654444033</v>
      </c>
      <c r="Q64" s="91">
        <f t="shared" si="100"/>
        <v>42.578051629454386</v>
      </c>
      <c r="R64" s="91">
        <f t="shared" si="100"/>
        <v>41.646436982056635</v>
      </c>
      <c r="S64" s="91">
        <f t="shared" si="100"/>
        <v>41.054470309114791</v>
      </c>
      <c r="T64" s="91">
        <f t="shared" si="100"/>
        <v>40.68956711978683</v>
      </c>
      <c r="U64" s="91">
        <f t="shared" si="100"/>
        <v>40.474695172429989</v>
      </c>
      <c r="V64" s="91">
        <f t="shared" si="100"/>
        <v>40.357862983066582</v>
      </c>
    </row>
    <row r="65" spans="1:22" x14ac:dyDescent="0.25">
      <c r="A65" s="82"/>
      <c r="B65" s="63" t="s">
        <v>155</v>
      </c>
      <c r="C65" s="95"/>
      <c r="D65" s="91">
        <f t="shared" si="95"/>
        <v>0</v>
      </c>
      <c r="E65" s="91">
        <f t="shared" si="95"/>
        <v>0</v>
      </c>
      <c r="F65" s="91">
        <f t="shared" si="95"/>
        <v>9.0955738985678565</v>
      </c>
      <c r="G65" s="91">
        <f t="shared" si="95"/>
        <v>21.68525338793506</v>
      </c>
      <c r="H65" s="91">
        <f t="shared" si="95"/>
        <v>32.117788413213134</v>
      </c>
      <c r="I65" s="91">
        <f t="shared" si="95"/>
        <v>49.357735043619954</v>
      </c>
      <c r="J65" s="201">
        <f t="shared" si="95"/>
        <v>72.43439012449268</v>
      </c>
      <c r="K65" s="91">
        <f t="shared" si="96"/>
        <v>90.672502379799084</v>
      </c>
      <c r="L65" s="91">
        <f t="shared" ref="L65:V65" si="101">(K47*pAIDS_LTFU_AIDS_Dead_2013plus_u)</f>
        <v>104.49722492952543</v>
      </c>
      <c r="M65" s="91">
        <f t="shared" si="101"/>
        <v>107.90818494389273</v>
      </c>
      <c r="N65" s="91">
        <f t="shared" si="101"/>
        <v>114.62986511054507</v>
      </c>
      <c r="O65" s="91">
        <f t="shared" si="101"/>
        <v>120.5800719755526</v>
      </c>
      <c r="P65" s="91">
        <f t="shared" si="101"/>
        <v>125.36428311024441</v>
      </c>
      <c r="Q65" s="91">
        <f t="shared" si="101"/>
        <v>129.24128665182934</v>
      </c>
      <c r="R65" s="91">
        <f t="shared" si="101"/>
        <v>132.46019805991097</v>
      </c>
      <c r="S65" s="91">
        <f t="shared" si="101"/>
        <v>135.20305629711279</v>
      </c>
      <c r="T65" s="91">
        <f t="shared" si="101"/>
        <v>137.59638700002972</v>
      </c>
      <c r="U65" s="91">
        <f t="shared" si="101"/>
        <v>139.72705746295694</v>
      </c>
      <c r="V65" s="91">
        <f t="shared" si="101"/>
        <v>141.65462017298958</v>
      </c>
    </row>
    <row r="66" spans="1:22" x14ac:dyDescent="0.25">
      <c r="A66" s="82"/>
      <c r="B66" s="63" t="s">
        <v>737</v>
      </c>
      <c r="C66" s="95"/>
      <c r="D66" s="91">
        <f t="shared" si="95"/>
        <v>0</v>
      </c>
      <c r="E66" s="91">
        <f t="shared" si="95"/>
        <v>0</v>
      </c>
      <c r="F66" s="91">
        <f t="shared" si="95"/>
        <v>0.70849005181015989</v>
      </c>
      <c r="G66" s="91">
        <f t="shared" si="95"/>
        <v>3.7276874987039825</v>
      </c>
      <c r="H66" s="91">
        <f t="shared" si="95"/>
        <v>8.6258550482169216</v>
      </c>
      <c r="I66" s="91">
        <f t="shared" si="95"/>
        <v>14.466960943123771</v>
      </c>
      <c r="J66" s="91">
        <f t="shared" si="95"/>
        <v>20.72481285197809</v>
      </c>
      <c r="K66" s="91">
        <f t="shared" si="96"/>
        <v>27.000179849388303</v>
      </c>
      <c r="L66" s="91">
        <f t="shared" ref="L66:V66" si="102">(K48*pAIDS_LTFU_AIDS_Dead_2013plus_u)</f>
        <v>33.028605849526343</v>
      </c>
      <c r="M66" s="91">
        <f t="shared" si="102"/>
        <v>36.327011926168538</v>
      </c>
      <c r="N66" s="91">
        <f t="shared" si="102"/>
        <v>39.49756566865797</v>
      </c>
      <c r="O66" s="91">
        <f t="shared" si="102"/>
        <v>43.064828110285212</v>
      </c>
      <c r="P66" s="91">
        <f t="shared" si="102"/>
        <v>46.645002571058477</v>
      </c>
      <c r="Q66" s="91">
        <f t="shared" si="102"/>
        <v>50.054602004198443</v>
      </c>
      <c r="R66" s="91">
        <f t="shared" si="102"/>
        <v>53.253265152526005</v>
      </c>
      <c r="S66" s="91">
        <f t="shared" si="102"/>
        <v>56.25586456650877</v>
      </c>
      <c r="T66" s="91">
        <f t="shared" si="102"/>
        <v>59.091679745737132</v>
      </c>
      <c r="U66" s="91">
        <f t="shared" si="102"/>
        <v>61.789437042920177</v>
      </c>
      <c r="V66" s="91">
        <f t="shared" si="102"/>
        <v>64.37298000598085</v>
      </c>
    </row>
    <row r="67" spans="1:22" x14ac:dyDescent="0.25">
      <c r="A67" s="82"/>
      <c r="B67" s="63" t="s">
        <v>145</v>
      </c>
      <c r="C67" s="95"/>
      <c r="D67" s="91">
        <f t="shared" si="95"/>
        <v>0</v>
      </c>
      <c r="E67" s="91">
        <f t="shared" si="95"/>
        <v>0</v>
      </c>
      <c r="F67" s="91">
        <f t="shared" si="95"/>
        <v>0.53803620536827101</v>
      </c>
      <c r="G67" s="91">
        <f t="shared" si="95"/>
        <v>2.8321790832912606</v>
      </c>
      <c r="H67" s="91">
        <f t="shared" si="95"/>
        <v>7.2803550779984878</v>
      </c>
      <c r="I67" s="91">
        <f t="shared" si="95"/>
        <v>13.319232646760069</v>
      </c>
      <c r="J67" s="91">
        <f t="shared" si="95"/>
        <v>21.296468469774172</v>
      </c>
      <c r="K67" s="91">
        <f t="shared" si="96"/>
        <v>30.482707943051675</v>
      </c>
      <c r="L67" s="91">
        <f t="shared" ref="L67:V67" si="103">(K49*pAIDS_LTFU_AIDS_Dead_2013plus_u)</f>
        <v>39.938931720069924</v>
      </c>
      <c r="M67" s="91">
        <f t="shared" si="103"/>
        <v>46.384602345907119</v>
      </c>
      <c r="N67" s="91">
        <f t="shared" si="103"/>
        <v>55.143140508506498</v>
      </c>
      <c r="O67" s="91">
        <f t="shared" si="103"/>
        <v>63.265238898137277</v>
      </c>
      <c r="P67" s="91">
        <f t="shared" si="103"/>
        <v>70.619354978139853</v>
      </c>
      <c r="Q67" s="91">
        <f t="shared" si="103"/>
        <v>77.301914163842142</v>
      </c>
      <c r="R67" s="91">
        <f t="shared" si="103"/>
        <v>83.400555736875305</v>
      </c>
      <c r="S67" s="91">
        <f t="shared" si="103"/>
        <v>88.98430218700301</v>
      </c>
      <c r="T67" s="91">
        <f t="shared" si="103"/>
        <v>94.110380383931698</v>
      </c>
      <c r="U67" s="91">
        <f t="shared" si="103"/>
        <v>98.82791772586998</v>
      </c>
      <c r="V67" s="91">
        <f t="shared" si="103"/>
        <v>103.17959490004516</v>
      </c>
    </row>
    <row r="68" spans="1:22" x14ac:dyDescent="0.25">
      <c r="A68" s="82"/>
      <c r="B68" s="63" t="s">
        <v>738</v>
      </c>
      <c r="C68" s="95"/>
      <c r="D68" s="91">
        <f t="shared" si="95"/>
        <v>0</v>
      </c>
      <c r="E68" s="91">
        <f t="shared" si="95"/>
        <v>0</v>
      </c>
      <c r="F68" s="91">
        <f t="shared" si="95"/>
        <v>0</v>
      </c>
      <c r="G68" s="91">
        <f t="shared" si="95"/>
        <v>0.31327136069746253</v>
      </c>
      <c r="H68" s="91">
        <f t="shared" si="95"/>
        <v>1.0921320904771976</v>
      </c>
      <c r="I68" s="91">
        <f t="shared" si="95"/>
        <v>2.3739570080751267</v>
      </c>
      <c r="J68" s="91">
        <f t="shared" si="95"/>
        <v>4.0276837645164658</v>
      </c>
      <c r="K68" s="91">
        <f t="shared" si="96"/>
        <v>5.9228409718817572</v>
      </c>
      <c r="L68" s="91">
        <f t="shared" ref="L68:V68" si="104">(K50*pAIDS_LTFU_AIDS_Dead_2013plus_u)</f>
        <v>7.9461309467891539</v>
      </c>
      <c r="M68" s="91">
        <f t="shared" si="104"/>
        <v>9.4512170459660929</v>
      </c>
      <c r="N68" s="91">
        <f t="shared" si="104"/>
        <v>10.943172039808186</v>
      </c>
      <c r="O68" s="91">
        <f t="shared" si="104"/>
        <v>12.635263022091562</v>
      </c>
      <c r="P68" s="91">
        <f t="shared" si="104"/>
        <v>14.366620690749368</v>
      </c>
      <c r="Q68" s="91">
        <f t="shared" si="104"/>
        <v>16.065253208682897</v>
      </c>
      <c r="R68" s="91">
        <f t="shared" si="104"/>
        <v>17.716643378980233</v>
      </c>
      <c r="S68" s="91">
        <f t="shared" si="104"/>
        <v>19.326569293084379</v>
      </c>
      <c r="T68" s="91">
        <f t="shared" si="104"/>
        <v>20.905369916559817</v>
      </c>
      <c r="U68" s="91">
        <f t="shared" si="104"/>
        <v>22.46272269746942</v>
      </c>
      <c r="V68" s="91">
        <f t="shared" si="104"/>
        <v>24.006332691194412</v>
      </c>
    </row>
    <row r="69" spans="1:22" x14ac:dyDescent="0.25">
      <c r="A69" s="82"/>
      <c r="B69" s="64" t="s">
        <v>146</v>
      </c>
      <c r="C69" s="95"/>
      <c r="D69" s="91">
        <f>SUM(D61:D68)</f>
        <v>102.15423321098493</v>
      </c>
      <c r="E69" s="91">
        <f t="shared" ref="E69:I69" si="105">SUM(E61:E68)</f>
        <v>291.66660488127735</v>
      </c>
      <c r="F69" s="91">
        <f t="shared" si="105"/>
        <v>522.09757433553011</v>
      </c>
      <c r="G69" s="91">
        <f t="shared" si="105"/>
        <v>713.25317596611478</v>
      </c>
      <c r="H69" s="91">
        <f t="shared" si="105"/>
        <v>912.11936005160317</v>
      </c>
      <c r="I69" s="91">
        <f t="shared" si="105"/>
        <v>930.61825703619684</v>
      </c>
      <c r="J69" s="91">
        <f>SUM(J61:J68)</f>
        <v>909.01355046501874</v>
      </c>
      <c r="K69" s="91">
        <f t="shared" ref="K69:L69" si="106">SUM(K61:K68)</f>
        <v>889.09739994698998</v>
      </c>
      <c r="L69" s="91">
        <f t="shared" si="106"/>
        <v>870.32798472149614</v>
      </c>
      <c r="M69" s="91">
        <f t="shared" ref="M69:V69" si="107">SUM(M61:M68)</f>
        <v>791.206819007587</v>
      </c>
      <c r="N69" s="91">
        <f t="shared" si="107"/>
        <v>755.28918389998489</v>
      </c>
      <c r="O69" s="91">
        <f t="shared" si="107"/>
        <v>737.45301081679793</v>
      </c>
      <c r="P69" s="91">
        <f t="shared" si="107"/>
        <v>729.48211366533565</v>
      </c>
      <c r="Q69" s="91">
        <f t="shared" si="107"/>
        <v>727.48128888569454</v>
      </c>
      <c r="R69" s="91">
        <f t="shared" si="107"/>
        <v>729.31901438120008</v>
      </c>
      <c r="S69" s="91">
        <f t="shared" si="107"/>
        <v>733.67313170032628</v>
      </c>
      <c r="T69" s="91">
        <f t="shared" si="107"/>
        <v>739.66018518633257</v>
      </c>
      <c r="U69" s="91">
        <f t="shared" si="107"/>
        <v>746.6701668880437</v>
      </c>
      <c r="V69" s="91">
        <f t="shared" si="107"/>
        <v>754.27883524044819</v>
      </c>
    </row>
    <row r="70" spans="1:22" x14ac:dyDescent="0.25">
      <c r="A70" s="82"/>
      <c r="B70" s="98" t="s">
        <v>131</v>
      </c>
      <c r="C70" s="95"/>
      <c r="D70" s="91">
        <f>SUM(D55:D59)+D69</f>
        <v>10297.380297297057</v>
      </c>
      <c r="E70" s="91">
        <f t="shared" ref="E70:I70" si="108">SUM(E55:E59)+E69</f>
        <v>10055.60467912602</v>
      </c>
      <c r="F70" s="91">
        <f t="shared" si="108"/>
        <v>9662.2481802340826</v>
      </c>
      <c r="G70" s="91">
        <f t="shared" si="108"/>
        <v>8627.205382295997</v>
      </c>
      <c r="H70" s="100">
        <f t="shared" si="108"/>
        <v>7361.120354997528</v>
      </c>
      <c r="I70" s="100">
        <f t="shared" si="108"/>
        <v>6561.3918834109381</v>
      </c>
      <c r="J70" s="91">
        <f>SUM(J55:J59)+J69</f>
        <v>6124.1540058687278</v>
      </c>
      <c r="K70" s="91">
        <f t="shared" ref="K70:L70" si="109">SUM(K55:K59)+K69</f>
        <v>5820.2883866318043</v>
      </c>
      <c r="L70" s="100">
        <f t="shared" si="109"/>
        <v>5597.6884892079888</v>
      </c>
      <c r="M70" s="100">
        <f t="shared" ref="M70:V70" si="110">SUM(M55:M59)+M69</f>
        <v>5392.1125037731226</v>
      </c>
      <c r="N70" s="100">
        <f t="shared" si="110"/>
        <v>5277.608504532991</v>
      </c>
      <c r="O70" s="100">
        <f t="shared" si="110"/>
        <v>5223.0473978114969</v>
      </c>
      <c r="P70" s="100">
        <f t="shared" si="110"/>
        <v>5206.776636483346</v>
      </c>
      <c r="Q70" s="100">
        <f t="shared" si="110"/>
        <v>5214.8614924282174</v>
      </c>
      <c r="R70" s="100">
        <f t="shared" si="110"/>
        <v>5238.0337193228643</v>
      </c>
      <c r="S70" s="100">
        <f t="shared" si="110"/>
        <v>5270.1320863628052</v>
      </c>
      <c r="T70" s="100">
        <f t="shared" si="110"/>
        <v>5307.1025439946434</v>
      </c>
      <c r="U70" s="100">
        <f t="shared" si="110"/>
        <v>5346.3175199639718</v>
      </c>
      <c r="V70" s="100">
        <f t="shared" si="110"/>
        <v>5386.1066524984672</v>
      </c>
    </row>
    <row r="71" spans="1:22" s="88" customFormat="1" x14ac:dyDescent="0.25">
      <c r="A71" s="89"/>
      <c r="C71" s="102"/>
      <c r="D71" s="103"/>
      <c r="E71" s="104"/>
      <c r="F71" s="104"/>
      <c r="G71" s="104"/>
      <c r="H71" s="176"/>
      <c r="I71" s="176"/>
      <c r="J71" s="104"/>
      <c r="K71" s="104"/>
      <c r="L71" s="176"/>
      <c r="M71" s="176"/>
      <c r="N71" s="176"/>
      <c r="O71" s="176"/>
      <c r="P71" s="176"/>
      <c r="Q71" s="176"/>
      <c r="R71" s="176"/>
      <c r="S71" s="176"/>
      <c r="T71" s="64"/>
      <c r="U71" s="64"/>
      <c r="V71" s="64"/>
    </row>
  </sheetData>
  <sheetProtection algorithmName="SHA-512" hashValue="+0l6anKA6+kpUrQUBIT3EW+PXr4oghMmT/fQw6fB1eCQikQe4vRQRxA3Yoc2qVZtfYCw+FCOI8ELD8Rz1hvlUA==" saltValue="Gsv57YlpVzH95v1Om6yvZA==" spinCount="100000" sheet="1" objects="1" scenarios="1"/>
  <printOptions horizontalCentered="1"/>
  <pageMargins left="0.5" right="0.5" top="0.75" bottom="0.75" header="0.3" footer="0.3"/>
  <pageSetup scale="7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Z71"/>
  <sheetViews>
    <sheetView zoomScaleNormal="100" workbookViewId="0">
      <pane xSplit="2" ySplit="1" topLeftCell="C22" activePane="bottomRight" state="frozen"/>
      <selection pane="topRight" activeCell="C1" sqref="C1"/>
      <selection pane="bottomLeft" activeCell="A5" sqref="A5"/>
      <selection pane="bottomRight" activeCell="L39" sqref="L39"/>
    </sheetView>
  </sheetViews>
  <sheetFormatPr defaultRowHeight="15" x14ac:dyDescent="0.25"/>
  <cols>
    <col min="1" max="1" width="2.7109375" customWidth="1"/>
    <col min="2" max="2" width="37.5703125" customWidth="1"/>
    <col min="3" max="3" width="10.42578125" style="96" customWidth="1"/>
    <col min="4" max="7" width="10.42578125" customWidth="1"/>
    <col min="8" max="8" width="10.42578125" style="64" customWidth="1"/>
    <col min="9" max="11" width="10.42578125" customWidth="1"/>
    <col min="12" max="13" width="10.42578125" style="64" customWidth="1"/>
    <col min="14" max="16" width="10.42578125" customWidth="1"/>
    <col min="17" max="17" width="10.42578125" style="64" customWidth="1"/>
    <col min="18" max="22" width="10.42578125" customWidth="1"/>
  </cols>
  <sheetData>
    <row r="1" spans="1:24" s="13" customFormat="1" x14ac:dyDescent="0.25">
      <c r="A1" s="78"/>
      <c r="B1" s="63"/>
      <c r="C1" s="79">
        <v>2004</v>
      </c>
      <c r="D1" s="80">
        <v>2005</v>
      </c>
      <c r="E1" s="80">
        <v>2006</v>
      </c>
      <c r="F1" s="80">
        <v>2007</v>
      </c>
      <c r="G1" s="80">
        <v>2008</v>
      </c>
      <c r="H1" s="80">
        <v>2009</v>
      </c>
      <c r="I1" s="80">
        <v>2010</v>
      </c>
      <c r="J1" s="80">
        <v>2011</v>
      </c>
      <c r="K1" s="80">
        <v>2012</v>
      </c>
      <c r="L1" s="80">
        <v>2013</v>
      </c>
      <c r="M1" s="80">
        <v>2014</v>
      </c>
      <c r="N1" s="80">
        <v>2015</v>
      </c>
      <c r="O1" s="80">
        <v>2016</v>
      </c>
      <c r="P1" s="80">
        <v>2017</v>
      </c>
      <c r="Q1" s="80">
        <v>2018</v>
      </c>
      <c r="R1" s="80">
        <v>2019</v>
      </c>
      <c r="S1" s="80">
        <v>2020</v>
      </c>
      <c r="T1" s="80">
        <v>2021</v>
      </c>
      <c r="U1" s="80">
        <v>2022</v>
      </c>
      <c r="V1" s="80">
        <v>2023</v>
      </c>
    </row>
    <row r="2" spans="1:24" x14ac:dyDescent="0.25">
      <c r="A2" s="86" t="s">
        <v>313</v>
      </c>
      <c r="B2" s="64"/>
      <c r="C2" s="87"/>
      <c r="D2" s="88"/>
      <c r="E2" s="88"/>
      <c r="F2" s="88"/>
      <c r="G2" s="88"/>
      <c r="H2" s="88"/>
      <c r="I2" s="64"/>
      <c r="J2" s="88"/>
      <c r="K2" s="88"/>
      <c r="L2" s="88"/>
      <c r="M2" s="88"/>
      <c r="N2" s="64"/>
      <c r="O2" s="64"/>
      <c r="P2" s="88"/>
      <c r="Q2" s="88"/>
      <c r="R2" s="88"/>
      <c r="S2" s="88"/>
      <c r="T2" s="64"/>
      <c r="V2" s="64"/>
    </row>
    <row r="3" spans="1:24" x14ac:dyDescent="0.25">
      <c r="A3" s="82"/>
      <c r="B3" s="64" t="s">
        <v>124</v>
      </c>
      <c r="C3" s="90">
        <f>Params!$C$18*Params!$C$1</f>
        <v>37328.860303712914</v>
      </c>
      <c r="D3" s="91">
        <f>(C3*Params!$C$46)+Params!$C$19</f>
        <v>35944.615059052026</v>
      </c>
      <c r="E3" s="91">
        <f>(D3*Params!$C$46)+Params!$C$20</f>
        <v>34129.366234797257</v>
      </c>
      <c r="F3" s="91">
        <f>(E3*Params!$C$52)+Params!$C$21</f>
        <v>31815.830071853721</v>
      </c>
      <c r="G3" s="91">
        <f>(F3*Params!$C$52)+Params!$C$22</f>
        <v>29383.723194820872</v>
      </c>
      <c r="H3" s="91">
        <f>(G3*Params!$C$52)+Params!$C$23</f>
        <v>27210.270931858315</v>
      </c>
      <c r="I3" s="91">
        <f>(H3*Params!$C$58)+Params!$C$24</f>
        <v>25832.823639290818</v>
      </c>
      <c r="J3" s="91">
        <f>(I3*Params!$C$58)+Params!$C$25</f>
        <v>24959.85252502521</v>
      </c>
      <c r="K3" s="91">
        <f>(J3*Params!$C$58)+Params!$C$26</f>
        <v>24406.598276783407</v>
      </c>
      <c r="L3" s="91">
        <f>(K3*Params!$C$263)+Params!$C$27</f>
        <v>24055.967816971341</v>
      </c>
      <c r="M3" s="91">
        <f>(L3*Params!$C$263)+Params!$C$27</f>
        <v>23833.752226691249</v>
      </c>
      <c r="N3" s="91">
        <f>(M3*Params!$C$263)+Params!$C$27</f>
        <v>23692.920855138429</v>
      </c>
      <c r="O3" s="91">
        <f>(N3*Params!$C$263)+Params!$C$27</f>
        <v>23603.667553025603</v>
      </c>
      <c r="P3" s="91">
        <f>(O3*Params!$C$263)+Params!$C$27</f>
        <v>23547.102372624337</v>
      </c>
      <c r="Q3" s="91">
        <f>(P3*Params!$C$263)+Params!$C$27</f>
        <v>23511.253619042276</v>
      </c>
      <c r="R3" s="91">
        <f>(Q3*Params!$C$263)+Params!$C$27</f>
        <v>23488.534109897766</v>
      </c>
      <c r="S3" s="91">
        <f>(R3*Params!$C$263)+Params!$C$27</f>
        <v>23474.135391833948</v>
      </c>
      <c r="T3" s="91">
        <f>(S3*Params!$C$263)+Params!$C$27</f>
        <v>23465.010059039007</v>
      </c>
      <c r="U3" s="91">
        <f>(T3*Params!$C$263)+Params!$C$27</f>
        <v>23459.226787344309</v>
      </c>
      <c r="V3" s="91">
        <f>(U3*Params!$C$263)+Params!$C$27</f>
        <v>23455.561580579113</v>
      </c>
      <c r="X3" s="127"/>
    </row>
    <row r="4" spans="1:24" x14ac:dyDescent="0.25">
      <c r="A4" s="82"/>
      <c r="B4" s="64" t="s">
        <v>630</v>
      </c>
      <c r="C4" s="90">
        <f>Params!$C$18*Params!$C$2</f>
        <v>8625.5137507233158</v>
      </c>
      <c r="D4" s="91">
        <f>(C3*Params!$C$41)+(C4*Params!$C$69)</f>
        <v>5881.1995157454367</v>
      </c>
      <c r="E4" s="91">
        <f>(D3*Params!$C$41)+(D4*Params!$C$69)</f>
        <v>4600.8538746215972</v>
      </c>
      <c r="F4" s="91">
        <f>(E3*Params!$C$47)+(E4*Params!$C$69)</f>
        <v>4542.3349259900533</v>
      </c>
      <c r="G4" s="91">
        <f>(F3*Params!$C$47)+(F4*Params!$C$69)</f>
        <v>4345.4301923503408</v>
      </c>
      <c r="H4" s="91">
        <f>(G3*Params!$C$47)+(G4*Params!$C$69)</f>
        <v>4079.1154033174189</v>
      </c>
      <c r="I4" s="91">
        <f>(H3*Params!$C$53)+(H4*Params!$C$69)</f>
        <v>3801.5367190100169</v>
      </c>
      <c r="J4" s="91">
        <f>(I3*Params!$C$53)+(I4*Params!$C$69)</f>
        <v>3577.9490597166414</v>
      </c>
      <c r="K4" s="91">
        <f>(J3*Params!$C$53)+(J4*Params!$C$69)</f>
        <v>3415.362192085453</v>
      </c>
      <c r="L4" s="91">
        <f>(K3*Params!$C$230)+(K4*Params!$C$264)</f>
        <v>3303.1701285426861</v>
      </c>
      <c r="M4" s="91">
        <f>(L3*Params!$C$230)+(L4*Params!$C$264)</f>
        <v>3228.0578445187493</v>
      </c>
      <c r="N4" s="91">
        <f>(M3*Params!$C$230)+(M4*Params!$C$264)</f>
        <v>3178.6979779008598</v>
      </c>
      <c r="O4" s="91">
        <f>(N3*Params!$C$230)+(N4*Params!$C$264)</f>
        <v>3146.64598166215</v>
      </c>
      <c r="P4" s="91">
        <f>(O3*Params!$C$230)+(O4*Params!$C$264)</f>
        <v>3125.995475661518</v>
      </c>
      <c r="Q4" s="91">
        <f>(P3*Params!$C$230)+(P4*Params!$C$264)</f>
        <v>3112.7602546643966</v>
      </c>
      <c r="R4" s="91">
        <f>(Q3*Params!$C$230)+(Q4*Params!$C$264)</f>
        <v>3104.3075624579274</v>
      </c>
      <c r="S4" s="91">
        <f>(R3*Params!$C$230)+(R4*Params!$C$264)</f>
        <v>3098.9222193667129</v>
      </c>
      <c r="T4" s="91">
        <f>(S3*Params!$C$230)+(S4*Params!$C$264)</f>
        <v>3095.4967763517016</v>
      </c>
      <c r="U4" s="91">
        <f>(T3*Params!$C$230)+(T4*Params!$C$264)</f>
        <v>3093.3204222811128</v>
      </c>
      <c r="V4" s="91">
        <f>(U3*Params!$C$230)+(U4*Params!$C$264)</f>
        <v>3091.9387502525742</v>
      </c>
      <c r="X4" s="127"/>
    </row>
    <row r="5" spans="1:24" x14ac:dyDescent="0.25">
      <c r="A5" s="82"/>
      <c r="B5" s="64" t="s">
        <v>570</v>
      </c>
      <c r="C5" s="93">
        <f>Params!$C$18*Params!$C$3</f>
        <v>3817.4396838476564</v>
      </c>
      <c r="D5" s="91">
        <f>(C4*Params!$C$65)+(C5*Params!$C$79)</f>
        <v>5168.124862056472</v>
      </c>
      <c r="E5" s="91">
        <f>(D4*Params!$C$65)+(D5*Params!$C$79)</f>
        <v>5218.4649705873035</v>
      </c>
      <c r="F5" s="91">
        <f>(E4*Params!$C$65)+(E5*Params!$C$79)</f>
        <v>4858.916368725454</v>
      </c>
      <c r="G5" s="91">
        <f>(F4*Params!$C$65)+(F5*Params!$C$79)</f>
        <v>4603.4398464294745</v>
      </c>
      <c r="H5" s="91">
        <f>(G4*Params!$C$65)+(G5*Params!$C$79)</f>
        <v>4374.2587873480752</v>
      </c>
      <c r="I5" s="91">
        <f>(H4*Params!$C$65)+(H5*Params!$C$79)</f>
        <v>4141.1542254728547</v>
      </c>
      <c r="J5" s="91">
        <f>(I4*Params!$C$65)+(I5*Params!$C$79)</f>
        <v>3902.0020287967718</v>
      </c>
      <c r="K5" s="91">
        <f>(J4*Params!$C$65)+(J5*Params!$C$79)</f>
        <v>3675.4188670674394</v>
      </c>
      <c r="L5" s="91">
        <f>(K4*Params!$C$231)+(K5*Params!$C$265)</f>
        <v>3438.7320236770211</v>
      </c>
      <c r="M5" s="91">
        <f>(L4*Params!$C$231)+(L5*Params!$C$265)</f>
        <v>3250.3436939997864</v>
      </c>
      <c r="N5" s="91">
        <f>(M4*Params!$C$231)+(M5*Params!$C$265)</f>
        <v>3104.750172061978</v>
      </c>
      <c r="O5" s="91">
        <f>(N4*Params!$C$231)+(N5*Params!$C$265)</f>
        <v>2994.8960333115738</v>
      </c>
      <c r="P5" s="91">
        <f>(O4*Params!$C$231)+(O5*Params!$C$265)</f>
        <v>2913.6008711857048</v>
      </c>
      <c r="Q5" s="91">
        <f>(P4*Params!$C$231)+(P5*Params!$C$265)</f>
        <v>2854.381674136042</v>
      </c>
      <c r="R5" s="91">
        <f>(Q4*Params!$C$231)+(Q5*Params!$C$265)</f>
        <v>2811.7981971456943</v>
      </c>
      <c r="S5" s="91">
        <f>(R4*Params!$C$231)+(R5*Params!$C$265)</f>
        <v>2781.5037622259633</v>
      </c>
      <c r="T5" s="91">
        <f>(S4*Params!$C$231)+(S5*Params!$C$265)</f>
        <v>2760.1445812678439</v>
      </c>
      <c r="U5" s="91">
        <f>(T4*Params!$C$231)+(T5*Params!$C$265)</f>
        <v>2745.1992047837603</v>
      </c>
      <c r="V5" s="91">
        <f>(U4*Params!$C$231)+(U5*Params!$C$265)</f>
        <v>2734.8093186548981</v>
      </c>
      <c r="X5" s="127"/>
    </row>
    <row r="6" spans="1:24" x14ac:dyDescent="0.25">
      <c r="A6" s="82"/>
      <c r="B6" s="64" t="s">
        <v>127</v>
      </c>
      <c r="C6" s="177"/>
      <c r="D6" s="91"/>
      <c r="E6" s="91"/>
      <c r="F6" s="91"/>
      <c r="G6" s="91"/>
      <c r="H6" s="91"/>
      <c r="I6" s="91"/>
      <c r="J6" s="91"/>
      <c r="K6" s="91"/>
      <c r="L6" s="91"/>
      <c r="M6" s="91"/>
      <c r="N6" s="91"/>
      <c r="O6" s="91"/>
      <c r="P6" s="91"/>
      <c r="Q6" s="91"/>
      <c r="R6" s="91"/>
      <c r="S6" s="91"/>
      <c r="T6" s="91"/>
      <c r="U6" s="91"/>
      <c r="V6" s="91"/>
      <c r="X6" s="127"/>
    </row>
    <row r="7" spans="1:24" x14ac:dyDescent="0.25">
      <c r="A7" s="82"/>
      <c r="B7" s="63" t="s">
        <v>128</v>
      </c>
      <c r="C7" s="141"/>
      <c r="D7" s="91">
        <f>(C3*Params!$C$42)</f>
        <v>678.82698251173133</v>
      </c>
      <c r="E7" s="91">
        <f>(D3*Params!$C$42)</f>
        <v>653.65442125901336</v>
      </c>
      <c r="F7" s="91">
        <f>(E3*Params!$C$48)</f>
        <v>620.64404076919516</v>
      </c>
      <c r="G7" s="91">
        <f>(F3*Params!$C$48)</f>
        <v>578.57228289485897</v>
      </c>
      <c r="H7" s="91">
        <f>(G3*Params!$C$48)</f>
        <v>534.344311318721</v>
      </c>
      <c r="I7" s="91">
        <f>(H3*Params!$C$54)</f>
        <v>494.81998538709286</v>
      </c>
      <c r="J7" s="91">
        <f>(I3*Params!$C$54)</f>
        <v>469.77104519511107</v>
      </c>
      <c r="K7" s="91">
        <f>(J3*Params!$C$54)</f>
        <v>453.89602671087715</v>
      </c>
      <c r="L7" s="91">
        <f>(K3*Params!$C$278)</f>
        <v>443.83507363488883</v>
      </c>
      <c r="M7" s="91">
        <f>(L3*Params!$C$278)</f>
        <v>437.45884315063665</v>
      </c>
      <c r="N7" s="91">
        <f>(M3*Params!$C$278)</f>
        <v>433.41784277212003</v>
      </c>
      <c r="O7" s="91">
        <f>(N3*Params!$C$278)</f>
        <v>430.85681802568058</v>
      </c>
      <c r="P7" s="91">
        <f>(O3*Params!$C$278)</f>
        <v>429.23374276274711</v>
      </c>
      <c r="Q7" s="91">
        <f>(P3*Params!$C$278)</f>
        <v>428.2051024449176</v>
      </c>
      <c r="R7" s="91">
        <f>(Q3*Params!$C$278)</f>
        <v>427.5531912688752</v>
      </c>
      <c r="S7" s="91">
        <f>(R3*Params!$C$278)</f>
        <v>427.14003598603949</v>
      </c>
      <c r="T7" s="91">
        <f>(S3*Params!$C$278)</f>
        <v>426.8781946585579</v>
      </c>
      <c r="U7" s="91">
        <f>(T3*Params!$C$278)</f>
        <v>426.71225007639799</v>
      </c>
      <c r="V7" s="91">
        <f>(U3*Params!$C$278)</f>
        <v>426.60708102377714</v>
      </c>
      <c r="X7" s="127"/>
    </row>
    <row r="8" spans="1:24" x14ac:dyDescent="0.25">
      <c r="A8" s="82"/>
      <c r="B8" s="63" t="s">
        <v>129</v>
      </c>
      <c r="C8" s="141"/>
      <c r="D8" s="91">
        <f>(C4*Params!$C$66)</f>
        <v>147.17794815340628</v>
      </c>
      <c r="E8" s="91">
        <f>(D4*Params!$C$66)</f>
        <v>100.35145759701956</v>
      </c>
      <c r="F8" s="91">
        <f>(E4*Params!$C$66)</f>
        <v>78.504800130157122</v>
      </c>
      <c r="G8" s="91">
        <f>(F4*Params!$C$66)</f>
        <v>77.506285834476714</v>
      </c>
      <c r="H8" s="91">
        <f>(G4*Params!$C$66)</f>
        <v>74.146481941478953</v>
      </c>
      <c r="I8" s="91">
        <f>(H4*Params!$C$66)</f>
        <v>69.60232777912708</v>
      </c>
      <c r="J8" s="91">
        <f>(I4*Params!$C$66)</f>
        <v>64.865976717828303</v>
      </c>
      <c r="K8" s="91">
        <f>(J4*Params!$C$66)</f>
        <v>61.050879567880294</v>
      </c>
      <c r="L8" s="91">
        <f>(K4*Params!$C$279)</f>
        <v>58.276644633452051</v>
      </c>
      <c r="M8" s="91">
        <f>(L4*Params!$C$279)</f>
        <v>56.362300956249484</v>
      </c>
      <c r="N8" s="91">
        <f>(M4*Params!$C$279)</f>
        <v>55.080653026254375</v>
      </c>
      <c r="O8" s="91">
        <f>(N4*Params!$C$279)</f>
        <v>54.238421003919747</v>
      </c>
      <c r="P8" s="91">
        <f>(O4*Params!$C$279)</f>
        <v>53.691514793233061</v>
      </c>
      <c r="Q8" s="91">
        <f>(P4*Params!$C$279)</f>
        <v>53.339153277230871</v>
      </c>
      <c r="R8" s="91">
        <f>(Q4*Params!$C$279)</f>
        <v>53.113319463036341</v>
      </c>
      <c r="S8" s="91">
        <f>(R4*Params!$C$279)</f>
        <v>52.969090385062159</v>
      </c>
      <c r="T8" s="91">
        <f>(S4*Params!$C$279)</f>
        <v>52.877199772030494</v>
      </c>
      <c r="U8" s="91">
        <f>(T4*Params!$C$279)</f>
        <v>52.818751117372265</v>
      </c>
      <c r="V8" s="91">
        <f>(U4*Params!$C$279)</f>
        <v>52.781615784240635</v>
      </c>
    </row>
    <row r="9" spans="1:24" x14ac:dyDescent="0.25">
      <c r="A9" s="82"/>
      <c r="B9" s="63" t="s">
        <v>130</v>
      </c>
      <c r="C9" s="141"/>
      <c r="D9" s="91">
        <f>(C5*Params!$C$76)</f>
        <v>69.420310194926856</v>
      </c>
      <c r="E9" s="91">
        <f>(D5*Params!$C$76)</f>
        <v>93.982580148708777</v>
      </c>
      <c r="F9" s="91">
        <f>(E5*Params!$C$76)</f>
        <v>94.898017258099941</v>
      </c>
      <c r="G9" s="91">
        <f>(F5*Params!$C$76)</f>
        <v>88.359609964590504</v>
      </c>
      <c r="H9" s="91">
        <f>(G5*Params!$C$76)</f>
        <v>83.713758060145381</v>
      </c>
      <c r="I9" s="91">
        <f>(H5*Params!$C$76)</f>
        <v>79.546090322119241</v>
      </c>
      <c r="J9" s="91">
        <f>(I5*Params!$C$76)</f>
        <v>75.307073511532707</v>
      </c>
      <c r="K9" s="91">
        <f>(J5*Params!$C$76)</f>
        <v>70.95808019349856</v>
      </c>
      <c r="L9" s="91">
        <f>(K5*Params!$C$280)</f>
        <v>66.837655334200321</v>
      </c>
      <c r="M9" s="91">
        <f>(L5*Params!$C$280)</f>
        <v>62.53349457515985</v>
      </c>
      <c r="N9" s="91">
        <f>(M5*Params!$C$280)</f>
        <v>59.107644433078164</v>
      </c>
      <c r="O9" s="91">
        <f>(N5*Params!$C$280)</f>
        <v>56.460019770386076</v>
      </c>
      <c r="P9" s="91">
        <f>(O5*Params!$C$280)</f>
        <v>54.462317378252109</v>
      </c>
      <c r="Q9" s="91">
        <f>(P5*Params!$C$280)</f>
        <v>52.983961244426702</v>
      </c>
      <c r="R9" s="91">
        <f>(Q5*Params!$C$280)</f>
        <v>51.90705751597315</v>
      </c>
      <c r="S9" s="91">
        <f>(R5*Params!$C$280)</f>
        <v>51.132675095641389</v>
      </c>
      <c r="T9" s="91">
        <f>(S5*Params!$C$280)</f>
        <v>50.58176945115769</v>
      </c>
      <c r="U9" s="91">
        <f>(T5*Params!$C$280)</f>
        <v>50.193351796807818</v>
      </c>
      <c r="V9" s="91">
        <f>(U5*Params!$C$280)</f>
        <v>49.921569461674935</v>
      </c>
    </row>
    <row r="10" spans="1:24" x14ac:dyDescent="0.25">
      <c r="A10" s="82"/>
      <c r="B10" s="63" t="s">
        <v>131</v>
      </c>
      <c r="C10" s="141"/>
      <c r="D10" s="91">
        <f>SUM(D7:D9)</f>
        <v>895.42524086006449</v>
      </c>
      <c r="E10" s="91">
        <f t="shared" ref="E10:I10" si="0">SUM(E7:E9)</f>
        <v>847.98845900474169</v>
      </c>
      <c r="F10" s="91">
        <f t="shared" si="0"/>
        <v>794.04685815745222</v>
      </c>
      <c r="G10" s="91">
        <f t="shared" si="0"/>
        <v>744.43817869392615</v>
      </c>
      <c r="H10" s="91">
        <f t="shared" si="0"/>
        <v>692.20455132034544</v>
      </c>
      <c r="I10" s="91">
        <f t="shared" si="0"/>
        <v>643.96840348833916</v>
      </c>
      <c r="J10" s="91">
        <f t="shared" ref="J10" si="1">SUM(J7:J9)</f>
        <v>609.94409542447215</v>
      </c>
      <c r="K10" s="91">
        <f t="shared" ref="K10:L10" si="2">SUM(K7:K9)</f>
        <v>585.90498647225593</v>
      </c>
      <c r="L10" s="91">
        <f t="shared" si="2"/>
        <v>568.94937360254119</v>
      </c>
      <c r="M10" s="91">
        <f t="shared" ref="M10:V10" si="3">SUM(M7:M9)</f>
        <v>556.35463868204602</v>
      </c>
      <c r="N10" s="91">
        <f t="shared" si="3"/>
        <v>547.60614023145251</v>
      </c>
      <c r="O10" s="91">
        <f t="shared" si="3"/>
        <v>541.5552587999864</v>
      </c>
      <c r="P10" s="91">
        <f t="shared" si="3"/>
        <v>537.38757493423225</v>
      </c>
      <c r="Q10" s="91">
        <f t="shared" si="3"/>
        <v>534.5282169665752</v>
      </c>
      <c r="R10" s="91">
        <f t="shared" si="3"/>
        <v>532.57356824788474</v>
      </c>
      <c r="S10" s="91">
        <f t="shared" si="3"/>
        <v>531.24180146674303</v>
      </c>
      <c r="T10" s="91">
        <f t="shared" si="3"/>
        <v>530.33716388174605</v>
      </c>
      <c r="U10" s="91">
        <f t="shared" si="3"/>
        <v>529.72435299057804</v>
      </c>
      <c r="V10" s="91">
        <f t="shared" si="3"/>
        <v>529.31026626969265</v>
      </c>
    </row>
    <row r="11" spans="1:24" x14ac:dyDescent="0.25">
      <c r="A11" s="86" t="s">
        <v>314</v>
      </c>
      <c r="B11" s="64"/>
      <c r="C11" s="117"/>
      <c r="D11" s="91"/>
      <c r="E11" s="91"/>
      <c r="F11" s="91"/>
      <c r="G11" s="91"/>
      <c r="H11" s="91"/>
      <c r="I11" s="91"/>
      <c r="J11" s="91"/>
      <c r="K11" s="91"/>
      <c r="L11" s="91"/>
      <c r="M11" s="91"/>
      <c r="N11" s="91"/>
      <c r="O11" s="91"/>
      <c r="P11" s="91"/>
      <c r="Q11" s="91"/>
      <c r="R11" s="91"/>
      <c r="S11" s="91"/>
      <c r="T11" s="91"/>
      <c r="U11" s="91"/>
      <c r="V11" s="91"/>
    </row>
    <row r="12" spans="1:24" x14ac:dyDescent="0.25">
      <c r="A12" s="82"/>
      <c r="B12" s="64" t="s">
        <v>124</v>
      </c>
      <c r="C12" s="90">
        <f>Params!$C$18*Params!$C$5</f>
        <v>24973.444837624658</v>
      </c>
      <c r="D12" s="91">
        <f>(C3*Params!$C$43)+(C12*Params!$C$90)</f>
        <v>20500.67140142811</v>
      </c>
      <c r="E12" s="91">
        <f>(D3*Params!$C$43)+(D12*Params!$C$90)</f>
        <v>17889.256500904768</v>
      </c>
      <c r="F12" s="91">
        <f>(E3*Params!$C$49)+(E12*Params!$C$97)</f>
        <v>15317.992209211909</v>
      </c>
      <c r="G12" s="91">
        <f>(F3*Params!$C$49)+(F12*Params!$C$97)</f>
        <v>13634.693039370628</v>
      </c>
      <c r="H12" s="91">
        <f>(G3*Params!$C$49)+(G12*Params!$C$97)</f>
        <v>12349.201182827517</v>
      </c>
      <c r="I12" s="91">
        <f>(H3*Params!$C$55)+(H12*Params!$C$104)</f>
        <v>11304.281357638176</v>
      </c>
      <c r="J12" s="91">
        <f>(I3*Params!$C$55)+(I12*Params!$C$104)</f>
        <v>10532.763265342432</v>
      </c>
      <c r="K12" s="91">
        <f>(J3*Params!$C$55)+(J12*Params!$C$104)</f>
        <v>9991.9255699909336</v>
      </c>
      <c r="L12" s="91">
        <f>(K3*Params!$C$281)+(K12*Params!$C$266)</f>
        <v>9624.5363786477628</v>
      </c>
      <c r="M12" s="91">
        <f>(L3*Params!$C$281)+(L12*Params!$C$266)</f>
        <v>9380.0088118015756</v>
      </c>
      <c r="N12" s="91">
        <f>(M3*Params!$C$281)+(M12*Params!$C$266)</f>
        <v>9219.487242575553</v>
      </c>
      <c r="O12" s="91">
        <f>(N3*Params!$C$281)+(N12*Params!$C$266)</f>
        <v>9115.1205816359579</v>
      </c>
      <c r="P12" s="91">
        <f>(O3*Params!$C$281)+(O12*Params!$C$266)</f>
        <v>9047.7265486116703</v>
      </c>
      <c r="Q12" s="91">
        <f>(P3*Params!$C$281)+(P12*Params!$C$266)</f>
        <v>9004.421230137832</v>
      </c>
      <c r="R12" s="91">
        <f>(Q3*Params!$C$281)+(Q12*Params!$C$266)</f>
        <v>8976.6942295346271</v>
      </c>
      <c r="S12" s="91">
        <f>(R3*Params!$C$281)+(R12*Params!$C$266)</f>
        <v>8958.9881827291028</v>
      </c>
      <c r="T12" s="91">
        <f>(S3*Params!$C$281)+(S12*Params!$C$266)</f>
        <v>8947.7032907069515</v>
      </c>
      <c r="U12" s="91">
        <f>(T3*Params!$C$281)+(T12*Params!$C$266)</f>
        <v>8940.5212298243914</v>
      </c>
      <c r="V12" s="91">
        <f>(U3*Params!$C$281)+(U12*Params!$C$266)</f>
        <v>8935.9552154930025</v>
      </c>
    </row>
    <row r="13" spans="1:24" x14ac:dyDescent="0.25">
      <c r="A13" s="82"/>
      <c r="B13" s="64" t="s">
        <v>630</v>
      </c>
      <c r="C13" s="90">
        <f>Params!$C$18*Params!$C$6</f>
        <v>6397.3001938886364</v>
      </c>
      <c r="D13" s="91">
        <f>(C3*Params!$C$44)+(C4*Params!$C$67)+(C12*Params!$C$84)+(C13*Params!$C$117)</f>
        <v>7454.2224814028104</v>
      </c>
      <c r="E13" s="91">
        <f>(D3*Params!$C$44)+(D4*Params!$C$67)+(D12*Params!$C$84)+(D13*Params!$C$117)</f>
        <v>6781.0646191510732</v>
      </c>
      <c r="F13" s="91">
        <f>(E3*Params!$C$50)+(E4*Params!$C$67)+(E12*Params!$C$91)+(E13*Params!$C$117)</f>
        <v>7069.6106080620802</v>
      </c>
      <c r="G13" s="91">
        <f>(F3*Params!$C$50)+(F4*Params!$C$67)+(F12*Params!$C$91)+(F13*Params!$C$117)</f>
        <v>6711.8767136755614</v>
      </c>
      <c r="H13" s="91">
        <f>(G3*Params!$C$50)+(G4*Params!$C$67)+(G12*Params!$C$91)+(G13*Params!$C$117)</f>
        <v>6228.3296322877231</v>
      </c>
      <c r="I13" s="91">
        <f>(H3*Params!$C$56)+(H4*Params!$C$67)+(H12*Params!$C$98)+(H13*Params!$C$117)</f>
        <v>5754.8551474772676</v>
      </c>
      <c r="J13" s="91">
        <f>(I3*Params!$C$56)+(I4*Params!$C$67)+(I12*Params!$C$98)+(I13*Params!$C$117)</f>
        <v>5364.5580200390004</v>
      </c>
      <c r="K13" s="91">
        <f>(J3*Params!$C$56)+(J4*Params!$C$67)+(J12*Params!$C$98)+(J13*Params!$C$117)</f>
        <v>5072.1704862731012</v>
      </c>
      <c r="L13" s="91">
        <f>(K3*Params!$C$232)+(K4*Params!$C$282)+(K12*Params!$C$236)+(K13*Params!$C$267)</f>
        <v>4865.2353821274946</v>
      </c>
      <c r="M13" s="91">
        <f>(L3*Params!$C$232)+(L4*Params!$C$282)+(L12*Params!$C$236)+(L13*Params!$C$267)</f>
        <v>4723.9026595016039</v>
      </c>
      <c r="N13" s="91">
        <f>(M3*Params!$C$232)+(M4*Params!$C$282)+(M12*Params!$C$236)+(M13*Params!$C$267)</f>
        <v>4629.5861833289246</v>
      </c>
      <c r="O13" s="91">
        <f>(N3*Params!$C$232)+(N4*Params!$C$282)+(N12*Params!$C$236)+(N13*Params!$C$267)</f>
        <v>4567.6133626098108</v>
      </c>
      <c r="P13" s="91">
        <f>(O3*Params!$C$232)+(O4*Params!$C$282)+(O12*Params!$C$236)+(O13*Params!$C$267)</f>
        <v>4527.3212827836942</v>
      </c>
      <c r="Q13" s="91">
        <f>(P3*Params!$C$232)+(P4*Params!$C$282)+(P12*Params!$C$236)+(P13*Params!$C$267)</f>
        <v>4501.3165736315395</v>
      </c>
      <c r="R13" s="91">
        <f>(Q3*Params!$C$232)+(Q4*Params!$C$282)+(Q12*Params!$C$236)+(Q13*Params!$C$267)</f>
        <v>4484.6191747799548</v>
      </c>
      <c r="S13" s="91">
        <f>(R3*Params!$C$232)+(R4*Params!$C$282)+(R12*Params!$C$236)+(R13*Params!$C$267)</f>
        <v>4473.9369291513131</v>
      </c>
      <c r="T13" s="91">
        <f>(S3*Params!$C$232)+(S4*Params!$C$282)+(S12*Params!$C$236)+(S13*Params!$C$267)</f>
        <v>4467.1206551931464</v>
      </c>
      <c r="U13" s="91">
        <f>(T3*Params!$C$232)+(T4*Params!$C$282)+(T12*Params!$C$236)+(T13*Params!$C$267)</f>
        <v>4462.7793402722427</v>
      </c>
      <c r="V13" s="91">
        <f>(U3*Params!$C$232)+(U4*Params!$C$282)+(U12*Params!$C$236)+(U13*Params!$C$267)</f>
        <v>4460.0180536091157</v>
      </c>
    </row>
    <row r="14" spans="1:24" x14ac:dyDescent="0.25">
      <c r="A14" s="82"/>
      <c r="B14" s="64" t="s">
        <v>132</v>
      </c>
      <c r="C14" s="94">
        <f>Params!$C$18*Params!$C$7</f>
        <v>499.08600271353481</v>
      </c>
      <c r="D14" s="91">
        <f>(C3*Params!$C$45)+(C4*Params!$C$68)+(C12*Params!$C$85)+(C13*Params!$C$112)+(C14*Params!$C$127)+(C5*Params!$C$78)+(C23*Params!$C$139)</f>
        <v>2299.209312918696</v>
      </c>
      <c r="E14" s="91">
        <f>(D3*Params!$C$45)+(D4*Params!$C$68)+(D12*Params!$C$85)+(D13*Params!$C$112)+(D14*Params!$C$127)+(D5*Params!$C$78)+(D23*Params!$C$139)</f>
        <v>4404.6622598193253</v>
      </c>
      <c r="F14" s="91">
        <f>(E3*Params!$C$51)+(E4*Params!$C$68)+(E12*Params!$C$92)+(E13*Params!$C$112)+(E14*Params!$C$127)+(E5*Params!$C$78)+(E23*Params!$C$139)</f>
        <v>6462.0346163191389</v>
      </c>
      <c r="G14" s="91">
        <f>(F3*Params!$C$51)+(F4*Params!$C$68)+(F12*Params!$C$92)+(F13*Params!$C$112)+(F14*Params!$C$127)+(F5*Params!$C$78)+(F23*Params!$C$139)</f>
        <v>8503.4940796788851</v>
      </c>
      <c r="H14" s="91">
        <f>(G3*Params!$C$51)+(G4*Params!$C$68)+(G12*Params!$C$92)+(G13*Params!$C$112)+(G14*Params!$C$127)+(G5*Params!$C$78)+(G23*Params!$C$139)</f>
        <v>10428.014914081959</v>
      </c>
      <c r="I14" s="91">
        <f>(H3*Params!$C$57)+(H4*Params!$C$68)+(H12*Params!$C$92)+(H13*Params!$C$112)+(H14*Params!$C$127)+(H5*Params!$C$78)+(H23*Params!$C$139)</f>
        <v>12198.303815214915</v>
      </c>
      <c r="J14" s="91">
        <f>(I3*Params!$C$57)+(I4*Params!$C$68)+(I12*Params!$C$92)+(I13*Params!$C$112)+(I14*Params!$C$127)+(I5*Params!$C$78)+(I23*Params!$C$139)</f>
        <v>13805.453763251333</v>
      </c>
      <c r="K14" s="91">
        <f>(J3*Params!$C$57)+(J4*Params!$C$68)+(J12*Params!$C$99)+(J13*Params!$C$112)+(J14*Params!$C$127)+(J5*Params!$C$78)+(J23*Params!$C$139)</f>
        <v>15259.913839575041</v>
      </c>
      <c r="L14" s="91">
        <f>(K3*Params!$C$233)+(K4*Params!$C$234)+(K12*Params!$C$237)+(K13*Params!$C$238)+(K14*Params!$C$268)+(K5*Params!$C$235)+(K23*Params!$C$245)</f>
        <v>16693.223843708023</v>
      </c>
      <c r="M14" s="91">
        <f>(L3*Params!$C$233)+(L4*Params!$C$234)+(L12*Params!$C$237)+(L13*Params!$C$238)+(L14*Params!$C$268)+(L5*Params!$C$235)+(L23*Params!$C$245)</f>
        <v>17978.535183536027</v>
      </c>
      <c r="N14" s="91">
        <f>(M3*Params!$C$233)+(M4*Params!$C$234)+(M12*Params!$C$237)+(M13*Params!$C$238)+(M14*Params!$C$268)++(M5*Params!$C$235)+(M23*Params!$C$245)</f>
        <v>19154.897929417901</v>
      </c>
      <c r="O14" s="91">
        <f>(N3*Params!$C$233)+(N4*Params!$C$234)+(N12*Params!$C$237)+(N13*Params!$C$238)+(N14*Params!$C$268)+(N5*Params!$C$235)+(N23*Params!$C$245)</f>
        <v>20248.503491143521</v>
      </c>
      <c r="P14" s="91">
        <f>(O3*Params!$C$233)+(O4*Params!$C$234)+(O12*Params!$C$237)+(O13*Params!$C$238)+(O14*Params!$C$268)+(O5*Params!$C$235)+(O23*Params!$C$245)</f>
        <v>21277.810051605207</v>
      </c>
      <c r="Q14" s="91">
        <f>(P3*Params!$C$233)+(P4*Params!$C$234)+(P12*Params!$C$237)+(P13*Params!$C$238)+(P14*Params!$C$268)+(P5*Params!$C$235)+(P23*Params!$C$245)</f>
        <v>22256.105346976688</v>
      </c>
      <c r="R14" s="91">
        <f>(Q3*Params!$C$233)+(Q4*Params!$C$234)+(Q12*Params!$C$237)+(Q13*Params!$C$238)+(Q14*Params!$C$268)+(Q5*Params!$C$235)+(Q23*Params!$C$245)</f>
        <v>23193.020617802165</v>
      </c>
      <c r="S14" s="91">
        <f>(R3*Params!$C$233)+(R4*Params!$C$234)+(R12*Params!$C$237)+(R13*Params!$C$238)+(R14*Params!$C$268)+(R5*Params!$C$235)+(R23*Params!$C$245)</f>
        <v>24095.545925151968</v>
      </c>
      <c r="T14" s="91">
        <f>(S3*Params!$C$233)+(S4*Params!$C$234)+(S12*Params!$C$237)+(S13*Params!$C$238)+(S14*Params!$C$268)+(S5*Params!$C$235)+(S23*Params!$C$245)</f>
        <v>24968.757836584067</v>
      </c>
      <c r="U14" s="91">
        <f>(T3*Params!$C$233)+(T4*Params!$C$234)+(T12*Params!$C$237)+(T13*Params!$C$238)+(T14*Params!$C$268)+(T5*Params!$C$235)+(T23*Params!$C$245)</f>
        <v>25816.353126912698</v>
      </c>
      <c r="V14" s="91">
        <f>(U3*Params!$C$233)+(U4*Params!$C$234)+(U12*Params!$C$237)+(U13*Params!$C$238)+(U14*Params!$C$268)+(U5*Params!$C$235)+(U23*Params!$C$245)</f>
        <v>26641.040648236038</v>
      </c>
    </row>
    <row r="15" spans="1:24" x14ac:dyDescent="0.25">
      <c r="A15" s="82"/>
      <c r="B15" s="64" t="s">
        <v>133</v>
      </c>
      <c r="C15" s="95"/>
      <c r="D15" s="91">
        <f>(C14*Params!$C$124)+(C15*Params!$C$134)+(C23*Params!$C$140)</f>
        <v>220.67967048466105</v>
      </c>
      <c r="E15" s="91">
        <f>(D14*Params!$C$124)+(D15*Params!$C$134)+(D23*Params!$C$140)</f>
        <v>624.87739869154939</v>
      </c>
      <c r="F15" s="91">
        <f>(E14*Params!$C$124)+(E15*Params!$C$134)+(E23*Params!$C$140)</f>
        <v>1189.5791726580394</v>
      </c>
      <c r="G15" s="91">
        <f>(F14*Params!$C$124)+(F15*Params!$C$134)+(F23*Params!$C$140)</f>
        <v>1815.3855211759815</v>
      </c>
      <c r="H15" s="91">
        <f>(G14*Params!$C$124)+(G15*Params!$C$134)+(G23*Params!$C$140)</f>
        <v>2473.3180098342605</v>
      </c>
      <c r="I15" s="91">
        <f>(H14*Params!$C$124)+(H15*Params!$C$134)+(H23*Params!$C$140)</f>
        <v>3134.9878761240998</v>
      </c>
      <c r="J15" s="91">
        <f>(I14*Params!$C$124)+(I15*Params!$C$134)+(I23*Params!$C$140)</f>
        <v>3784.3807057842246</v>
      </c>
      <c r="K15" s="91">
        <f>(J14*Params!$C$124)+(J15*Params!$C$134)+(J23*Params!$C$140)</f>
        <v>4413.7442422773511</v>
      </c>
      <c r="L15" s="91">
        <f>(K14*Params!$C$240)+(K15*Params!$C$269)+(K23*Params!$C$246)</f>
        <v>5095.7766578989049</v>
      </c>
      <c r="M15" s="91">
        <f>(L14*Params!$C$240)+(L15*Params!$C$269)+(L23*Params!$C$246)</f>
        <v>5728.3090411959238</v>
      </c>
      <c r="N15" s="91">
        <f>(M14*Params!$C$240)+(M15*Params!$C$269)+(M23*Params!$C$246)</f>
        <v>6330.9042602031959</v>
      </c>
      <c r="O15" s="91">
        <f>(N14*Params!$C$240)+(N15*Params!$C$269)+(N23*Params!$C$246)</f>
        <v>6914.3487287038961</v>
      </c>
      <c r="P15" s="91">
        <f>(O14*Params!$C$240)+(O15*Params!$C$269)+(O23*Params!$C$246)</f>
        <v>7485.3393941523045</v>
      </c>
      <c r="Q15" s="91">
        <f>(P14*Params!$C$240)+(P15*Params!$C$269)+(P23*Params!$C$246)</f>
        <v>8048.3559855658577</v>
      </c>
      <c r="R15" s="91">
        <f>(Q14*Params!$C$240)+(Q15*Params!$C$269)+(Q23*Params!$C$246)</f>
        <v>8606.4924485245901</v>
      </c>
      <c r="S15" s="91">
        <f>(R14*Params!$C$240)+(R15*Params!$C$269)+(R23*Params!$C$246)</f>
        <v>9161.8923015208329</v>
      </c>
      <c r="T15" s="91">
        <f>(S14*Params!$C$240)+(S15*Params!$C$269)+(S23*Params!$C$246)</f>
        <v>9716.0185529755199</v>
      </c>
      <c r="U15" s="91">
        <f>(T14*Params!$C$240)+(T15*Params!$C$269)+(T23*Params!$C$246)</f>
        <v>10269.841223839057</v>
      </c>
      <c r="V15" s="91">
        <f>(U14*Params!$C$240)+(U15*Params!$C$269)+(U23*Params!$C$246)</f>
        <v>10823.974530334608</v>
      </c>
    </row>
    <row r="16" spans="1:24" x14ac:dyDescent="0.25">
      <c r="A16" s="82"/>
      <c r="B16" s="64" t="s">
        <v>570</v>
      </c>
      <c r="C16" s="90"/>
      <c r="D16" s="91"/>
      <c r="E16" s="91"/>
      <c r="F16" s="91"/>
      <c r="G16" s="91"/>
      <c r="H16" s="91"/>
      <c r="I16" s="91"/>
      <c r="J16" s="91"/>
      <c r="K16" s="91"/>
      <c r="L16" s="91"/>
      <c r="M16" s="91"/>
      <c r="N16" s="91"/>
      <c r="O16" s="91"/>
      <c r="P16" s="91"/>
      <c r="Q16" s="91"/>
      <c r="R16" s="91"/>
      <c r="S16" s="91"/>
      <c r="T16" s="91"/>
      <c r="U16" s="91"/>
      <c r="V16" s="91"/>
    </row>
    <row r="17" spans="1:26" x14ac:dyDescent="0.25">
      <c r="A17" s="82"/>
      <c r="B17" s="63" t="s">
        <v>134</v>
      </c>
      <c r="C17" s="90">
        <f>Params!$C$18*Params!$C$9</f>
        <v>1428.0954159393805</v>
      </c>
      <c r="D17" s="91">
        <f>(C13*Params!$C$113)+(C17*Params!$C$142)</f>
        <v>1794.1639761460287</v>
      </c>
      <c r="E17" s="91">
        <f>(D13*Params!$C$113)+(D17*Params!$C$142)</f>
        <v>2147.6882629479223</v>
      </c>
      <c r="F17" s="91">
        <f>(E13*Params!$C$113)+(E17*Params!$C$142)</f>
        <v>2179.9768240437447</v>
      </c>
      <c r="G17" s="91">
        <f>(F13*Params!$C$113)+(F17*Params!$C$142)</f>
        <v>2246.8041556550615</v>
      </c>
      <c r="H17" s="91">
        <f>(G13*Params!$C$113)+(G17*Params!$C$142)</f>
        <v>2210.845245715107</v>
      </c>
      <c r="I17" s="91">
        <f>(H13*Params!$C$113)+(H17*Params!$C$142)</f>
        <v>2106.8205403616521</v>
      </c>
      <c r="J17" s="91">
        <f>(I13*Params!$C$113)+(I17*Params!$C$142)</f>
        <v>1974.7648302597095</v>
      </c>
      <c r="K17" s="91">
        <f>(J13*Params!$C$113)+(J17*Params!$C$142)</f>
        <v>1845.5877697969638</v>
      </c>
      <c r="L17" s="91">
        <f>(K13*Params!$C$239)+(K17*Params!$C$270)</f>
        <v>1660.9802059528952</v>
      </c>
      <c r="M17" s="91">
        <f>(L13*Params!$C$239)+(L17*Params!$C$270)</f>
        <v>1549.662694762826</v>
      </c>
      <c r="N17" s="91">
        <f>(M13*Params!$C$239)+(M17*Params!$C$270)</f>
        <v>1479.5181261809987</v>
      </c>
      <c r="O17" s="91">
        <f>(N13*Params!$C$239)+(N17*Params!$C$270)</f>
        <v>1434.3582555792627</v>
      </c>
      <c r="P17" s="91">
        <f>(O13*Params!$C$239)+(O17*Params!$C$270)</f>
        <v>1405.0555525957479</v>
      </c>
      <c r="Q17" s="91">
        <f>(P13*Params!$C$239)+(P17*Params!$C$270)</f>
        <v>1386.0274216709881</v>
      </c>
      <c r="R17" s="91">
        <f>(Q13*Params!$C$239)+(Q17*Params!$C$270)</f>
        <v>1373.7003453224797</v>
      </c>
      <c r="S17" s="91">
        <f>(R13*Params!$C$239)+(R17*Params!$C$270)</f>
        <v>1365.7416967330337</v>
      </c>
      <c r="T17" s="91">
        <f>(S13*Params!$C$239)+(S17*Params!$C$270)</f>
        <v>1360.6212890272734</v>
      </c>
      <c r="U17" s="91">
        <f>(T13*Params!$C$239)+(T17*Params!$C$270)</f>
        <v>1357.3372374754194</v>
      </c>
      <c r="V17" s="91">
        <f>(U13*Params!$C$239)+(U17*Params!$C$270)</f>
        <v>1355.2365099400572</v>
      </c>
    </row>
    <row r="18" spans="1:26" x14ac:dyDescent="0.25">
      <c r="A18" s="82"/>
      <c r="B18" s="63" t="s">
        <v>730</v>
      </c>
      <c r="C18" s="95"/>
      <c r="D18" s="91">
        <f>(C5*Params!$C77)+(C18*Params!$C142)</f>
        <v>763.4879367695313</v>
      </c>
      <c r="E18" s="91">
        <f>(D5*Params!$C77)+(D18*Params!$C142)</f>
        <v>1368.6651505047453</v>
      </c>
      <c r="F18" s="91">
        <f>(E5*Params!$C77)+(E18*Params!$C142)</f>
        <v>1644.3021114214725</v>
      </c>
      <c r="G18" s="91">
        <f>(F5*Params!$C77)+(F18*Params!$C142)</f>
        <v>1693.3497133945307</v>
      </c>
      <c r="H18" s="91">
        <f>(G5*Params!$C77)+(G18*Params!$C142)</f>
        <v>1663.7778888866237</v>
      </c>
      <c r="I18" s="91">
        <f>(H5*Params!$C77)+(H18*Params!$C142)</f>
        <v>1604.9647210864696</v>
      </c>
      <c r="J18" s="91">
        <f>(I5*Params!$C77)+(I18*Params!$C142)</f>
        <v>1532.534921281745</v>
      </c>
      <c r="K18" s="91">
        <f>(J5*Params!$C77)+(J18*Params!$C142)</f>
        <v>1452.9202298881057</v>
      </c>
      <c r="L18" s="91">
        <f>(K5*Params!$C$283)+(K18*Params!$C$270)</f>
        <v>1313.9684338255367</v>
      </c>
      <c r="M18" s="91">
        <f>(L5*Params!$C$283)+(L18*Params!$C$270)</f>
        <v>1211.2687254796247</v>
      </c>
      <c r="N18" s="91">
        <f>(M5*Params!$C$283)+(M18*Params!$C$270)</f>
        <v>1132.6725806302884</v>
      </c>
      <c r="O18" s="91">
        <f>(N5*Params!$C$283)+(N18*Params!$C$270)</f>
        <v>1072.238941200279</v>
      </c>
      <c r="P18" s="91">
        <f>(O5*Params!$C$283)+(O18*Params!$C$270)</f>
        <v>1026.1896361055751</v>
      </c>
      <c r="Q18" s="91">
        <f>(P5*Params!$C$283)+(P18*Params!$C$270)</f>
        <v>991.58325343116474</v>
      </c>
      <c r="R18" s="91">
        <f>(Q5*Params!$C$283)+(Q18*Params!$C$270)</f>
        <v>965.95124886910389</v>
      </c>
      <c r="S18" s="91">
        <f>(R5*Params!$C$283)+(R18*Params!$C$270)</f>
        <v>947.22203529463627</v>
      </c>
      <c r="T18" s="91">
        <f>(S5*Params!$C$283)+(S18*Params!$C$270)</f>
        <v>933.70089799796961</v>
      </c>
      <c r="U18" s="91">
        <f>(T5*Params!$C$283)+(T18*Params!$C$270)</f>
        <v>924.04185691281327</v>
      </c>
      <c r="V18" s="91">
        <f>(U5*Params!$C$283)+(U18*Params!$C$270)</f>
        <v>917.20434547789046</v>
      </c>
    </row>
    <row r="19" spans="1:26" x14ac:dyDescent="0.25">
      <c r="A19" s="82"/>
      <c r="B19" s="63" t="s">
        <v>135</v>
      </c>
      <c r="C19" s="95"/>
      <c r="D19" s="91">
        <f>(C14*Params!$C125)+(C19*Params!$C142)</f>
        <v>7.1796142551032087</v>
      </c>
      <c r="E19" s="91">
        <f>(D14*Params!$C125)+(D19*Params!$C142)</f>
        <v>36.225951973961209</v>
      </c>
      <c r="F19" s="91">
        <f>(E14*Params!$C125)+(E19*Params!$C142)</f>
        <v>79.260355805389011</v>
      </c>
      <c r="G19" s="91">
        <f>(F14*Params!$C125)+(F19*Params!$C142)</f>
        <v>127.74145555172305</v>
      </c>
      <c r="H19" s="91">
        <f>(G14*Params!$C125)+(G19*Params!$C142)</f>
        <v>178.38380474396834</v>
      </c>
      <c r="I19" s="91">
        <f>(H14*Params!$C125)+(H19*Params!$C142)</f>
        <v>228.29234794922189</v>
      </c>
      <c r="J19" s="91">
        <f>(I14*Params!$C125)+(I19*Params!$C142)</f>
        <v>275.66016890005358</v>
      </c>
      <c r="K19" s="91">
        <f>(J14*Params!$C125)+(J19*Params!$C142)</f>
        <v>319.56620929146806</v>
      </c>
      <c r="L19" s="91">
        <f>(K14*Params!$C$241)+(K19*Params!$C$270)</f>
        <v>346.84612326309144</v>
      </c>
      <c r="M19" s="91">
        <f>(L14*Params!$C$241)+(L19*Params!$C$270)</f>
        <v>378.33413246775848</v>
      </c>
      <c r="N19" s="91">
        <f>(M14*Params!$C$241)+(M19*Params!$C$270)</f>
        <v>409.36972774833396</v>
      </c>
      <c r="O19" s="91">
        <f>(N14*Params!$C$241)+(N19*Params!$C$270)</f>
        <v>438.65778573919818</v>
      </c>
      <c r="P19" s="91">
        <f>(O14*Params!$C$241)+(O19*Params!$C$270)</f>
        <v>466.05906971451964</v>
      </c>
      <c r="Q19" s="91">
        <f>(P14*Params!$C$241)+(P19*Params!$C$270)</f>
        <v>491.78363446515255</v>
      </c>
      <c r="R19" s="91">
        <f>(Q14*Params!$C$241)+(Q19*Params!$C$270)</f>
        <v>516.10632284534063</v>
      </c>
      <c r="S19" s="91">
        <f>(R14*Params!$C$241)+(R19*Params!$C$270)</f>
        <v>539.27519050285719</v>
      </c>
      <c r="T19" s="91">
        <f>(S14*Params!$C$241)+(S19*Params!$C$270)</f>
        <v>561.48962554826244</v>
      </c>
      <c r="U19" s="91">
        <f>(T14*Params!$C$241)+(T19*Params!$C$270)</f>
        <v>582.90209895478529</v>
      </c>
      <c r="V19" s="91">
        <f>(U14*Params!$C$241)+(U19*Params!$C$270)</f>
        <v>603.62653953316124</v>
      </c>
    </row>
    <row r="20" spans="1:26" x14ac:dyDescent="0.25">
      <c r="A20" s="82"/>
      <c r="B20" s="63" t="s">
        <v>136</v>
      </c>
      <c r="C20" s="95"/>
      <c r="D20" s="91">
        <f>(C15*Params!$C75)+(C20*Params!$C80)</f>
        <v>0</v>
      </c>
      <c r="E20" s="91">
        <f>(D15*Params!$C$132)+(D20*Params!$C$142)</f>
        <v>3.1745929547388281</v>
      </c>
      <c r="F20" s="91">
        <f>(E15*Params!$C$132)+(E20*Params!$C$142)</f>
        <v>10.38229104705456</v>
      </c>
      <c r="G20" s="91">
        <f>(F15*Params!$C$132)+(F20*Params!$C$142)</f>
        <v>21.668765143057566</v>
      </c>
      <c r="H20" s="91">
        <f>(G15*Params!$C$132)+(G20*Params!$C$142)</f>
        <v>35.624143319991454</v>
      </c>
      <c r="I20" s="91">
        <f>(H15*Params!$C$132)+(H20*Params!$C$142)</f>
        <v>51.212863761572329</v>
      </c>
      <c r="J20" s="91">
        <f>(I15*Params!$C$132)+(I20*Params!$C$142)</f>
        <v>67.572105290941778</v>
      </c>
      <c r="K20" s="91">
        <f>(J15*Params!$C$132)+(J20*Params!$C$142)</f>
        <v>84.092861725230136</v>
      </c>
      <c r="L20" s="91">
        <f>(K15*Params!$C$243)+(K20*Params!$C$270)</f>
        <v>96.999011969628825</v>
      </c>
      <c r="M20" s="91">
        <f>(L15*Params!$C$243)+(L20*Params!$C$270)</f>
        <v>111.95258304841012</v>
      </c>
      <c r="N20" s="91">
        <f>(M15*Params!$C$243)+(M20*Params!$C$270)</f>
        <v>127.00982074217757</v>
      </c>
      <c r="O20" s="91">
        <f>(N15*Params!$C$243)+(N20*Params!$C$270)</f>
        <v>141.67770032743687</v>
      </c>
      <c r="P20" s="91">
        <f>(O15*Params!$C$243)+(O20*Params!$C$270)</f>
        <v>155.91495498694346</v>
      </c>
      <c r="Q20" s="91">
        <f>(P15*Params!$C$243)+(P20*Params!$C$270)</f>
        <v>169.80148195553761</v>
      </c>
      <c r="R20" s="91">
        <f>(Q15*Params!$C$243)+(Q20*Params!$C$270)</f>
        <v>183.43355781399003</v>
      </c>
      <c r="S20" s="91">
        <f>(R15*Params!$C$243)+(R20*Params!$C$270)</f>
        <v>196.89404991689247</v>
      </c>
      <c r="T20" s="91">
        <f>(S15*Params!$C$243)+(S20*Params!$C$270)</f>
        <v>210.24681060971449</v>
      </c>
      <c r="U20" s="91">
        <f>(T15*Params!$C$243)+(T20*Params!$C$270)</f>
        <v>223.53832662379241</v>
      </c>
      <c r="V20" s="91">
        <f>(U15*Params!$C$243)+(U20*Params!$C$270)</f>
        <v>236.80107385320611</v>
      </c>
    </row>
    <row r="21" spans="1:26" x14ac:dyDescent="0.25">
      <c r="A21" s="82"/>
      <c r="B21" s="63" t="s">
        <v>137</v>
      </c>
      <c r="C21" s="94">
        <f>SUM(C17:C18)</f>
        <v>1428.0954159393805</v>
      </c>
      <c r="D21" s="202">
        <f t="shared" ref="D21:I21" si="4">SUM(D17:D18)</f>
        <v>2557.6519129155599</v>
      </c>
      <c r="E21" s="202">
        <f t="shared" si="4"/>
        <v>3516.3534134526676</v>
      </c>
      <c r="F21" s="202">
        <f t="shared" si="4"/>
        <v>3824.2789354652173</v>
      </c>
      <c r="G21" s="202">
        <f t="shared" si="4"/>
        <v>3940.1538690495922</v>
      </c>
      <c r="H21" s="202">
        <f t="shared" si="4"/>
        <v>3874.6231346017307</v>
      </c>
      <c r="I21" s="202">
        <f t="shared" si="4"/>
        <v>3711.7852614481217</v>
      </c>
      <c r="J21" s="91">
        <f>SUM(J17:J18)</f>
        <v>3507.2997515414545</v>
      </c>
      <c r="K21" s="91">
        <f t="shared" ref="K21:L21" si="5">SUM(K17:K18)</f>
        <v>3298.5079996850695</v>
      </c>
      <c r="L21" s="91">
        <f t="shared" si="5"/>
        <v>2974.9486397784322</v>
      </c>
      <c r="M21" s="91">
        <f t="shared" ref="M21:V21" si="6">SUM(M17:M18)</f>
        <v>2760.9314202424507</v>
      </c>
      <c r="N21" s="91">
        <f t="shared" si="6"/>
        <v>2612.1907068112869</v>
      </c>
      <c r="O21" s="91">
        <f t="shared" si="6"/>
        <v>2506.5971967795417</v>
      </c>
      <c r="P21" s="91">
        <f t="shared" si="6"/>
        <v>2431.2451887013231</v>
      </c>
      <c r="Q21" s="91">
        <f t="shared" si="6"/>
        <v>2377.610675102153</v>
      </c>
      <c r="R21" s="91">
        <f t="shared" si="6"/>
        <v>2339.6515941915836</v>
      </c>
      <c r="S21" s="91">
        <f t="shared" si="6"/>
        <v>2312.9637320276697</v>
      </c>
      <c r="T21" s="91">
        <f t="shared" si="6"/>
        <v>2294.3221870252428</v>
      </c>
      <c r="U21" s="91">
        <f t="shared" si="6"/>
        <v>2281.3790943882327</v>
      </c>
      <c r="V21" s="91">
        <f t="shared" si="6"/>
        <v>2272.4408554179477</v>
      </c>
    </row>
    <row r="22" spans="1:26" x14ac:dyDescent="0.25">
      <c r="A22" s="82"/>
      <c r="B22" s="63" t="s">
        <v>138</v>
      </c>
      <c r="C22" s="90">
        <f>SUM(C19:C20)</f>
        <v>0</v>
      </c>
      <c r="D22" s="91">
        <f t="shared" ref="D22:I22" si="7">SUM(D19:D20)</f>
        <v>7.1796142551032087</v>
      </c>
      <c r="E22" s="91">
        <f t="shared" si="7"/>
        <v>39.400544928700036</v>
      </c>
      <c r="F22" s="91">
        <f t="shared" si="7"/>
        <v>89.642646852443576</v>
      </c>
      <c r="G22" s="91">
        <f t="shared" si="7"/>
        <v>149.41022069478061</v>
      </c>
      <c r="H22" s="91">
        <f t="shared" si="7"/>
        <v>214.00794806395979</v>
      </c>
      <c r="I22" s="91">
        <f t="shared" si="7"/>
        <v>279.50521171079424</v>
      </c>
      <c r="J22" s="91">
        <f t="shared" ref="J22" si="8">SUM(J19:J20)</f>
        <v>343.23227419099533</v>
      </c>
      <c r="K22" s="91">
        <f t="shared" ref="K22:L22" si="9">SUM(K19:K20)</f>
        <v>403.65907101669819</v>
      </c>
      <c r="L22" s="91">
        <f t="shared" si="9"/>
        <v>443.84513523272028</v>
      </c>
      <c r="M22" s="91">
        <f t="shared" ref="M22:V22" si="10">SUM(M19:M20)</f>
        <v>490.28671551616861</v>
      </c>
      <c r="N22" s="91">
        <f t="shared" si="10"/>
        <v>536.37954849051152</v>
      </c>
      <c r="O22" s="91">
        <f t="shared" si="10"/>
        <v>580.33548606663499</v>
      </c>
      <c r="P22" s="91">
        <f t="shared" si="10"/>
        <v>621.97402470146312</v>
      </c>
      <c r="Q22" s="91">
        <f t="shared" si="10"/>
        <v>661.58511642069016</v>
      </c>
      <c r="R22" s="91">
        <f t="shared" si="10"/>
        <v>699.53988065933072</v>
      </c>
      <c r="S22" s="91">
        <f t="shared" si="10"/>
        <v>736.16924041974971</v>
      </c>
      <c r="T22" s="91">
        <f t="shared" si="10"/>
        <v>771.73643615797687</v>
      </c>
      <c r="U22" s="91">
        <f t="shared" si="10"/>
        <v>806.44042557857767</v>
      </c>
      <c r="V22" s="91">
        <f t="shared" si="10"/>
        <v>840.42761338636728</v>
      </c>
    </row>
    <row r="23" spans="1:26" x14ac:dyDescent="0.25">
      <c r="A23" s="82"/>
      <c r="B23" s="63" t="s">
        <v>139</v>
      </c>
      <c r="C23" s="90">
        <f>SUM(C21:C22)</f>
        <v>1428.0954159393805</v>
      </c>
      <c r="D23" s="91">
        <f t="shared" ref="D23:I23" si="11">SUM(D21:D22)</f>
        <v>2564.8315271706633</v>
      </c>
      <c r="E23" s="91">
        <f t="shared" si="11"/>
        <v>3555.7539583813677</v>
      </c>
      <c r="F23" s="91">
        <f t="shared" si="11"/>
        <v>3913.921582317661</v>
      </c>
      <c r="G23" s="91">
        <f t="shared" si="11"/>
        <v>4089.5640897443727</v>
      </c>
      <c r="H23" s="91">
        <f t="shared" si="11"/>
        <v>4088.6310826656904</v>
      </c>
      <c r="I23" s="91">
        <f t="shared" si="11"/>
        <v>3991.290473158916</v>
      </c>
      <c r="J23" s="91">
        <f>SUM(J21:J22)</f>
        <v>3850.5320257324497</v>
      </c>
      <c r="K23" s="91">
        <f>SUM(K21:K22)</f>
        <v>3702.1670707017679</v>
      </c>
      <c r="L23" s="91">
        <f t="shared" ref="L23" si="12">SUM(L21:L22)</f>
        <v>3418.7937750111523</v>
      </c>
      <c r="M23" s="91">
        <f t="shared" ref="M23:V23" si="13">SUM(M21:M22)</f>
        <v>3251.2181357586192</v>
      </c>
      <c r="N23" s="91">
        <f t="shared" si="13"/>
        <v>3148.5702553017982</v>
      </c>
      <c r="O23" s="91">
        <f t="shared" si="13"/>
        <v>3086.9326828461767</v>
      </c>
      <c r="P23" s="91">
        <f t="shared" si="13"/>
        <v>3053.2192134027864</v>
      </c>
      <c r="Q23" s="91">
        <f t="shared" si="13"/>
        <v>3039.1957915228431</v>
      </c>
      <c r="R23" s="91">
        <f t="shared" si="13"/>
        <v>3039.1914748509143</v>
      </c>
      <c r="S23" s="91">
        <f t="shared" si="13"/>
        <v>3049.1329724474194</v>
      </c>
      <c r="T23" s="91">
        <f t="shared" si="13"/>
        <v>3066.0586231832194</v>
      </c>
      <c r="U23" s="91">
        <f t="shared" si="13"/>
        <v>3087.8195199668103</v>
      </c>
      <c r="V23" s="91">
        <f t="shared" si="13"/>
        <v>3112.8684688043149</v>
      </c>
    </row>
    <row r="24" spans="1:26" x14ac:dyDescent="0.25">
      <c r="A24" s="82"/>
      <c r="B24" s="63" t="s">
        <v>127</v>
      </c>
      <c r="C24" s="90"/>
      <c r="D24" s="91"/>
      <c r="E24" s="91"/>
      <c r="F24" s="91"/>
      <c r="G24" s="91"/>
      <c r="H24" s="91"/>
      <c r="I24" s="91"/>
      <c r="J24" s="91"/>
      <c r="K24" s="91"/>
      <c r="L24" s="91"/>
      <c r="M24" s="91"/>
      <c r="N24" s="91"/>
      <c r="O24" s="91"/>
      <c r="P24" s="91"/>
      <c r="Q24" s="91"/>
      <c r="R24" s="91"/>
      <c r="S24" s="91"/>
      <c r="T24" s="91"/>
      <c r="U24" s="91"/>
      <c r="V24" s="91"/>
    </row>
    <row r="25" spans="1:26" x14ac:dyDescent="0.25">
      <c r="A25" s="82"/>
      <c r="B25" s="63" t="s">
        <v>128</v>
      </c>
      <c r="C25" s="95"/>
      <c r="D25" s="91">
        <f>(C12*Params!$C$86)</f>
        <v>696.47284939598728</v>
      </c>
      <c r="E25" s="91">
        <f>(D12*Params!$C$86)</f>
        <v>571.73374031171613</v>
      </c>
      <c r="F25" s="91">
        <f>(E12*Params!$C$93)</f>
        <v>498.90519829245568</v>
      </c>
      <c r="G25" s="91">
        <f>(F12*Params!$C$93)</f>
        <v>427.1963980276455</v>
      </c>
      <c r="H25" s="91">
        <f>(G12*Params!$C$93)</f>
        <v>380.25164623917874</v>
      </c>
      <c r="I25" s="91">
        <f>(H12*Params!$C$100)</f>
        <v>344.40115857025063</v>
      </c>
      <c r="J25" s="91">
        <f>(I12*Params!$C$100)</f>
        <v>315.25987298583073</v>
      </c>
      <c r="K25" s="91">
        <f>(J12*Params!$C$100)</f>
        <v>293.74336184387477</v>
      </c>
      <c r="L25" s="91">
        <f>(K12*Params!$C$284)</f>
        <v>278.66018957063204</v>
      </c>
      <c r="M25" s="91">
        <f>(L12*Params!$C$284)</f>
        <v>268.41424238169776</v>
      </c>
      <c r="N25" s="91">
        <f>(M12*Params!$C$284)</f>
        <v>261.59472619782514</v>
      </c>
      <c r="O25" s="91">
        <f>(N12*Params!$C$284)</f>
        <v>257.11801441716091</v>
      </c>
      <c r="P25" s="91">
        <f>(O12*Params!$C$284)</f>
        <v>254.20738089426649</v>
      </c>
      <c r="Q25" s="91">
        <f>(P12*Params!$C$284)</f>
        <v>252.32785988633583</v>
      </c>
      <c r="R25" s="91">
        <f>(Q12*Params!$C$284)</f>
        <v>251.12013789413257</v>
      </c>
      <c r="S25" s="91">
        <f>(R12*Params!$C$284)</f>
        <v>250.3468724018916</v>
      </c>
      <c r="T25" s="91">
        <f>(S12*Params!$C$284)</f>
        <v>249.85307665403371</v>
      </c>
      <c r="U25" s="91">
        <f>(T12*Params!$C$284)</f>
        <v>249.53835752125502</v>
      </c>
      <c r="V25" s="91">
        <f>(U12*Params!$C$284)</f>
        <v>249.33806034800017</v>
      </c>
    </row>
    <row r="26" spans="1:26" x14ac:dyDescent="0.25">
      <c r="A26" s="82"/>
      <c r="B26" s="63" t="s">
        <v>140</v>
      </c>
      <c r="C26" s="95"/>
      <c r="D26" s="91">
        <f>(C13*Params!$C$114)</f>
        <v>167.40401679576206</v>
      </c>
      <c r="E26" s="91">
        <f>(D13*Params!$C$114)</f>
        <v>195.06147087926169</v>
      </c>
      <c r="F26" s="91">
        <f>(E13*Params!$C$114)</f>
        <v>177.44633220150482</v>
      </c>
      <c r="G26" s="91">
        <f>(F13*Params!$C$114)</f>
        <v>184.99697952303472</v>
      </c>
      <c r="H26" s="91">
        <f>(G13*Params!$C$114)</f>
        <v>175.63582887365556</v>
      </c>
      <c r="I26" s="91">
        <f>(H13*Params!$C$114)</f>
        <v>162.98240926212614</v>
      </c>
      <c r="J26" s="91">
        <f>(I13*Params!$C$114)</f>
        <v>150.59256851597934</v>
      </c>
      <c r="K26" s="91">
        <f>(J13*Params!$C$114)</f>
        <v>140.37930590569408</v>
      </c>
      <c r="L26" s="91">
        <f>(K13*Params!$C$285)</f>
        <v>132.72813335947262</v>
      </c>
      <c r="M26" s="91">
        <f>(L13*Params!$C$285)</f>
        <v>127.31307284955355</v>
      </c>
      <c r="N26" s="91">
        <f>(M13*Params!$C$285)</f>
        <v>123.61468997628187</v>
      </c>
      <c r="O26" s="91">
        <f>(N13*Params!$C$285)</f>
        <v>121.14662431064191</v>
      </c>
      <c r="P26" s="91">
        <f>(O13*Params!$C$285)</f>
        <v>119.5249247176708</v>
      </c>
      <c r="Q26" s="91">
        <f>(P13*Params!$C$285)</f>
        <v>118.47056494033988</v>
      </c>
      <c r="R26" s="91">
        <f>(Q13*Params!$C$285)</f>
        <v>117.79007588468561</v>
      </c>
      <c r="S26" s="91">
        <f>(R13*Params!$C$285)</f>
        <v>117.35313974708392</v>
      </c>
      <c r="T26" s="91">
        <f>(S13*Params!$C$285)</f>
        <v>117.07360763628164</v>
      </c>
      <c r="U26" s="91">
        <f>(T13*Params!$C$285)</f>
        <v>116.89523994903952</v>
      </c>
      <c r="V26" s="91">
        <f>(U13*Params!$C$285)</f>
        <v>116.78163678303069</v>
      </c>
    </row>
    <row r="27" spans="1:26" x14ac:dyDescent="0.25">
      <c r="A27" s="82"/>
      <c r="B27" s="63" t="s">
        <v>141</v>
      </c>
      <c r="C27" s="95"/>
      <c r="D27" s="91">
        <f>(C14*Params!$C$126)</f>
        <v>2.5239623826033184</v>
      </c>
      <c r="E27" s="91">
        <f>(D14*Params!$C$126)</f>
        <v>11.627490620827693</v>
      </c>
      <c r="F27" s="91">
        <f>(E14*Params!$C$126)</f>
        <v>22.275122506766731</v>
      </c>
      <c r="G27" s="91">
        <f>(F14*Params!$C$126)</f>
        <v>32.679602709738873</v>
      </c>
      <c r="H27" s="91">
        <f>(G14*Params!$C$126)</f>
        <v>43.003608718953728</v>
      </c>
      <c r="I27" s="91">
        <f>(H14*Params!$C$126)</f>
        <v>52.736236290474245</v>
      </c>
      <c r="J27" s="91">
        <f>(I14*Params!$C$126)</f>
        <v>61.688886872751475</v>
      </c>
      <c r="K27" s="91">
        <f>(J14*Params!$C$126)</f>
        <v>69.816516159071256</v>
      </c>
      <c r="L27" s="91">
        <f>(K14*Params!$C$242)</f>
        <v>77.171966922426904</v>
      </c>
      <c r="M27" s="91">
        <f>(L14*Params!$C$242)</f>
        <v>84.420458191209477</v>
      </c>
      <c r="N27" s="91">
        <f>(M14*Params!$C$242)</f>
        <v>90.920495166843494</v>
      </c>
      <c r="O27" s="91">
        <f>(N14*Params!$C$242)</f>
        <v>96.869560664090059</v>
      </c>
      <c r="P27" s="91">
        <f>(O14*Params!$C$242)</f>
        <v>102.40010907497296</v>
      </c>
      <c r="Q27" s="91">
        <f>(P14*Params!$C$242)</f>
        <v>107.60548655429943</v>
      </c>
      <c r="R27" s="91">
        <f>(Q14*Params!$C$242)</f>
        <v>112.55289143275817</v>
      </c>
      <c r="S27" s="91">
        <f>(R14*Params!$C$242)</f>
        <v>117.2910305238026</v>
      </c>
      <c r="T27" s="91">
        <f>(S14*Params!$C$242)</f>
        <v>121.85525374928523</v>
      </c>
      <c r="U27" s="91">
        <f>(T14*Params!$C$242)</f>
        <v>126.27123417052094</v>
      </c>
      <c r="V27" s="91">
        <f>(U14*Params!$C$242)</f>
        <v>130.55766700339908</v>
      </c>
    </row>
    <row r="28" spans="1:26" x14ac:dyDescent="0.25">
      <c r="A28" s="82"/>
      <c r="B28" s="63" t="s">
        <v>142</v>
      </c>
      <c r="C28" s="95"/>
      <c r="D28" s="91">
        <f>(C15*Params!$C$133)</f>
        <v>0</v>
      </c>
      <c r="E28" s="91">
        <f>(D15*Params!$C$133)</f>
        <v>1.1160144421607423</v>
      </c>
      <c r="F28" s="91">
        <f>(E15*Params!$C$133)</f>
        <v>3.160110761394662</v>
      </c>
      <c r="G28" s="91">
        <f>(F15*Params!$C$133)</f>
        <v>6.0159032042431697</v>
      </c>
      <c r="H28" s="91">
        <f>(G15*Params!$C$133)</f>
        <v>9.1807118221282824</v>
      </c>
      <c r="I28" s="91">
        <f>(H15*Params!$C$133)</f>
        <v>12.507987767831832</v>
      </c>
      <c r="J28" s="91">
        <f>(I15*Params!$C$133)</f>
        <v>15.854164264743698</v>
      </c>
      <c r="K28" s="91">
        <f>(J15*Params!$C$133)</f>
        <v>19.138253709614901</v>
      </c>
      <c r="L28" s="91">
        <f>(K15*Params!$C$244)</f>
        <v>22.321051629120173</v>
      </c>
      <c r="M28" s="91">
        <f>(L15*Params!$C$244)</f>
        <v>25.770204984224254</v>
      </c>
      <c r="N28" s="91">
        <f>(M15*Params!$C$244)</f>
        <v>28.969028298322389</v>
      </c>
      <c r="O28" s="91">
        <f>(N15*Params!$C$244)</f>
        <v>32.016454305947661</v>
      </c>
      <c r="P28" s="91">
        <f>(O15*Params!$C$244)</f>
        <v>34.967031727128095</v>
      </c>
      <c r="Q28" s="91">
        <f>(P15*Params!$C$244)</f>
        <v>37.854628158552394</v>
      </c>
      <c r="R28" s="91">
        <f>(Q15*Params!$C$244)</f>
        <v>40.701898348025118</v>
      </c>
      <c r="S28" s="91">
        <f>(R15*Params!$C$244)</f>
        <v>43.524488901973562</v>
      </c>
      <c r="T28" s="91">
        <f>(S15*Params!$C$244)</f>
        <v>46.333239956189239</v>
      </c>
      <c r="U28" s="91">
        <f>(T15*Params!$C$244)</f>
        <v>49.135550191860951</v>
      </c>
      <c r="V28" s="91">
        <f>(U15*Params!$C$244)</f>
        <v>51.936325169104286</v>
      </c>
    </row>
    <row r="29" spans="1:26" x14ac:dyDescent="0.25">
      <c r="A29" s="82"/>
      <c r="B29" s="64" t="s">
        <v>130</v>
      </c>
      <c r="C29" s="95"/>
      <c r="D29" s="91"/>
      <c r="E29" s="97"/>
      <c r="F29" s="91"/>
      <c r="G29" s="91"/>
      <c r="H29" s="91"/>
      <c r="I29" s="91"/>
      <c r="J29" s="91"/>
      <c r="K29" s="91"/>
      <c r="L29" s="91"/>
      <c r="M29" s="91"/>
      <c r="N29" s="91"/>
      <c r="O29" s="91"/>
      <c r="P29" s="91"/>
      <c r="Q29" s="91"/>
      <c r="R29" s="91"/>
      <c r="S29" s="91"/>
      <c r="T29" s="91"/>
      <c r="U29" s="91"/>
      <c r="V29" s="91"/>
      <c r="Z29" s="71"/>
    </row>
    <row r="30" spans="1:26" x14ac:dyDescent="0.25">
      <c r="A30" s="82"/>
      <c r="B30" s="63" t="s">
        <v>143</v>
      </c>
      <c r="C30" s="95"/>
      <c r="D30" s="91">
        <f>(C17*Params!$C$138)</f>
        <v>39.827492363014017</v>
      </c>
      <c r="E30" s="91">
        <f>(D17*Params!$C$138)</f>
        <v>50.036609081156818</v>
      </c>
      <c r="F30" s="91">
        <f>(E17*Params!$C$138)</f>
        <v>59.895884361779984</v>
      </c>
      <c r="G30" s="91">
        <f>(F17*Params!$C$138)</f>
        <v>60.796365104245417</v>
      </c>
      <c r="H30" s="91">
        <f>(G17*Params!$C$138)</f>
        <v>62.660081638647704</v>
      </c>
      <c r="I30" s="91">
        <f>(H17*Params!$C$138)</f>
        <v>61.657240235313459</v>
      </c>
      <c r="J30" s="91">
        <f>(I17*Params!$C$138)</f>
        <v>58.756143353559047</v>
      </c>
      <c r="K30" s="91">
        <f>(J17*Params!$C$138)</f>
        <v>55.073302748599936</v>
      </c>
      <c r="L30" s="91">
        <f>(K17*Params!$C$286)</f>
        <v>51.470743471653847</v>
      </c>
      <c r="M30" s="91">
        <f>(L17*Params!$C$286)</f>
        <v>46.322308530198676</v>
      </c>
      <c r="N30" s="91">
        <f>(M17*Params!$C$286)</f>
        <v>43.217825960400688</v>
      </c>
      <c r="O30" s="91">
        <f>(N17*Params!$C$286)</f>
        <v>41.26159653880984</v>
      </c>
      <c r="P30" s="91">
        <f>(O17*Params!$C$286)</f>
        <v>40.002153800299091</v>
      </c>
      <c r="Q30" s="91">
        <f>(P17*Params!$C$286)</f>
        <v>39.184944273354468</v>
      </c>
      <c r="R30" s="91">
        <f>(Q17*Params!$C$286)</f>
        <v>38.654277533142434</v>
      </c>
      <c r="S30" s="91">
        <f>(R17*Params!$C$286)</f>
        <v>38.310493403840702</v>
      </c>
      <c r="T30" s="91">
        <f>(S17*Params!$C$286)</f>
        <v>38.088538335307994</v>
      </c>
      <c r="U30" s="91">
        <f>(T17*Params!$C$286)</f>
        <v>37.945737653700498</v>
      </c>
      <c r="V30" s="91">
        <f>(U17*Params!$C$286)</f>
        <v>37.854150259299985</v>
      </c>
    </row>
    <row r="31" spans="1:26" x14ac:dyDescent="0.25">
      <c r="A31" s="82"/>
      <c r="B31" s="63" t="s">
        <v>731</v>
      </c>
      <c r="C31" s="95"/>
      <c r="D31" s="91">
        <v>0</v>
      </c>
      <c r="E31" s="91">
        <f>(D18*Params!$C$138)</f>
        <v>21.292561849545621</v>
      </c>
      <c r="F31" s="91">
        <f>(E18*Params!$C$138)</f>
        <v>38.170069185044582</v>
      </c>
      <c r="G31" s="91">
        <f>(F18*Params!$C$138)</f>
        <v>45.857180867742777</v>
      </c>
      <c r="H31" s="91">
        <f>(G18*Params!$C$138)</f>
        <v>47.225046747853582</v>
      </c>
      <c r="I31" s="91">
        <f>(H18*Params!$C$138)</f>
        <v>46.400331815221207</v>
      </c>
      <c r="J31" s="91">
        <f>(I18*Params!$C$138)</f>
        <v>44.760118587686605</v>
      </c>
      <c r="K31" s="91">
        <f>(J18*Params!$C$138)</f>
        <v>42.740157409756634</v>
      </c>
      <c r="L31" s="91">
        <f>(K18*Params!$C$286)</f>
        <v>40.519820114311884</v>
      </c>
      <c r="M31" s="91">
        <f>(L18*Params!$C$286)</f>
        <v>36.64465775839269</v>
      </c>
      <c r="N31" s="91">
        <f>(M18*Params!$C$286)</f>
        <v>33.780513105186827</v>
      </c>
      <c r="O31" s="91">
        <f>(N18*Params!$C$286)</f>
        <v>31.588581583097159</v>
      </c>
      <c r="P31" s="91">
        <f>(O18*Params!$C$286)</f>
        <v>29.903175771970314</v>
      </c>
      <c r="Q31" s="91">
        <f>(P18*Params!$C$286)</f>
        <v>28.618928006371945</v>
      </c>
      <c r="R31" s="91">
        <f>(Q18*Params!$C$286)</f>
        <v>27.653806610215092</v>
      </c>
      <c r="S31" s="91">
        <f>(R18*Params!$C$286)</f>
        <v>26.938967493339476</v>
      </c>
      <c r="T31" s="91">
        <f>(S18*Params!$C$286)</f>
        <v>26.416637120819026</v>
      </c>
      <c r="U31" s="91">
        <f>(T18*Params!$C$286)</f>
        <v>26.039552378152841</v>
      </c>
      <c r="V31" s="91">
        <f>(U18*Params!$C$286)</f>
        <v>25.770175849974539</v>
      </c>
      <c r="Z31" s="71"/>
    </row>
    <row r="32" spans="1:26" x14ac:dyDescent="0.25">
      <c r="A32" s="82"/>
      <c r="B32" s="63" t="s">
        <v>144</v>
      </c>
      <c r="C32" s="95"/>
      <c r="D32" s="91">
        <v>0</v>
      </c>
      <c r="E32" s="91">
        <f>(D19*Params!$C$138)</f>
        <v>0.20022894039360703</v>
      </c>
      <c r="F32" s="91">
        <f>(E19*Params!$C$138)</f>
        <v>1.0102888150766922</v>
      </c>
      <c r="G32" s="91">
        <f>(F19*Params!$C$138)</f>
        <v>2.2104553941533704</v>
      </c>
      <c r="H32" s="91">
        <f>(G19*Params!$C$138)</f>
        <v>3.5625223557488845</v>
      </c>
      <c r="I32" s="91">
        <f>(H19*Params!$C$138)</f>
        <v>4.9748634032639156</v>
      </c>
      <c r="J32" s="91">
        <f>(I19*Params!$C$138)</f>
        <v>6.3667396750947365</v>
      </c>
      <c r="K32" s="91">
        <f>(J19*Params!$C$138)</f>
        <v>7.6877589194082718</v>
      </c>
      <c r="L32" s="91">
        <f>(K19*Params!$C$286)</f>
        <v>8.9122341672536667</v>
      </c>
      <c r="M32" s="91">
        <f>(L19*Params!$C$286)</f>
        <v>9.6730310672660043</v>
      </c>
      <c r="N32" s="91">
        <f>(M19*Params!$C$286)</f>
        <v>10.551185588405245</v>
      </c>
      <c r="O32" s="91">
        <f>(N19*Params!$C$286)</f>
        <v>11.416722946919659</v>
      </c>
      <c r="P32" s="91">
        <f>(O19*Params!$C$286)</f>
        <v>12.233524046439587</v>
      </c>
      <c r="Q32" s="91">
        <f>(P19*Params!$C$286)</f>
        <v>12.997705778334607</v>
      </c>
      <c r="R32" s="91">
        <f>(Q19*Params!$C$286)</f>
        <v>13.715126263487386</v>
      </c>
      <c r="S32" s="91">
        <f>(R19*Params!$C$286)</f>
        <v>14.393450467107007</v>
      </c>
      <c r="T32" s="91">
        <f>(S19*Params!$C$286)</f>
        <v>15.039596298394089</v>
      </c>
      <c r="U32" s="91">
        <f>(T19*Params!$C$286)</f>
        <v>15.659124400119405</v>
      </c>
      <c r="V32" s="91">
        <f>(U19*Params!$C$286)</f>
        <v>16.25628696471637</v>
      </c>
      <c r="Z32" s="71"/>
    </row>
    <row r="33" spans="1:26" x14ac:dyDescent="0.25">
      <c r="A33" s="82"/>
      <c r="B33" s="63" t="s">
        <v>145</v>
      </c>
      <c r="C33" s="95"/>
      <c r="D33" s="91">
        <v>0</v>
      </c>
      <c r="E33" s="91">
        <f>(D20*Params!$C$138)</f>
        <v>0</v>
      </c>
      <c r="F33" s="91">
        <f>(E20*Params!$C$138)</f>
        <v>8.8534754225347734E-2</v>
      </c>
      <c r="G33" s="91">
        <f>(F20*Params!$C$138)</f>
        <v>0.28954691176230657</v>
      </c>
      <c r="H33" s="91">
        <f>(G20*Params!$C$138)</f>
        <v>0.6043101662667214</v>
      </c>
      <c r="I33" s="91">
        <f>(H20*Params!$C$138)</f>
        <v>0.99350525194606631</v>
      </c>
      <c r="J33" s="91">
        <f>(I20*Params!$C$138)</f>
        <v>1.4282518643969091</v>
      </c>
      <c r="K33" s="91">
        <f>(J20*Params!$C$138)</f>
        <v>1.88448718299226</v>
      </c>
      <c r="L33" s="91">
        <f>(K20*Params!$C$286)</f>
        <v>2.3452269160478587</v>
      </c>
      <c r="M33" s="91">
        <f>(L20*Params!$C$286)</f>
        <v>2.7051605693301117</v>
      </c>
      <c r="N33" s="91">
        <f>(M20*Params!$C$286)</f>
        <v>3.1221937950464738</v>
      </c>
      <c r="O33" s="91">
        <f>(N20*Params!$C$286)</f>
        <v>3.542118131028003</v>
      </c>
      <c r="P33" s="91">
        <f>(O20*Params!$C$286)</f>
        <v>3.9511838388534533</v>
      </c>
      <c r="Q33" s="91">
        <f>(P20*Params!$C$286)</f>
        <v>4.348240047348316</v>
      </c>
      <c r="R33" s="91">
        <f>(Q20*Params!$C$286)</f>
        <v>4.7355149735315036</v>
      </c>
      <c r="S33" s="91">
        <f>(R20*Params!$C$286)</f>
        <v>5.1156936304228635</v>
      </c>
      <c r="T33" s="91">
        <f>(S20*Params!$C$286)</f>
        <v>5.4910870673369647</v>
      </c>
      <c r="U33" s="91">
        <f>(T20*Params!$C$286)</f>
        <v>5.8634760327960462</v>
      </c>
      <c r="V33" s="91">
        <f>(U20*Params!$C$286)</f>
        <v>6.2341569737437892</v>
      </c>
      <c r="Z33" s="71"/>
    </row>
    <row r="34" spans="1:26" x14ac:dyDescent="0.25">
      <c r="A34" s="82"/>
      <c r="B34" s="63" t="s">
        <v>146</v>
      </c>
      <c r="C34" s="95"/>
      <c r="D34" s="91">
        <f>SUM(D30:D33)</f>
        <v>39.827492363014017</v>
      </c>
      <c r="E34" s="91">
        <f t="shared" ref="E34:I34" si="14">SUM(E30:E33)</f>
        <v>71.529399871096047</v>
      </c>
      <c r="F34" s="91">
        <f t="shared" si="14"/>
        <v>99.164777116126615</v>
      </c>
      <c r="G34" s="91">
        <f t="shared" si="14"/>
        <v>109.15354827790387</v>
      </c>
      <c r="H34" s="91">
        <f t="shared" si="14"/>
        <v>114.0519609085169</v>
      </c>
      <c r="I34" s="91">
        <f t="shared" si="14"/>
        <v>114.02594070574465</v>
      </c>
      <c r="J34" s="91">
        <f t="shared" ref="J34" si="15">SUM(J30:J33)</f>
        <v>111.31125348073731</v>
      </c>
      <c r="K34" s="91">
        <f t="shared" ref="K34:L34" si="16">SUM(K30:K33)</f>
        <v>107.3857062607571</v>
      </c>
      <c r="L34" s="91">
        <f t="shared" si="16"/>
        <v>103.24802466926727</v>
      </c>
      <c r="M34" s="91">
        <f t="shared" ref="M34:V34" si="17">SUM(M30:M33)</f>
        <v>95.345157925187493</v>
      </c>
      <c r="N34" s="91">
        <f t="shared" si="17"/>
        <v>90.671718449039233</v>
      </c>
      <c r="O34" s="91">
        <f t="shared" si="17"/>
        <v>87.80901919985466</v>
      </c>
      <c r="P34" s="91">
        <f t="shared" si="17"/>
        <v>86.090037457562445</v>
      </c>
      <c r="Q34" s="91">
        <f t="shared" si="17"/>
        <v>85.149818105409338</v>
      </c>
      <c r="R34" s="91">
        <f t="shared" si="17"/>
        <v>84.758725380376418</v>
      </c>
      <c r="S34" s="91">
        <f t="shared" si="17"/>
        <v>84.758604994710041</v>
      </c>
      <c r="T34" s="91">
        <f t="shared" si="17"/>
        <v>85.035858821858071</v>
      </c>
      <c r="U34" s="91">
        <f t="shared" si="17"/>
        <v>85.507890464768792</v>
      </c>
      <c r="V34" s="91">
        <f t="shared" si="17"/>
        <v>86.11477004773468</v>
      </c>
      <c r="Z34" s="71"/>
    </row>
    <row r="35" spans="1:26" x14ac:dyDescent="0.25">
      <c r="A35" s="82"/>
      <c r="B35" s="98" t="s">
        <v>131</v>
      </c>
      <c r="C35" s="95"/>
      <c r="D35" s="91">
        <f>SUM(D25:D28)+D34</f>
        <v>906.22832093736668</v>
      </c>
      <c r="E35" s="91">
        <f t="shared" ref="E35:I35" si="18">SUM(E25:E28)+E34</f>
        <v>851.06811612506226</v>
      </c>
      <c r="F35" s="91">
        <f t="shared" si="18"/>
        <v>800.95154087824847</v>
      </c>
      <c r="G35" s="91">
        <f t="shared" si="18"/>
        <v>760.04243174256612</v>
      </c>
      <c r="H35" s="91">
        <f t="shared" si="18"/>
        <v>722.12375656243319</v>
      </c>
      <c r="I35" s="91">
        <f t="shared" si="18"/>
        <v>686.65373259642763</v>
      </c>
      <c r="J35" s="91">
        <f t="shared" ref="J35" si="19">SUM(J25:J28)+J34</f>
        <v>654.70674612004245</v>
      </c>
      <c r="K35" s="91">
        <f t="shared" ref="K35:L35" si="20">SUM(K25:K28)+K34</f>
        <v>630.46314387901202</v>
      </c>
      <c r="L35" s="91">
        <f t="shared" si="20"/>
        <v>614.12936615091905</v>
      </c>
      <c r="M35" s="91">
        <f t="shared" ref="M35:V35" si="21">SUM(M25:M28)+M34</f>
        <v>601.2631363318726</v>
      </c>
      <c r="N35" s="91">
        <f t="shared" si="21"/>
        <v>595.77065808831208</v>
      </c>
      <c r="O35" s="91">
        <f t="shared" si="21"/>
        <v>594.95967289769521</v>
      </c>
      <c r="P35" s="91">
        <f t="shared" si="21"/>
        <v>597.18948387160071</v>
      </c>
      <c r="Q35" s="91">
        <f t="shared" si="21"/>
        <v>601.40835764493681</v>
      </c>
      <c r="R35" s="91">
        <f t="shared" si="21"/>
        <v>606.92372893997788</v>
      </c>
      <c r="S35" s="91">
        <f t="shared" si="21"/>
        <v>613.27413656946169</v>
      </c>
      <c r="T35" s="91">
        <f t="shared" si="21"/>
        <v>620.15103681764788</v>
      </c>
      <c r="U35" s="91">
        <f t="shared" si="21"/>
        <v>627.34827229744531</v>
      </c>
      <c r="V35" s="91">
        <f t="shared" si="21"/>
        <v>634.72845935126884</v>
      </c>
      <c r="Z35" s="71"/>
    </row>
    <row r="36" spans="1:26" x14ac:dyDescent="0.25">
      <c r="A36" s="86" t="s">
        <v>315</v>
      </c>
      <c r="B36" s="64"/>
      <c r="C36" s="90"/>
      <c r="D36" s="91"/>
      <c r="E36" s="91"/>
      <c r="F36" s="91"/>
      <c r="G36" s="91"/>
      <c r="H36" s="91"/>
      <c r="I36" s="91"/>
      <c r="J36" s="91"/>
      <c r="K36" s="91"/>
      <c r="L36" s="91"/>
      <c r="M36" s="91"/>
      <c r="N36" s="91"/>
      <c r="O36" s="91"/>
      <c r="P36" s="91"/>
      <c r="Q36" s="91"/>
      <c r="R36" s="91"/>
      <c r="S36" s="91"/>
      <c r="T36" s="91"/>
      <c r="U36" s="91"/>
      <c r="V36" s="91"/>
    </row>
    <row r="37" spans="1:26" x14ac:dyDescent="0.25">
      <c r="A37" s="82"/>
      <c r="B37" s="64" t="s">
        <v>124</v>
      </c>
      <c r="C37" s="90">
        <f>Params!$C$18*Params!$C$11</f>
        <v>20197.694858662428</v>
      </c>
      <c r="D37" s="91">
        <f>(C12*Params!$C$87)+(C37*Params!$C$151)</f>
        <v>16460.764033938365</v>
      </c>
      <c r="E37" s="91">
        <f>(D12*Params!$C$87)+(D37*Params!$C$151)</f>
        <v>13459.558197925611</v>
      </c>
      <c r="F37" s="91">
        <f>(E12*Params!$C$94)+(E37*Params!$C$155)</f>
        <v>6296.2601741540166</v>
      </c>
      <c r="G37" s="91">
        <f>(F12*Params!$C$94)+(F37*Params!$C$155)</f>
        <v>5030.2015485239654</v>
      </c>
      <c r="H37" s="91">
        <f>(G12*Params!$C$94)+(G37*Params!$C$155)</f>
        <v>4437.7809743848038</v>
      </c>
      <c r="I37" s="91">
        <f>(H12*Params!$C$101)+(H37*Params!$C$159)</f>
        <v>4011.2223431467796</v>
      </c>
      <c r="J37" s="91">
        <f>(I12*Params!$C$101)+(I37*Params!$C$159)</f>
        <v>3668.2893297704495</v>
      </c>
      <c r="K37" s="91">
        <f>(J12*Params!$C$101)+(J37*Params!$C$159)</f>
        <v>3413.1518110233492</v>
      </c>
      <c r="L37" s="91">
        <f>(K12*Params!$C$287)+(K37*Params!$C$271)</f>
        <v>3233.2813473185142</v>
      </c>
      <c r="M37" s="91">
        <f>(L12*Params!$C$287)+(L37*Params!$C$271)</f>
        <v>3110.6431882597944</v>
      </c>
      <c r="N37" s="91">
        <f>(M12*Params!$C$287)+(M37*Params!$C$271)</f>
        <v>3028.8158355082242</v>
      </c>
      <c r="O37" s="91">
        <f>(N12*Params!$C$287)+(N37*Params!$C$271)</f>
        <v>2975.0085736432011</v>
      </c>
      <c r="P37" s="91">
        <f>(O12*Params!$C$287)+(O37*Params!$C$271)</f>
        <v>2939.9827812400636</v>
      </c>
      <c r="Q37" s="91">
        <f>(P12*Params!$C$287)+(P37*Params!$C$271)</f>
        <v>2917.3457782369587</v>
      </c>
      <c r="R37" s="91">
        <f>(Q12*Params!$C$287)+(Q37*Params!$C$271)</f>
        <v>2902.7909282238243</v>
      </c>
      <c r="S37" s="91">
        <f>(R12*Params!$C$287)+(R37*Params!$C$271)</f>
        <v>2893.4677067220587</v>
      </c>
      <c r="T37" s="91">
        <f>(S12*Params!$C$287)+(S37*Params!$C$271)</f>
        <v>2887.5120544614197</v>
      </c>
      <c r="U37" s="91">
        <f>(T12*Params!$C$287)+(T37*Params!$C$271)</f>
        <v>2883.7153044945258</v>
      </c>
      <c r="V37" s="91">
        <f>(U12*Params!$C$287)+(U37*Params!$C$271)</f>
        <v>2881.2984922299543</v>
      </c>
    </row>
    <row r="38" spans="1:26" x14ac:dyDescent="0.25">
      <c r="A38" s="82"/>
      <c r="B38" s="64" t="s">
        <v>630</v>
      </c>
      <c r="C38" s="90">
        <f>Params!$C$18*Params!$C$12</f>
        <v>3982.8067030577031</v>
      </c>
      <c r="D38" s="91">
        <f>(C12*Params!$C$88)+(C13*Params!$C$115)+(C37*Params!$C$148)+(C38*Params!$C$167)</f>
        <v>6470.8714325568135</v>
      </c>
      <c r="E38" s="91">
        <f>(D12*Params!$C$88)+(D13*Params!$C$115)+(D37*Params!$C$148)+(D38*Params!$C$171)</f>
        <v>8074.2508051884597</v>
      </c>
      <c r="F38" s="91">
        <f>(E12*Params!$C$95)+(E13*Params!$C$115)+(E37*Params!$C$152)+(E38*Params!$C$175)</f>
        <v>11500.958679440217</v>
      </c>
      <c r="G38" s="91">
        <f>(F12*Params!$C$95)+(F13*Params!$C$115)+(F37*Params!$C$152)+(F38*Params!$C$179)</f>
        <v>8143.6687733220115</v>
      </c>
      <c r="H38" s="91">
        <f>(G12*Params!$C$95)+(G13*Params!$C$115)+(G37*Params!$C$152)+(G38*Params!$C$183)</f>
        <v>6720.1990820195369</v>
      </c>
      <c r="I38" s="91">
        <f>(H12*Params!$C$102)+(H13*Params!$C$115)+(H37*Params!$C$156)+(H38*Params!$C$187)</f>
        <v>5995.2728793697515</v>
      </c>
      <c r="J38" s="91">
        <f>(I12*Params!$C$102)+(I13*Params!$C$115)+(I37*Params!$C$156)+(I38*Params!$C$191)</f>
        <v>5460.8671966258871</v>
      </c>
      <c r="K38" s="91">
        <f>(J12*Params!$C$102)+(J13*Params!$C$115)+(J37*Params!$C$156)+(J38*Params!$C$195)</f>
        <v>5041.0605094016928</v>
      </c>
      <c r="L38" s="91">
        <f>(K12*Params!$C$247)+(K13*Params!$C$288)+(K37*Params!$C$250)+(K38*Params!$C$272)</f>
        <v>4728.6648196601836</v>
      </c>
      <c r="M38" s="91">
        <f>(L12*Params!$C$247)+(L13*Params!$C$288)+(L37*Params!$C$250)+(L38*Params!$C$272)</f>
        <v>4507.5353229543462</v>
      </c>
      <c r="N38" s="91">
        <f>(M12*Params!$C$247)+(M13*Params!$C$288)+(M37*Params!$C$250)+(M38*Params!$C$272)</f>
        <v>4356.281069896404</v>
      </c>
      <c r="O38" s="91">
        <f>(N12*Params!$C$247)+(N13*Params!$C$288)+(N37*Params!$C$250)+(N38*Params!$C$272)</f>
        <v>4255.1587549579945</v>
      </c>
      <c r="P38" s="91">
        <f>(O12*Params!$C$247)+(O13*Params!$C$288)+(O37*Params!$C$250)+(O38*Params!$C$272)</f>
        <v>4188.5904021972101</v>
      </c>
      <c r="Q38" s="91">
        <f>(P12*Params!$C$247)+(P13*Params!$C$288)+(P37*Params!$C$250)+(P38*Params!$C$272)</f>
        <v>4145.2346955915073</v>
      </c>
      <c r="R38" s="91">
        <f>(Q12*Params!$C$247)+(Q13*Params!$C$288)+(Q37*Params!$C$250)+(Q38*Params!$C$272)</f>
        <v>4117.2086769590796</v>
      </c>
      <c r="S38" s="91">
        <f>(R12*Params!$C$247)+(R13*Params!$C$288)+(R37*Params!$C$250)+(R38*Params!$C$272)</f>
        <v>4099.1888068701683</v>
      </c>
      <c r="T38" s="91">
        <f>(S12*Params!$C$247)+(S13*Params!$C$288)+(S37*Params!$C$250)+(S38*Params!$C$272)</f>
        <v>4087.6471394192909</v>
      </c>
      <c r="U38" s="91">
        <f>(T12*Params!$C$247)+(T13*Params!$C$288)+(T37*Params!$C$250)+(T38*Params!$C$272)</f>
        <v>4080.275371747156</v>
      </c>
      <c r="V38" s="91">
        <f>(U12*Params!$C$247)+(U13*Params!$C$288)+(U37*Params!$C$250)+(U38*Params!$C$272)</f>
        <v>4075.576549945421</v>
      </c>
    </row>
    <row r="39" spans="1:26" x14ac:dyDescent="0.25">
      <c r="A39" s="82"/>
      <c r="B39" s="64" t="s">
        <v>147</v>
      </c>
      <c r="C39" s="90">
        <f>Params!$C$18*Params!$C$13</f>
        <v>2500.913997286465</v>
      </c>
      <c r="D39" s="91">
        <f>(C12*Params!$C$89)+(C13*Params!$C$116)+(C37*Params!$C$149)+(C38*Params!$C$164)+(C39*Params!$C$203)+(C53*Params!$C$223)</f>
        <v>3089.9192704268335</v>
      </c>
      <c r="E39" s="91">
        <f>(D12*Params!$C$89)+(D13*Params!$C$116)+(D37*Params!$C$149)+(D38*Params!$C$168)+(D39*Params!$C$203)+(D53*Params!$C$223)</f>
        <v>2485.6813162007065</v>
      </c>
      <c r="F39" s="91">
        <f>(E12*Params!$C$96)+(E13*Params!$C$116)+(E37*Params!$C$153)+(E38*Params!$C$172)+(E39*Params!$C$203)+(E53*Params!$C$223)</f>
        <v>4627.8868729191345</v>
      </c>
      <c r="G39" s="91">
        <f>(F12*Params!$C$96)+(F13*Params!$C$116)+(F37*Params!$C$153)+(F38*Params!$C$176)+(F39*Params!$C$203)+(F53*Params!$C$223)</f>
        <v>6105.5783944797959</v>
      </c>
      <c r="H39" s="91">
        <f>(G12*Params!$C$96)+(G13*Params!$C$116)+(G37*Params!$C$153)+(G38*Params!$C$180)+(G39*Params!$C$203)+(G53*Params!$C$223)</f>
        <v>4786.2431978776267</v>
      </c>
      <c r="I39" s="91">
        <f>(H12*Params!$C$103)+(H13*Params!$C$116)+(H37*Params!$C$157)+(H38*Params!$C$184)+(H39*Params!$C$203)+(H53*Params!$C$223)</f>
        <v>4104.6084623852939</v>
      </c>
      <c r="J39" s="91">
        <f>(I12*Params!$C$103)+(I13*Params!$C$116)+(I37*Params!$C$157)+(I38*Params!$C$188)+(I39*Params!$C$203)+(I53*Params!$C$223)</f>
        <v>3717.0707237232464</v>
      </c>
      <c r="K39" s="91">
        <f>(J12*Params!$C$103)+(J13*Params!$C$116)+(J37*Params!$C$157)+(J38*Params!$C$192)+(J39*Params!$C$203)+(J53*Params!$C$223)</f>
        <v>3424.4752576891051</v>
      </c>
      <c r="L39" s="91">
        <f>(K12*Params!$C$248)+(K13*Params!$C$249)+(K37*Params!$C$251)+(K38*Params!$C$252)+(K39*Params!$C$273)+(K53*Params!$C$261)</f>
        <v>3259.4801466543749</v>
      </c>
      <c r="M39" s="91">
        <f>(L12*Params!$C$248)+(L13*Params!$C$249)+(L37*Params!$C$251)+(L38*Params!$C$252)+(L39*Params!$C$273)+(L53*Params!$C$261)</f>
        <v>3055.6661842972076</v>
      </c>
      <c r="N39" s="91">
        <f>(M12*Params!$C$248)+(M13*Params!$C$249)+(M37*Params!$C$251)+(M38*Params!$C$252)+(M39*Params!$C$273)+(M53*Params!$C$261)</f>
        <v>2922.9069588467314</v>
      </c>
      <c r="O39" s="91">
        <f>(N12*Params!$C$248)+(N13*Params!$C$249)+(N37*Params!$C$251)+(N38*Params!$C$252)+(N39*Params!$C$273)+(N53*Params!$C$261)</f>
        <v>2835.7412317439976</v>
      </c>
      <c r="P39" s="91">
        <f>(O12*Params!$C$248)+(O13*Params!$C$249)+(O37*Params!$C$251)+(O38*Params!$C$252)+(O39*Params!$C$273)+(O53*Params!$C$261)</f>
        <v>2779.6747622461717</v>
      </c>
      <c r="Q39" s="91">
        <f>(P12*Params!$C$248)+(P13*Params!$C$249)+(P37*Params!$C$251)+(P38*Params!$C$252)+(P39*Params!$C$273)+(P53*Params!$C$261)</f>
        <v>2744.5498222753631</v>
      </c>
      <c r="R39" s="91">
        <f>(Q12*Params!$C$248)+(Q13*Params!$C$249)+(Q37*Params!$C$251)+(Q38*Params!$C$252)+(Q39*Params!$C$273)+(Q53*Params!$C$261)</f>
        <v>2723.3696028187342</v>
      </c>
      <c r="S39" s="91">
        <f>(R12*Params!$C$248)+(R13*Params!$C$249)+(R37*Params!$C$251)+(R38*Params!$C$252)+(R39*Params!$C$273)+(R53*Params!$C$261)</f>
        <v>2711.3720973639261</v>
      </c>
      <c r="T39" s="91">
        <f>(S12*Params!$C$248)+(S13*Params!$C$249)+(S37*Params!$C$251)+(S38*Params!$C$252)+(S39*Params!$C$273)+(S53*Params!$C$261)</f>
        <v>2705.3552941494449</v>
      </c>
      <c r="U39" s="91">
        <f>(T12*Params!$C$248)+(T13*Params!$C$249)+(T37*Params!$C$251)+(T38*Params!$C$252)+(T39*Params!$C$273)+(T53*Params!$C$261)</f>
        <v>2703.1886204507787</v>
      </c>
      <c r="V39" s="91">
        <f>(U12*Params!$C$248)+(U13*Params!$C$249)+(U37*Params!$C$251)+(U38*Params!$C$252)+(U39*Params!$C$273)+(U53*Params!$C$261)</f>
        <v>2703.466924647837</v>
      </c>
    </row>
    <row r="40" spans="1:26" x14ac:dyDescent="0.25">
      <c r="A40" s="82"/>
      <c r="B40" s="63" t="s">
        <v>148</v>
      </c>
      <c r="C40" s="90">
        <f>Params!$C$18*Params!$C$14</f>
        <v>0</v>
      </c>
      <c r="D40" s="91">
        <f>(C39*Params!$C$200)+(C40*Params!$C$211)</f>
        <v>2051.9743897616877</v>
      </c>
      <c r="E40" s="91">
        <f>(D39*Params!$C$200)+(D40*Params!$C$211)</f>
        <v>4449.438132718923</v>
      </c>
      <c r="F40" s="91">
        <f>(E39*Params!$C$200)+(E40*Params!$C$211)</f>
        <v>6190.1488539882885</v>
      </c>
      <c r="G40" s="91">
        <f>(F39*Params!$C$200)+(F40*Params!$C$211)</f>
        <v>9571.634247001215</v>
      </c>
      <c r="H40" s="91">
        <f>(G39*Params!$C$200)+(G40*Params!$C$211)</f>
        <v>13938.494610123866</v>
      </c>
      <c r="I40" s="91">
        <f>(H39*Params!$C$200)+(H40*Params!$C$211)</f>
        <v>16929.633341922545</v>
      </c>
      <c r="J40" s="91">
        <f>(I39*Params!$C$200)+(I40*Params!$C$211)</f>
        <v>19160.652424247928</v>
      </c>
      <c r="K40" s="91">
        <f>(J39*Params!$C$200)+(J40*Params!$C$211)</f>
        <v>20923.895020052591</v>
      </c>
      <c r="L40" s="91">
        <f>(K39*Params!$C$277)+(K40*Params!$C$274)</f>
        <v>22328.669975499008</v>
      </c>
      <c r="M40" s="91">
        <f>(L39*Params!$C$277)+(L40*Params!$C$274)</f>
        <v>23503.742023551098</v>
      </c>
      <c r="N40" s="91">
        <f>(M39*Params!$C$277)+(M40*Params!$C$274)</f>
        <v>24432.684502029231</v>
      </c>
      <c r="O40" s="91">
        <f>(N39*Params!$C$277)+(N40*Params!$C$274)</f>
        <v>25190.323902962591</v>
      </c>
      <c r="P40" s="91">
        <f>(O39*Params!$C$277)+(O40*Params!$C$274)</f>
        <v>25825.571674786894</v>
      </c>
      <c r="Q40" s="91">
        <f>(P39*Params!$C$277)+(P40*Params!$C$274)</f>
        <v>26372.162643564468</v>
      </c>
      <c r="R40" s="91">
        <f>(Q39*Params!$C$277)+(Q40*Params!$C$274)</f>
        <v>26853.232138538635</v>
      </c>
      <c r="S40" s="91">
        <f>(R39*Params!$C$277)+(R40*Params!$C$274)</f>
        <v>27284.621215939722</v>
      </c>
      <c r="T40" s="91">
        <f>(S39*Params!$C$277)+(S40*Params!$C$274)</f>
        <v>27677.200078499067</v>
      </c>
      <c r="U40" s="91">
        <f>(T39*Params!$C$277)+(T40*Params!$C$274)</f>
        <v>28038.481811976042</v>
      </c>
      <c r="V40" s="91">
        <f>(U39*Params!$C$277)+(U40*Params!$C$274)</f>
        <v>28373.72690951289</v>
      </c>
    </row>
    <row r="41" spans="1:26" x14ac:dyDescent="0.25">
      <c r="A41" s="82"/>
      <c r="B41" s="64" t="s">
        <v>133</v>
      </c>
      <c r="C41" s="90">
        <f>Params!$C$18*Params!$C$15</f>
        <v>0</v>
      </c>
      <c r="D41" s="91">
        <f>(C40*Params!$C$208)+(C41*Params!$C$218)+(C53*Params!$C$224)</f>
        <v>47.753212063060928</v>
      </c>
      <c r="E41" s="91">
        <f>(D40*Params!$C$208)+(D41*Params!$C$218)+(D53*Params!$C$224)</f>
        <v>241.06460795415808</v>
      </c>
      <c r="F41" s="91">
        <f>(E40*Params!$C$208)+(E41*Params!$C$218)+(E53*Params!$C$224)</f>
        <v>591.92359014245085</v>
      </c>
      <c r="G41" s="91">
        <f>(F40*Params!$C$208)+(F41*Params!$C$218)+(F53*Params!$C$224)</f>
        <v>1042.7108028531093</v>
      </c>
      <c r="H41" s="91">
        <f>(G40*Params!$C$208)+(G41*Params!$C$218)+(G53*Params!$C$224)</f>
        <v>1635.0712853489022</v>
      </c>
      <c r="I41" s="91">
        <f>(H40*Params!$C$208)+(H41*Params!$C$218)+(H53*Params!$C$224)</f>
        <v>2297.613127810238</v>
      </c>
      <c r="J41" s="91">
        <f>(I40*Params!$C$208)+(I41*Params!$C$218)+(I53*Params!$C$224)</f>
        <v>2960.9625607337603</v>
      </c>
      <c r="K41" s="91">
        <f>(J40*Params!$C$208)+(J41*Params!$C$218)+(J53*Params!$C$224)</f>
        <v>3602.5556287286945</v>
      </c>
      <c r="L41" s="91">
        <f>(K40*Params!$C$256)+(K41*Params!$C$275)+(K53*Params!$C$262)</f>
        <v>4296.915727131066</v>
      </c>
      <c r="M41" s="91">
        <f>(L40*Params!$C$256)+(L41*Params!$C$275)+(L53*Params!$C$262)</f>
        <v>4905.0060658206876</v>
      </c>
      <c r="N41" s="91">
        <f>(M40*Params!$C$256)+(M41*Params!$C$275)+(M53*Params!$C$262)</f>
        <v>5455.2154841913461</v>
      </c>
      <c r="O41" s="91">
        <f>(N40*Params!$C$256)+(N41*Params!$C$275)+(N53*Params!$C$262)</f>
        <v>5956.9721624042222</v>
      </c>
      <c r="P41" s="91">
        <f>(O40*Params!$C$256)+(O41*Params!$C$275)+(O53*Params!$C$262)</f>
        <v>6416.4857821819969</v>
      </c>
      <c r="Q41" s="91">
        <f>(P40*Params!$C$256)+(P41*Params!$C$275)+(P53*Params!$C$262)</f>
        <v>6838.529278159589</v>
      </c>
      <c r="R41" s="91">
        <f>(Q40*Params!$C$256)+(Q41*Params!$C$275)+(Q53*Params!$C$262)</f>
        <v>7227.1230228576605</v>
      </c>
      <c r="S41" s="91">
        <f>(R40*Params!$C$256)+(R41*Params!$C$275)+(R53*Params!$C$262)</f>
        <v>7585.7569072442584</v>
      </c>
      <c r="T41" s="91">
        <f>(S40*Params!$C$256)+(S41*Params!$C$275)+(S53*Params!$C$262)</f>
        <v>7917.4799688708954</v>
      </c>
      <c r="U41" s="91">
        <f>(T40*Params!$C$256)+(T41*Params!$C$275)+(T53*Params!$C$262)</f>
        <v>8224.9569236597363</v>
      </c>
      <c r="V41" s="91">
        <f>(U40*Params!$C$256)+(U41*Params!$C$275)+(U53*Params!$C$262)</f>
        <v>8510.5175128929313</v>
      </c>
    </row>
    <row r="42" spans="1:26" x14ac:dyDescent="0.25">
      <c r="A42" s="82"/>
      <c r="B42" s="64" t="s">
        <v>570</v>
      </c>
      <c r="D42" s="91"/>
      <c r="E42" s="91"/>
      <c r="F42" s="91"/>
      <c r="G42" s="91"/>
      <c r="H42" s="91"/>
      <c r="I42" s="91"/>
      <c r="J42" s="91"/>
      <c r="K42" s="91"/>
      <c r="L42" s="91"/>
      <c r="M42" s="91"/>
      <c r="N42" s="91"/>
      <c r="O42" s="91"/>
      <c r="P42" s="91"/>
      <c r="Q42" s="91"/>
      <c r="R42" s="91"/>
      <c r="S42" s="91"/>
      <c r="T42" s="91"/>
      <c r="U42" s="91"/>
      <c r="V42" s="91"/>
    </row>
    <row r="43" spans="1:26" x14ac:dyDescent="0.25">
      <c r="A43" s="82"/>
      <c r="B43" s="63" t="s">
        <v>134</v>
      </c>
      <c r="C43" s="90">
        <f>Params!$C$18*Params!$C$16</f>
        <v>248.84425254330867</v>
      </c>
      <c r="D43" s="91">
        <f>(C38*Params!$C$193)+(C43*Params!$C$225)</f>
        <v>287.90776975410336</v>
      </c>
      <c r="E43" s="91">
        <f>(D38*Params!$C$193)+(D43*Params!$C$225)</f>
        <v>442.64893402912173</v>
      </c>
      <c r="F43" s="91">
        <f>(E38*Params!$C$193)+(E43*Params!$C$225)</f>
        <v>570.3272853261708</v>
      </c>
      <c r="G43" s="91">
        <f>(F38*Params!$C$193)+(F43*Params!$C$225)</f>
        <v>799.38758253634819</v>
      </c>
      <c r="H43" s="91">
        <f>(G38*Params!$C$193)+(G43*Params!$C$225)</f>
        <v>651.38838467372011</v>
      </c>
      <c r="I43" s="91">
        <f>(H38*Params!$C$193)+(H43*Params!$C$225)</f>
        <v>535.74452497386756</v>
      </c>
      <c r="J43" s="91">
        <f>(I38*Params!$C$193)+(I43*Params!$C$225)</f>
        <v>468.16065337648263</v>
      </c>
      <c r="K43" s="91">
        <f>(J38*Params!$C$193)+(J43*Params!$C$225)</f>
        <v>422.1510689223731</v>
      </c>
      <c r="L43" s="91">
        <f>(K38*Params!$C$253)+(K43*Params!$C$276)</f>
        <v>357.68986567706094</v>
      </c>
      <c r="M43" s="91">
        <f>(L38*Params!$C$253)+(L43*Params!$C$276)</f>
        <v>329.96691761631325</v>
      </c>
      <c r="N43" s="91">
        <f>(M38*Params!$C$253)+(M43*Params!$C$276)</f>
        <v>312.94110093016087</v>
      </c>
      <c r="O43" s="91">
        <f>(N38*Params!$C$253)+(N43*Params!$C$276)</f>
        <v>301.57632737552893</v>
      </c>
      <c r="P43" s="91">
        <f>(O38*Params!$C$253)+(O43*Params!$C$276)</f>
        <v>293.98092027444733</v>
      </c>
      <c r="Q43" s="91">
        <f>(P38*Params!$C$253)+(P43*Params!$C$276)</f>
        <v>288.96435491655427</v>
      </c>
      <c r="R43" s="91">
        <f>(Q38*Params!$C$253)+(Q43*Params!$C$276)</f>
        <v>285.68697221524405</v>
      </c>
      <c r="S43" s="91">
        <f>(R38*Params!$C$253)+(R43*Params!$C$276)</f>
        <v>283.56338889688999</v>
      </c>
      <c r="T43" s="91">
        <f>(S38*Params!$C$253)+(S43*Params!$C$276)</f>
        <v>282.19562120105059</v>
      </c>
      <c r="U43" s="91">
        <f>(T38*Params!$C$253)+(T43*Params!$C$276)</f>
        <v>281.31846500822098</v>
      </c>
      <c r="V43" s="91">
        <f>(U38*Params!$C$253)+(U43*Params!$C$276)</f>
        <v>280.75770225883582</v>
      </c>
    </row>
    <row r="44" spans="1:26" x14ac:dyDescent="0.25">
      <c r="A44" s="82"/>
      <c r="B44" s="63" t="s">
        <v>732</v>
      </c>
      <c r="C44" s="95"/>
      <c r="D44" s="91">
        <f>(C18*Params!$C$141)</f>
        <v>0</v>
      </c>
      <c r="E44" s="91">
        <f>(D18*Params!$C$141)+(D44*Params!$C$225)</f>
        <v>183.52958014673916</v>
      </c>
      <c r="F44" s="91">
        <f>(E18*Params!$C$141)+(E44*Params!$C$225)</f>
        <v>368.6069199139809</v>
      </c>
      <c r="G44" s="91">
        <f>(F18*Params!$C$141)+(F44*Params!$C$225)</f>
        <v>474.80234314595907</v>
      </c>
      <c r="H44" s="91">
        <f>(G18*Params!$C$141)+(G44*Params!$C$225)</f>
        <v>509.50796386286049</v>
      </c>
      <c r="I44" s="91">
        <f>(H18*Params!$C$141)+(H44*Params!$C$225)</f>
        <v>509.88835911858502</v>
      </c>
      <c r="J44" s="91">
        <f>(I18*Params!$C$141)+(I44*Params!$C$225)</f>
        <v>495.83275251411573</v>
      </c>
      <c r="K44" s="91">
        <f>(J18*Params!$C$141)+(J44*Params!$C$225)</f>
        <v>475.38886155909012</v>
      </c>
      <c r="L44" s="91">
        <f>(K18*Params!$C$289)+(K44*Params!$C$276)</f>
        <v>418.22935412724974</v>
      </c>
      <c r="M44" s="91">
        <f>(L18*Params!$C$289)+(L44*Params!$C$276)</f>
        <v>376.53469162185382</v>
      </c>
      <c r="N44" s="91">
        <f>(M18*Params!$C$289)+(M44*Params!$C$276)</f>
        <v>345.79813861375982</v>
      </c>
      <c r="O44" s="91">
        <f>(N18*Params!$C$289)+(N44*Params!$C$276)</f>
        <v>322.44553457039706</v>
      </c>
      <c r="P44" s="91">
        <f>(O18*Params!$C$289)+(O44*Params!$C$276)</f>
        <v>304.53019164921847</v>
      </c>
      <c r="Q44" s="91">
        <f>(P18*Params!$C$289)+(P44*Params!$C$276)</f>
        <v>290.861465741301</v>
      </c>
      <c r="R44" s="91">
        <f>(Q18*Params!$C$289)+(Q44*Params!$C$276)</f>
        <v>280.55954628514002</v>
      </c>
      <c r="S44" s="91">
        <f>(R18*Params!$C$289)+(R44*Params!$C$276)</f>
        <v>272.90338945660761</v>
      </c>
      <c r="T44" s="91">
        <f>(S18*Params!$C$289)+(S44*Params!$C$276)</f>
        <v>267.29040793468891</v>
      </c>
      <c r="U44" s="91">
        <f>(T18*Params!$C$289)+(T44*Params!$C$276)</f>
        <v>263.22579444219116</v>
      </c>
      <c r="V44" s="91">
        <f>(U18*Params!$C$289)+(U44*Params!$C$276)</f>
        <v>260.31420890474493</v>
      </c>
    </row>
    <row r="45" spans="1:26" x14ac:dyDescent="0.25">
      <c r="A45" s="82"/>
      <c r="B45" s="63" t="s">
        <v>733</v>
      </c>
      <c r="C45" s="95"/>
      <c r="D45" s="91">
        <f>(C17*Params!$C$141)</f>
        <v>343.28997155583733</v>
      </c>
      <c r="E45" s="91">
        <f>(D17*Params!$C$141)+(D45*Params!$C$225)</f>
        <v>505.36357511488211</v>
      </c>
      <c r="F45" s="91">
        <f>(E17*Params!$C$141)+(E45*Params!$C$225)</f>
        <v>625.31792623142746</v>
      </c>
      <c r="G45" s="91">
        <f>(F17*Params!$C$141)+(F45*Params!$C$225)</f>
        <v>658.96393097458463</v>
      </c>
      <c r="H45" s="91">
        <f>(G17*Params!$C$141)+(G45*Params!$C$225)</f>
        <v>682.28840257079548</v>
      </c>
      <c r="I45" s="91">
        <f>(H17*Params!$C$141)+(H45*Params!$C$225)</f>
        <v>678.67756633041142</v>
      </c>
      <c r="J45" s="91">
        <f>(I17*Params!$C$141)+(I45*Params!$C$225)</f>
        <v>652.8926222413869</v>
      </c>
      <c r="K45" s="91">
        <f>(J17*Params!$C$141)+(J45*Params!$C$225)</f>
        <v>615.58465329049943</v>
      </c>
      <c r="L45" s="91">
        <f>(K17*Params!$C$289)+(K45*Params!$C$276)</f>
        <v>532.96032907695349</v>
      </c>
      <c r="M45" s="91">
        <f>(L17*Params!$C$289)+(L45*Params!$C$276)</f>
        <v>476.59622298350905</v>
      </c>
      <c r="N45" s="91">
        <f>(M17*Params!$C$289)+(M45*Params!$C$276)</f>
        <v>441.65977594145511</v>
      </c>
      <c r="O45" s="91">
        <f>(N17*Params!$C$289)+(N45*Params!$C$276)</f>
        <v>419.72944508899525</v>
      </c>
      <c r="P45" s="91">
        <f>(O17*Params!$C$289)+(O45*Params!$C$276)</f>
        <v>405.69200860732803</v>
      </c>
      <c r="Q45" s="91">
        <f>(P17*Params!$C$289)+(P45*Params!$C$276)</f>
        <v>396.61150952914494</v>
      </c>
      <c r="R45" s="91">
        <f>(Q17*Params!$C$289)+(Q45*Params!$C$276)</f>
        <v>390.72002226650153</v>
      </c>
      <c r="S45" s="91">
        <f>(R17*Params!$C$289)+(R45*Params!$C$276)</f>
        <v>386.90203374159267</v>
      </c>
      <c r="T45" s="91">
        <f>(S17*Params!$C$289)+(S45*Params!$C$276)</f>
        <v>384.43497543379266</v>
      </c>
      <c r="U45" s="91">
        <f>(T17*Params!$C$289)+(T45*Params!$C$276)</f>
        <v>382.84618226939409</v>
      </c>
      <c r="V45" s="91">
        <f>(U17*Params!$C$289)+(U45*Params!$C$276)</f>
        <v>381.82624137748161</v>
      </c>
    </row>
    <row r="46" spans="1:26" x14ac:dyDescent="0.25">
      <c r="A46" s="82"/>
      <c r="B46" s="63" t="s">
        <v>149</v>
      </c>
      <c r="C46" s="95"/>
      <c r="D46" s="91">
        <f>(C39*Params!$C$201)</f>
        <v>79.292230589934846</v>
      </c>
      <c r="E46" s="91">
        <f>(D39*Params!$C$201)+(D46*Params!$C$225)</f>
        <v>115.0769146833459</v>
      </c>
      <c r="F46" s="91">
        <f>(E39*Params!$C$201)+(E46*Params!$C$225)</f>
        <v>103.64117600417765</v>
      </c>
      <c r="G46" s="91">
        <f>(F39*Params!$C$201)+(F46*Params!$C$225)</f>
        <v>169.09278371836774</v>
      </c>
      <c r="H46" s="91">
        <f>(G39*Params!$C$201)+(G46*Params!$C$225)</f>
        <v>230.06693021650244</v>
      </c>
      <c r="I46" s="91">
        <f>(H39*Params!$C$201)+(H46*Params!$C$225)</f>
        <v>201.3943330946905</v>
      </c>
      <c r="J46" s="91">
        <f>(I39*Params!$C$201)+(I46*Params!$C$225)</f>
        <v>173.59577488825124</v>
      </c>
      <c r="K46" s="91">
        <f>(J39*Params!$C$201)+(J46*Params!$C$225)</f>
        <v>155.31025515042984</v>
      </c>
      <c r="L46" s="91">
        <f>(K39*Params!$C$254)+(K46*Params!$C$276)</f>
        <v>131.10724718244046</v>
      </c>
      <c r="M46" s="91">
        <f>(L39*Params!$C$254)+(L46*Params!$C$276)</f>
        <v>122.36452780961336</v>
      </c>
      <c r="N46" s="91">
        <f>(M39*Params!$C$254)+(M46*Params!$C$276)</f>
        <v>114.63410509515874</v>
      </c>
      <c r="O46" s="91">
        <f>(N39*Params!$C$254)+(N46*Params!$C$276)</f>
        <v>109.30336351407257</v>
      </c>
      <c r="P46" s="91">
        <f>(O39*Params!$C$254)+(O46*Params!$C$276)</f>
        <v>105.76633587841617</v>
      </c>
      <c r="Q46" s="91">
        <f>(P39*Params!$C$254)+(P46*Params!$C$276)</f>
        <v>103.47556101734853</v>
      </c>
      <c r="R46" s="91">
        <f>(Q39*Params!$C$254)+(Q46*Params!$C$276)</f>
        <v>102.02955655934892</v>
      </c>
      <c r="S46" s="91">
        <f>(R39*Params!$C$254)+(R46*Params!$C$276)</f>
        <v>101.14823739499951</v>
      </c>
      <c r="T46" s="91">
        <f>(S39*Params!$C$254)+(S46*Params!$C$276)</f>
        <v>100.63998645395795</v>
      </c>
      <c r="U46" s="91">
        <f>(T39*Params!$C$254)+(T46*Params!$C$276)</f>
        <v>100.37548217732491</v>
      </c>
      <c r="V46" s="91">
        <f>(U39*Params!$C$254)+(U46*Params!$C$276)</f>
        <v>100.26841146375105</v>
      </c>
    </row>
    <row r="47" spans="1:26" x14ac:dyDescent="0.25">
      <c r="A47" s="82"/>
      <c r="B47" s="63" t="s">
        <v>150</v>
      </c>
      <c r="C47" s="95"/>
      <c r="D47" s="91">
        <f>(C40*Params!$C$209)</f>
        <v>0</v>
      </c>
      <c r="E47" s="91">
        <f>(D40*Params!$C$209)+(D47*Params!$C$225)</f>
        <v>22.156509985903931</v>
      </c>
      <c r="F47" s="91">
        <f>(E40*Params!$C$209)+(E47*Params!$C$225)</f>
        <v>52.824542859499218</v>
      </c>
      <c r="G47" s="91">
        <f>(F40*Params!$C$209)+(F47*Params!$C$225)</f>
        <v>78.237844872499366</v>
      </c>
      <c r="H47" s="91">
        <f>(G40*Params!$C$209)+(G47*Params!$C$225)</f>
        <v>120.23377101556591</v>
      </c>
      <c r="I47" s="91">
        <f>(H40*Params!$C$209)+(H47*Params!$C$225)</f>
        <v>176.44772127780541</v>
      </c>
      <c r="J47" s="91">
        <f>(I40*Params!$C$209)+(I47*Params!$C$225)</f>
        <v>220.87514507921716</v>
      </c>
      <c r="K47" s="91">
        <f>(J40*Params!$C$209)+(J47*Params!$C$225)</f>
        <v>254.55170102183808</v>
      </c>
      <c r="L47" s="91">
        <f>(K40*Params!$C$257)+(K47*Params!$C$276)</f>
        <v>262.86068410115183</v>
      </c>
      <c r="M47" s="91">
        <f>(L40*Params!$C$257)+(L47*Params!$C$276)</f>
        <v>279.23446935047343</v>
      </c>
      <c r="N47" s="91">
        <f>(M40*Params!$C$257)+(M47*Params!$C$276)</f>
        <v>294.29808595941722</v>
      </c>
      <c r="O47" s="91">
        <f>(N40*Params!$C$257)+(N47*Params!$C$276)</f>
        <v>306.51399441589496</v>
      </c>
      <c r="P47" s="91">
        <f>(O40*Params!$C$257)+(O47*Params!$C$276)</f>
        <v>316.46707098692951</v>
      </c>
      <c r="Q47" s="91">
        <f>(P40*Params!$C$257)+(P47*Params!$C$276)</f>
        <v>324.77030150774823</v>
      </c>
      <c r="R47" s="91">
        <f>(Q40*Params!$C$257)+(Q47*Params!$C$276)</f>
        <v>331.87687817660111</v>
      </c>
      <c r="S47" s="91">
        <f>(R40*Params!$C$257)+(R47*Params!$C$276)</f>
        <v>338.10235978824778</v>
      </c>
      <c r="T47" s="91">
        <f>(S40*Params!$C$257)+(S47*Params!$C$276)</f>
        <v>343.66357552110122</v>
      </c>
      <c r="U47" s="91">
        <f>(T40*Params!$C$257)+(T47*Params!$C$276)</f>
        <v>348.70935678395108</v>
      </c>
      <c r="V47" s="91">
        <f>(U40*Params!$C$257)+(U47*Params!$C$276)</f>
        <v>353.34242052305376</v>
      </c>
    </row>
    <row r="48" spans="1:26" x14ac:dyDescent="0.25">
      <c r="A48" s="82"/>
      <c r="B48" s="63" t="s">
        <v>718</v>
      </c>
      <c r="C48" s="95"/>
      <c r="D48" s="91">
        <f>(C19*Params!$C$141)</f>
        <v>0</v>
      </c>
      <c r="E48" s="91">
        <f>(D19*Params!$C$141)+(D48*Params!$C$225)</f>
        <v>1.7258577724619526</v>
      </c>
      <c r="F48" s="91">
        <f>(E19*Params!$C$141)+(E48*Params!$C$225)</f>
        <v>9.0805205048544142</v>
      </c>
      <c r="G48" s="91">
        <f>(F19*Params!$C$141)+(F48*Params!$C$225)</f>
        <v>21.012290773963219</v>
      </c>
      <c r="H48" s="91">
        <f>(G19*Params!$C$141)+(G48*Params!$C$225)</f>
        <v>35.241026918870304</v>
      </c>
      <c r="I48" s="91">
        <f>(H19*Params!$C$141)+(H48*Params!$C$225)</f>
        <v>50.484942240219091</v>
      </c>
      <c r="J48" s="91">
        <f>(I19*Params!$C$141)+(I48*Params!$C$225)</f>
        <v>65.771523724123469</v>
      </c>
      <c r="K48" s="91">
        <f>(J19*Params!$C$141)+(J48*Params!$C$225)</f>
        <v>80.456565301584845</v>
      </c>
      <c r="L48" s="91">
        <f>(K19*Params!$C$289)+(K48*Params!$C$276)</f>
        <v>88.491370800355625</v>
      </c>
      <c r="M48" s="91">
        <f>(L19*Params!$C$289)+(L48*Params!$C$276)</f>
        <v>96.214732342981648</v>
      </c>
      <c r="N48" s="91">
        <f>(M19*Params!$C$289)+(M48*Params!$C$276)</f>
        <v>104.90446284175744</v>
      </c>
      <c r="O48" s="91">
        <f>(N19*Params!$C$289)+(N48*Params!$C$276)</f>
        <v>113.62564658189406</v>
      </c>
      <c r="P48" s="91">
        <f>(O19*Params!$C$289)+(O48*Params!$C$276)</f>
        <v>121.9313153314155</v>
      </c>
      <c r="Q48" s="91">
        <f>(P19*Params!$C$289)+(P48*Params!$C$276)</f>
        <v>129.72315043470917</v>
      </c>
      <c r="R48" s="91">
        <f>(Q19*Params!$C$289)+(Q48*Params!$C$276)</f>
        <v>137.03738092103981</v>
      </c>
      <c r="S48" s="91">
        <f>(R19*Params!$C$289)+(R48*Params!$C$276)</f>
        <v>143.94533065982918</v>
      </c>
      <c r="T48" s="91">
        <f>(S19*Params!$C$289)+(S48*Params!$C$276)</f>
        <v>150.51697607342896</v>
      </c>
      <c r="U48" s="91">
        <f>(T19*Params!$C$289)+(T48*Params!$C$276)</f>
        <v>156.81039923709307</v>
      </c>
      <c r="V48" s="91">
        <f>(U19*Params!$C$289)+(U48*Params!$C$276)</f>
        <v>162.87067844573818</v>
      </c>
    </row>
    <row r="49" spans="1:22" x14ac:dyDescent="0.25">
      <c r="A49" s="82"/>
      <c r="B49" s="63" t="s">
        <v>136</v>
      </c>
      <c r="C49" s="95"/>
      <c r="D49" s="91">
        <f>(C41*Params!$C$216)</f>
        <v>0</v>
      </c>
      <c r="E49" s="91">
        <f>(D41*Params!$C$216)+(D49*Params!$C$225)</f>
        <v>1.3106379751251294</v>
      </c>
      <c r="F49" s="91">
        <f>(E41*Params!$C$216)+(E49*Params!$C$225)</f>
        <v>6.8990923322267257</v>
      </c>
      <c r="G49" s="91">
        <f>(F41*Params!$C$216)+(F49*Params!$C$225)</f>
        <v>17.734698413257739</v>
      </c>
      <c r="H49" s="91">
        <f>(G41*Params!$C$216)+(G49*Params!$C$225)</f>
        <v>32.445199657932882</v>
      </c>
      <c r="I49" s="91">
        <f>(H41*Params!$C$216)+(H49*Params!$C$225)</f>
        <v>51.877475965462239</v>
      </c>
      <c r="J49" s="91">
        <f>(I41*Params!$C$216)+(I49*Params!$C$225)</f>
        <v>74.254844220875498</v>
      </c>
      <c r="K49" s="91">
        <f>(J41*Params!$C$216)+(J49*Params!$C$225)</f>
        <v>97.289885096903831</v>
      </c>
      <c r="L49" s="91">
        <f>(K41*Params!$C$259)+(K49*Params!$C$276)</f>
        <v>112.99132045214802</v>
      </c>
      <c r="M49" s="91">
        <f>(L41*Params!$C$259)+(L49*Params!$C$276)</f>
        <v>134.32682279929614</v>
      </c>
      <c r="N49" s="91">
        <f>(M41*Params!$C$259)+(M49*Params!$C$276)</f>
        <v>154.11197941318324</v>
      </c>
      <c r="O49" s="91">
        <f>(N41*Params!$C$259)+(N49*Params!$C$276)</f>
        <v>172.08359995127219</v>
      </c>
      <c r="P49" s="91">
        <f>(O41*Params!$C$259)+(O49*Params!$C$276)</f>
        <v>188.46226586140605</v>
      </c>
      <c r="Q49" s="91">
        <f>(P41*Params!$C$259)+(P49*Params!$C$276)</f>
        <v>203.45041161654348</v>
      </c>
      <c r="R49" s="91">
        <f>(Q41*Params!$C$259)+(Q49*Params!$C$276)</f>
        <v>217.20840577067858</v>
      </c>
      <c r="S49" s="91">
        <f>(R41*Params!$C$259)+(R49*Params!$C$276)</f>
        <v>229.8698588608847</v>
      </c>
      <c r="T49" s="91">
        <f>(S41*Params!$C$259)+(S49*Params!$C$276)</f>
        <v>241.54993959680851</v>
      </c>
      <c r="U49" s="91">
        <f>(T41*Params!$C$259)+(T49*Params!$C$276)</f>
        <v>252.34904135724724</v>
      </c>
      <c r="V49" s="91">
        <f>(U41*Params!$C$259)+(U49*Params!$C$276)</f>
        <v>262.35486572012195</v>
      </c>
    </row>
    <row r="50" spans="1:22" x14ac:dyDescent="0.25">
      <c r="A50" s="82"/>
      <c r="B50" s="63" t="s">
        <v>734</v>
      </c>
      <c r="C50" s="95"/>
      <c r="D50" s="91">
        <f>(C20*Params!$C$141)</f>
        <v>0</v>
      </c>
      <c r="E50" s="91">
        <f>(D20*Params!$C$141)+(D50*Params!$C$225)</f>
        <v>0</v>
      </c>
      <c r="F50" s="91">
        <f>(E20*Params!$C$141)+(E50*Params!$C$225)</f>
        <v>0.76311842540072539</v>
      </c>
      <c r="G50" s="91">
        <f>(F20*Params!$C$141)+(F50*Params!$C$225)</f>
        <v>2.6603967862208489</v>
      </c>
      <c r="H50" s="91">
        <f>(G20*Params!$C$141)+(G50*Params!$C$225)</f>
        <v>5.7828788751642239</v>
      </c>
      <c r="I50" s="91">
        <f>(H20*Params!$C$141)+(H50*Params!$C$225)</f>
        <v>9.8113012486901336</v>
      </c>
      <c r="J50" s="91">
        <f>(I20*Params!$C$141)+(I50*Params!$C$225)</f>
        <v>14.427840024375133</v>
      </c>
      <c r="K50" s="91">
        <f>(J20*Params!$C$141)+(J50*Params!$C$225)</f>
        <v>19.356505882444143</v>
      </c>
      <c r="L50" s="91">
        <f>(K20*Params!$C$289)+(K50*Params!$C$276)</f>
        <v>23.022844648743405</v>
      </c>
      <c r="M50" s="91">
        <f>(L20*Params!$C$289)+(L50*Params!$C$276)</f>
        <v>26.657196487145431</v>
      </c>
      <c r="N50" s="91">
        <f>(M20*Params!$C$289)+(M50*Params!$C$276)</f>
        <v>30.779072815578399</v>
      </c>
      <c r="O50" s="91">
        <f>(N20*Params!$C$289)+(N50*Params!$C$276)</f>
        <v>34.996601462212574</v>
      </c>
      <c r="P50" s="91">
        <f>(O20*Params!$C$289)+(O50*Params!$C$276)</f>
        <v>39.134412749953455</v>
      </c>
      <c r="Q50" s="91">
        <f>(P20*Params!$C$289)+(P50*Params!$C$276)</f>
        <v>43.157143278763471</v>
      </c>
      <c r="R50" s="91">
        <f>(Q20*Params!$C$289)+(Q50*Params!$C$276)</f>
        <v>47.078868283716766</v>
      </c>
      <c r="S50" s="91">
        <f>(R20*Params!$C$289)+(R50*Params!$C$276)</f>
        <v>50.924773134788644</v>
      </c>
      <c r="T50" s="91">
        <f>(S20*Params!$C$289)+(S50*Params!$C$276)</f>
        <v>54.718431767723494</v>
      </c>
      <c r="U50" s="91">
        <f>(T20*Params!$C$289)+(T50*Params!$C$276)</f>
        <v>58.478613436490328</v>
      </c>
      <c r="V50" s="91">
        <f>(U20*Params!$C$289)+(U50*Params!$C$276)</f>
        <v>62.219215906771197</v>
      </c>
    </row>
    <row r="51" spans="1:22" x14ac:dyDescent="0.25">
      <c r="A51" s="82"/>
      <c r="B51" s="63" t="s">
        <v>137</v>
      </c>
      <c r="C51" s="91">
        <f>SUM(C43:C45)</f>
        <v>248.84425254330867</v>
      </c>
      <c r="D51" s="91">
        <f t="shared" ref="D51:I51" si="22">SUM(D43:D45)</f>
        <v>631.19774130994074</v>
      </c>
      <c r="E51" s="91">
        <f t="shared" si="22"/>
        <v>1131.542089290743</v>
      </c>
      <c r="F51" s="91">
        <f t="shared" si="22"/>
        <v>1564.2521314715791</v>
      </c>
      <c r="G51" s="91">
        <f t="shared" si="22"/>
        <v>1933.1538566568918</v>
      </c>
      <c r="H51" s="91">
        <f t="shared" si="22"/>
        <v>1843.1847511073761</v>
      </c>
      <c r="I51" s="91">
        <f t="shared" si="22"/>
        <v>1724.3104504228641</v>
      </c>
      <c r="J51" s="91">
        <f>SUM(J43:J45)</f>
        <v>1616.8860281319853</v>
      </c>
      <c r="K51" s="91">
        <f t="shared" ref="K51:L51" si="23">SUM(K43:K45)</f>
        <v>1513.1245837719625</v>
      </c>
      <c r="L51" s="91">
        <f t="shared" si="23"/>
        <v>1308.8795488812641</v>
      </c>
      <c r="M51" s="91">
        <f t="shared" ref="M51:V51" si="24">SUM(M43:M45)</f>
        <v>1183.0978322216761</v>
      </c>
      <c r="N51" s="91">
        <f t="shared" si="24"/>
        <v>1100.3990154853759</v>
      </c>
      <c r="O51" s="91">
        <f t="shared" si="24"/>
        <v>1043.7513070349214</v>
      </c>
      <c r="P51" s="91">
        <f t="shared" si="24"/>
        <v>1004.2031205309938</v>
      </c>
      <c r="Q51" s="91">
        <f t="shared" si="24"/>
        <v>976.43733018700027</v>
      </c>
      <c r="R51" s="91">
        <f t="shared" si="24"/>
        <v>956.9665407668856</v>
      </c>
      <c r="S51" s="91">
        <f t="shared" si="24"/>
        <v>943.36881209509033</v>
      </c>
      <c r="T51" s="91">
        <f t="shared" si="24"/>
        <v>933.92100456953222</v>
      </c>
      <c r="U51" s="91">
        <f t="shared" si="24"/>
        <v>927.39044171980618</v>
      </c>
      <c r="V51" s="91">
        <f t="shared" si="24"/>
        <v>922.89815254106247</v>
      </c>
    </row>
    <row r="52" spans="1:22" x14ac:dyDescent="0.25">
      <c r="A52" s="82"/>
      <c r="B52" s="63" t="s">
        <v>138</v>
      </c>
      <c r="C52" s="91">
        <f>SUM(C46:C50)</f>
        <v>0</v>
      </c>
      <c r="D52" s="91">
        <f t="shared" ref="D52:I52" si="25">SUM(D46:D50)</f>
        <v>79.292230589934846</v>
      </c>
      <c r="E52" s="91">
        <f t="shared" si="25"/>
        <v>140.26992041683692</v>
      </c>
      <c r="F52" s="91">
        <f t="shared" si="25"/>
        <v>173.20845012615874</v>
      </c>
      <c r="G52" s="91">
        <f t="shared" si="25"/>
        <v>288.73801456430891</v>
      </c>
      <c r="H52" s="91">
        <f t="shared" si="25"/>
        <v>423.76980668403581</v>
      </c>
      <c r="I52" s="91">
        <f t="shared" si="25"/>
        <v>490.01577382686736</v>
      </c>
      <c r="J52" s="91">
        <f>SUM(J46:J50)</f>
        <v>548.92512793684239</v>
      </c>
      <c r="K52" s="91">
        <f t="shared" ref="K52:L52" si="26">SUM(K46:K50)</f>
        <v>606.96491245320078</v>
      </c>
      <c r="L52" s="91">
        <f t="shared" si="26"/>
        <v>618.47346718483936</v>
      </c>
      <c r="M52" s="91">
        <f t="shared" ref="M52:V52" si="27">SUM(M46:M50)</f>
        <v>658.79774878951002</v>
      </c>
      <c r="N52" s="91">
        <f t="shared" si="27"/>
        <v>698.7277061250951</v>
      </c>
      <c r="O52" s="91">
        <f t="shared" si="27"/>
        <v>736.52320592534636</v>
      </c>
      <c r="P52" s="91">
        <f t="shared" si="27"/>
        <v>771.7614008081207</v>
      </c>
      <c r="Q52" s="91">
        <f t="shared" si="27"/>
        <v>804.5765678551129</v>
      </c>
      <c r="R52" s="91">
        <f t="shared" si="27"/>
        <v>835.23108971138527</v>
      </c>
      <c r="S52" s="91">
        <f t="shared" si="27"/>
        <v>863.99055983874985</v>
      </c>
      <c r="T52" s="91">
        <f t="shared" si="27"/>
        <v>891.08890941302002</v>
      </c>
      <c r="U52" s="91">
        <f t="shared" si="27"/>
        <v>916.72289299210661</v>
      </c>
      <c r="V52" s="91">
        <f t="shared" si="27"/>
        <v>941.05559205943621</v>
      </c>
    </row>
    <row r="53" spans="1:22" x14ac:dyDescent="0.25">
      <c r="A53" s="82"/>
      <c r="B53" s="63" t="s">
        <v>139</v>
      </c>
      <c r="C53" s="91">
        <f>SUM(C51:C52)</f>
        <v>248.84425254330867</v>
      </c>
      <c r="D53" s="91">
        <f t="shared" ref="D53:I53" si="28">SUM(D51:D52)</f>
        <v>710.48997189987563</v>
      </c>
      <c r="E53" s="91">
        <f t="shared" si="28"/>
        <v>1271.8120097075798</v>
      </c>
      <c r="F53" s="91">
        <f t="shared" si="28"/>
        <v>1737.4605815977379</v>
      </c>
      <c r="G53" s="91">
        <f t="shared" si="28"/>
        <v>2221.8918712212007</v>
      </c>
      <c r="H53" s="91">
        <f t="shared" si="28"/>
        <v>2266.9545577914118</v>
      </c>
      <c r="I53" s="91">
        <f t="shared" si="28"/>
        <v>2214.3262242497312</v>
      </c>
      <c r="J53" s="91">
        <f>SUM(J51:J52)</f>
        <v>2165.8111560688276</v>
      </c>
      <c r="K53" s="91">
        <f t="shared" ref="K53:L53" si="29">SUM(K51:K52)</f>
        <v>2120.0894962251632</v>
      </c>
      <c r="L53" s="91">
        <f t="shared" si="29"/>
        <v>1927.3530160661035</v>
      </c>
      <c r="M53" s="91">
        <f t="shared" ref="M53:V53" si="30">SUM(M51:M52)</f>
        <v>1841.8955810111861</v>
      </c>
      <c r="N53" s="91">
        <f t="shared" si="30"/>
        <v>1799.1267216104711</v>
      </c>
      <c r="O53" s="91">
        <f t="shared" si="30"/>
        <v>1780.2745129602677</v>
      </c>
      <c r="P53" s="91">
        <f t="shared" si="30"/>
        <v>1775.9645213391145</v>
      </c>
      <c r="Q53" s="91">
        <f t="shared" si="30"/>
        <v>1781.0138980421132</v>
      </c>
      <c r="R53" s="91">
        <f t="shared" si="30"/>
        <v>1792.1976304782709</v>
      </c>
      <c r="S53" s="91">
        <f t="shared" si="30"/>
        <v>1807.3593719338401</v>
      </c>
      <c r="T53" s="91">
        <f t="shared" si="30"/>
        <v>1825.0099139825522</v>
      </c>
      <c r="U53" s="91">
        <f t="shared" si="30"/>
        <v>1844.1133347119128</v>
      </c>
      <c r="V53" s="91">
        <f t="shared" si="30"/>
        <v>1863.9537446004988</v>
      </c>
    </row>
    <row r="54" spans="1:22" x14ac:dyDescent="0.25">
      <c r="A54" s="82"/>
      <c r="B54" s="63" t="s">
        <v>127</v>
      </c>
      <c r="C54" s="90"/>
      <c r="D54" s="91"/>
      <c r="E54" s="91"/>
      <c r="F54" s="91"/>
      <c r="G54" s="91"/>
      <c r="H54" s="91"/>
      <c r="I54" s="91"/>
      <c r="J54" s="91"/>
      <c r="K54" s="91"/>
      <c r="L54" s="91"/>
      <c r="M54" s="91"/>
      <c r="N54" s="91"/>
      <c r="O54" s="91"/>
      <c r="P54" s="91"/>
      <c r="Q54" s="91"/>
      <c r="R54" s="91"/>
      <c r="S54" s="91"/>
      <c r="T54" s="91"/>
      <c r="U54" s="91"/>
      <c r="V54" s="91"/>
    </row>
    <row r="55" spans="1:22" x14ac:dyDescent="0.25">
      <c r="A55" s="82"/>
      <c r="B55" s="63" t="s">
        <v>128</v>
      </c>
      <c r="C55" s="95"/>
      <c r="D55" s="91">
        <f>(C37*Params!$C$150)</f>
        <v>8291.4514192246461</v>
      </c>
      <c r="E55" s="91">
        <f>(D37*Params!$C$150)</f>
        <v>6757.3862396571903</v>
      </c>
      <c r="F55" s="91">
        <f>(E37*Params!$C$154)</f>
        <v>5525.3470112934256</v>
      </c>
      <c r="G55" s="91">
        <f>(F37*Params!$C$154)</f>
        <v>2584.707597679499</v>
      </c>
      <c r="H55" s="91">
        <f>(G37*Params!$C$154)</f>
        <v>2064.9718723029114</v>
      </c>
      <c r="I55" s="91">
        <f>(H37*Params!$C$158)</f>
        <v>1821.7744953449489</v>
      </c>
      <c r="J55" s="91">
        <f>(I37*Params!$C$158)</f>
        <v>1646.6658904714491</v>
      </c>
      <c r="K55" s="91">
        <f>(J37*Params!$C$158)</f>
        <v>1505.8868342298567</v>
      </c>
      <c r="L55" s="91">
        <f>(K37*Params!$C$290)</f>
        <v>1401.1491224901522</v>
      </c>
      <c r="M55" s="91">
        <f>(L37*Params!$C$290)</f>
        <v>1327.3096461539494</v>
      </c>
      <c r="N55" s="91">
        <f>(M37*Params!$C$290)</f>
        <v>1276.9648743820155</v>
      </c>
      <c r="O55" s="91">
        <f>(N37*Params!$C$290)</f>
        <v>1243.3735400811897</v>
      </c>
      <c r="P55" s="91">
        <f>(O37*Params!$C$290)</f>
        <v>1221.2848660578768</v>
      </c>
      <c r="Q55" s="91">
        <f>(P37*Params!$C$290)</f>
        <v>1206.9062620556529</v>
      </c>
      <c r="R55" s="91">
        <f>(Q37*Params!$C$290)</f>
        <v>1197.6134386918723</v>
      </c>
      <c r="S55" s="91">
        <f>(R37*Params!$C$290)</f>
        <v>1191.6384582476933</v>
      </c>
      <c r="T55" s="91">
        <f>(S37*Params!$C$290)</f>
        <v>1187.8111384127565</v>
      </c>
      <c r="U55" s="91">
        <f>(T37*Params!$C$290)</f>
        <v>1185.3662553835575</v>
      </c>
      <c r="V55" s="91">
        <f>(U37*Params!$C$290)</f>
        <v>1183.8076335644967</v>
      </c>
    </row>
    <row r="56" spans="1:22" x14ac:dyDescent="0.25">
      <c r="A56" s="82"/>
      <c r="B56" s="63" t="s">
        <v>151</v>
      </c>
      <c r="C56" s="95"/>
      <c r="D56" s="91">
        <f>(C38*Params!$C$166)</f>
        <v>1534.1272679265815</v>
      </c>
      <c r="E56" s="91">
        <f>(D38*Params!$C$166)</f>
        <v>2492.4986453174411</v>
      </c>
      <c r="F56" s="91">
        <f>(E38*Params!$C$166)</f>
        <v>3110.1003015807946</v>
      </c>
      <c r="G56" s="91">
        <f>(F38*Params!$C$166)</f>
        <v>4430.0252643143394</v>
      </c>
      <c r="H56" s="91">
        <f>(G38*Params!$C$166)</f>
        <v>3136.8392336298898</v>
      </c>
      <c r="I56" s="91">
        <f>(H38*Params!$C$166)</f>
        <v>2588.5365337229086</v>
      </c>
      <c r="J56" s="91">
        <f>(I38*Params!$C$166)</f>
        <v>2309.3040382403397</v>
      </c>
      <c r="K56" s="91">
        <f>(J38*Params!$C$166)</f>
        <v>2103.4576612612941</v>
      </c>
      <c r="L56" s="91">
        <f>(K38*Params!$C$291)</f>
        <v>1941.7533823079325</v>
      </c>
      <c r="M56" s="91">
        <f>(L38*Params!$C$291)</f>
        <v>1821.4224745470196</v>
      </c>
      <c r="N56" s="91">
        <f>(M38*Params!$C$291)</f>
        <v>1736.246161476425</v>
      </c>
      <c r="O56" s="91">
        <f>(N38*Params!$C$291)</f>
        <v>1677.9849172568872</v>
      </c>
      <c r="P56" s="91">
        <f>(O38*Params!$C$291)</f>
        <v>1639.0338678314224</v>
      </c>
      <c r="Q56" s="91">
        <f>(P38*Params!$C$291)</f>
        <v>1613.392571940042</v>
      </c>
      <c r="R56" s="91">
        <f>(Q38*Params!$C$291)</f>
        <v>1596.6924966707679</v>
      </c>
      <c r="S56" s="91">
        <f>(R38*Params!$C$291)</f>
        <v>1585.8972252451131</v>
      </c>
      <c r="T56" s="91">
        <f>(S38*Params!$C$291)</f>
        <v>1578.9561969379472</v>
      </c>
      <c r="U56" s="91">
        <f>(T38*Params!$C$291)</f>
        <v>1574.5104911646447</v>
      </c>
      <c r="V56" s="91">
        <f>(U38*Params!$C$291)</f>
        <v>1571.6709785691778</v>
      </c>
    </row>
    <row r="57" spans="1:22" x14ac:dyDescent="0.25">
      <c r="A57" s="82"/>
      <c r="B57" s="63" t="s">
        <v>152</v>
      </c>
      <c r="C57" s="95"/>
      <c r="D57" s="91">
        <f>(C39*Params!$C$202)</f>
        <v>369.6473769348425</v>
      </c>
      <c r="E57" s="91">
        <f>(D39*Params!$C$202)</f>
        <v>456.70525035766406</v>
      </c>
      <c r="F57" s="91">
        <f>(E39*Params!$C$202)</f>
        <v>367.39591182522855</v>
      </c>
      <c r="G57" s="91">
        <f>(F39*Params!$C$202)</f>
        <v>684.02441874525596</v>
      </c>
      <c r="H57" s="91">
        <f>(G39*Params!$C$202)</f>
        <v>902.43448620715913</v>
      </c>
      <c r="I57" s="91">
        <f>(H39*Params!$C$202)</f>
        <v>707.4302616512739</v>
      </c>
      <c r="J57" s="91">
        <f>(I39*Params!$C$202)</f>
        <v>606.68129856185863</v>
      </c>
      <c r="K57" s="91">
        <f>(J39*Params!$C$202)</f>
        <v>549.40131663720319</v>
      </c>
      <c r="L57" s="91">
        <f>(K39*Params!$C$255)</f>
        <v>506.15426910182197</v>
      </c>
      <c r="M57" s="91">
        <f>(L39*Params!$C$255)</f>
        <v>481.76718099433953</v>
      </c>
      <c r="N57" s="91">
        <f>(M39*Params!$C$255)</f>
        <v>451.64247592660502</v>
      </c>
      <c r="O57" s="91">
        <f>(N39*Params!$C$255)</f>
        <v>432.02001009814546</v>
      </c>
      <c r="P57" s="91">
        <f>(O39*Params!$C$255)</f>
        <v>419.1364873472217</v>
      </c>
      <c r="Q57" s="91">
        <f>(P39*Params!$C$255)</f>
        <v>410.84958767519959</v>
      </c>
      <c r="R57" s="91">
        <f>(Q39*Params!$C$255)</f>
        <v>405.65794896259655</v>
      </c>
      <c r="S57" s="91">
        <f>(R39*Params!$C$255)</f>
        <v>402.52740845878793</v>
      </c>
      <c r="T57" s="91">
        <f>(S39*Params!$C$255)</f>
        <v>400.75411820332806</v>
      </c>
      <c r="U57" s="91">
        <f>(T39*Params!$C$255)</f>
        <v>399.86480512491784</v>
      </c>
      <c r="V57" s="91">
        <f>(U39*Params!$C$255)</f>
        <v>399.54456010639473</v>
      </c>
    </row>
    <row r="58" spans="1:22" x14ac:dyDescent="0.25">
      <c r="A58" s="82"/>
      <c r="B58" s="63" t="s">
        <v>153</v>
      </c>
      <c r="C58" s="95"/>
      <c r="D58" s="91">
        <f>(C40*Params!$C$210)</f>
        <v>0</v>
      </c>
      <c r="E58" s="91">
        <f>(D40*Params!$C$210)</f>
        <v>52.849003591907035</v>
      </c>
      <c r="F58" s="91">
        <f>(E40*Params!$C$210)</f>
        <v>114.59615335907783</v>
      </c>
      <c r="G58" s="91">
        <f>(F40*Params!$C$210)</f>
        <v>159.42850001010981</v>
      </c>
      <c r="H58" s="91">
        <f>(G40*Params!$C$210)</f>
        <v>246.51932072063346</v>
      </c>
      <c r="I58" s="91">
        <f>(H40*Params!$C$210)</f>
        <v>358.98866739840963</v>
      </c>
      <c r="J58" s="91">
        <f>(I40*Params!$C$210)</f>
        <v>436.02603315182898</v>
      </c>
      <c r="K58" s="91">
        <f>(J40*Params!$C$210)</f>
        <v>493.48636798043316</v>
      </c>
      <c r="L58" s="91">
        <f>(K40*Params!$C$258)</f>
        <v>538.89902748731254</v>
      </c>
      <c r="M58" s="91">
        <f>(L40*Params!$C$258)</f>
        <v>575.07928248300527</v>
      </c>
      <c r="N58" s="91">
        <f>(M40*Params!$C$258)</f>
        <v>605.34349396542382</v>
      </c>
      <c r="O58" s="91">
        <f>(N40*Params!$C$258)</f>
        <v>629.26859002252786</v>
      </c>
      <c r="P58" s="91">
        <f>(O40*Params!$C$258)</f>
        <v>648.78174165886367</v>
      </c>
      <c r="Q58" s="91">
        <f>(P40*Params!$C$258)</f>
        <v>665.14267283929257</v>
      </c>
      <c r="R58" s="91">
        <f>(Q40*Params!$C$258)</f>
        <v>679.22023063746019</v>
      </c>
      <c r="S58" s="91">
        <f>(R40*Params!$C$258)</f>
        <v>691.61027000378942</v>
      </c>
      <c r="T58" s="91">
        <f>(S40*Params!$C$258)</f>
        <v>702.72078045403305</v>
      </c>
      <c r="U58" s="91">
        <f>(T40*Params!$C$258)</f>
        <v>712.83172619537595</v>
      </c>
      <c r="V58" s="91">
        <f>(U40*Params!$C$258)</f>
        <v>722.13660822776455</v>
      </c>
    </row>
    <row r="59" spans="1:22" x14ac:dyDescent="0.25">
      <c r="A59" s="82"/>
      <c r="B59" s="63" t="s">
        <v>142</v>
      </c>
      <c r="C59" s="95"/>
      <c r="D59" s="91">
        <f>(C41*Params!$C$217)</f>
        <v>0</v>
      </c>
      <c r="E59" s="91">
        <f>(D41*Params!$C$217)</f>
        <v>4.49893532054059</v>
      </c>
      <c r="F59" s="91">
        <f>(E41*Params!$C$217)</f>
        <v>22.711227840025519</v>
      </c>
      <c r="G59" s="91">
        <f>(F41*Params!$C$217)</f>
        <v>55.766425580678877</v>
      </c>
      <c r="H59" s="91">
        <f>(G41*Params!$C$217)</f>
        <v>98.236082085331361</v>
      </c>
      <c r="I59" s="91">
        <f>(H41*Params!$C$217)</f>
        <v>154.04366825719998</v>
      </c>
      <c r="J59" s="91">
        <f>(I41*Params!$C$217)</f>
        <v>216.46319497823205</v>
      </c>
      <c r="K59" s="91">
        <f>(J41*Params!$C$217)</f>
        <v>278.95880657602726</v>
      </c>
      <c r="L59" s="91">
        <f>(K41*Params!$C$260)</f>
        <v>339.40470309927343</v>
      </c>
      <c r="M59" s="91">
        <f>(L41*Params!$C$260)</f>
        <v>404.82189781595969</v>
      </c>
      <c r="N59" s="91">
        <f>(M41*Params!$C$260)</f>
        <v>462.11142839659368</v>
      </c>
      <c r="O59" s="91">
        <f>(N41*Params!$C$260)</f>
        <v>513.94786994806452</v>
      </c>
      <c r="P59" s="91">
        <f>(O41*Params!$C$260)</f>
        <v>561.21947209595851</v>
      </c>
      <c r="Q59" s="91">
        <f>(P41*Params!$C$260)</f>
        <v>604.51126263682659</v>
      </c>
      <c r="R59" s="91">
        <f>(Q41*Params!$C$260)</f>
        <v>644.27291025857426</v>
      </c>
      <c r="S59" s="91">
        <f>(R41*Params!$C$260)</f>
        <v>680.88318311424337</v>
      </c>
      <c r="T59" s="91">
        <f>(S41*Params!$C$260)</f>
        <v>714.67087152102215</v>
      </c>
      <c r="U59" s="91">
        <f>(T41*Params!$C$260)</f>
        <v>745.92323202441901</v>
      </c>
      <c r="V59" s="91">
        <f>(U41*Params!$C$260)</f>
        <v>774.89131338248615</v>
      </c>
    </row>
    <row r="60" spans="1:22" x14ac:dyDescent="0.25">
      <c r="A60" s="82"/>
      <c r="B60" s="64" t="s">
        <v>130</v>
      </c>
      <c r="C60" s="95"/>
      <c r="D60" s="91"/>
      <c r="E60" s="91"/>
      <c r="F60" s="91"/>
      <c r="G60" s="91"/>
      <c r="H60" s="91"/>
      <c r="I60" s="91"/>
      <c r="J60" s="91"/>
      <c r="K60" s="91"/>
      <c r="L60" s="91"/>
      <c r="M60" s="91"/>
      <c r="N60" s="91"/>
      <c r="O60" s="91"/>
      <c r="P60" s="91"/>
      <c r="Q60" s="91"/>
      <c r="R60" s="91"/>
      <c r="S60" s="91"/>
      <c r="T60" s="91"/>
      <c r="U60" s="91"/>
      <c r="V60" s="91"/>
    </row>
    <row r="61" spans="1:22" x14ac:dyDescent="0.25">
      <c r="A61" s="82"/>
      <c r="B61" s="63" t="s">
        <v>143</v>
      </c>
      <c r="C61" s="95"/>
      <c r="D61" s="91">
        <f>(C43*Params!$C$222)</f>
        <v>102.15423321098493</v>
      </c>
      <c r="E61" s="91">
        <f>(D43*Params!$C$222)</f>
        <v>118.19038275596323</v>
      </c>
      <c r="F61" s="91">
        <f>(E43*Params!$C$222)</f>
        <v>181.71391131300086</v>
      </c>
      <c r="G61" s="91">
        <f>(F43*Params!$C$222)</f>
        <v>234.12775628264845</v>
      </c>
      <c r="H61" s="91">
        <f>(G43*Params!$C$222)</f>
        <v>328.16038424745767</v>
      </c>
      <c r="I61" s="91">
        <f>(H43*Params!$C$222)</f>
        <v>267.40453226784905</v>
      </c>
      <c r="J61" s="91">
        <f>(I43*Params!$C$222)</f>
        <v>219.93102346683247</v>
      </c>
      <c r="K61" s="91">
        <f>(J43*Params!$C$222)</f>
        <v>192.18684810453851</v>
      </c>
      <c r="L61" s="91">
        <f>(K43*Params!$C$292)</f>
        <v>173.2992355829368</v>
      </c>
      <c r="M61" s="91">
        <f>(L43*Params!$C$292)</f>
        <v>146.8369616020006</v>
      </c>
      <c r="N61" s="91">
        <f>(M43*Params!$C$292)</f>
        <v>135.45628283385923</v>
      </c>
      <c r="O61" s="91">
        <f>(N43*Params!$C$292)</f>
        <v>128.46693415255106</v>
      </c>
      <c r="P61" s="91">
        <f>(O43*Params!$C$292)</f>
        <v>123.80152711090018</v>
      </c>
      <c r="Q61" s="91">
        <f>(P43*Params!$C$292)</f>
        <v>120.68350055249606</v>
      </c>
      <c r="R61" s="91">
        <f>(Q43*Params!$C$292)</f>
        <v>118.62412653742143</v>
      </c>
      <c r="S61" s="91">
        <f>(R43*Params!$C$292)</f>
        <v>117.27871263547478</v>
      </c>
      <c r="T61" s="91">
        <f>(S43*Params!$C$292)</f>
        <v>116.40695038527636</v>
      </c>
      <c r="U61" s="91">
        <f>(T43*Params!$C$292)</f>
        <v>115.84546158755975</v>
      </c>
      <c r="V61" s="91">
        <f>(U43*Params!$C$292)</f>
        <v>115.48537604260959</v>
      </c>
    </row>
    <row r="62" spans="1:22" x14ac:dyDescent="0.25">
      <c r="A62" s="82"/>
      <c r="B62" s="63" t="s">
        <v>735</v>
      </c>
      <c r="C62" s="95"/>
      <c r="D62" s="91">
        <f>(C44*Params!$C$222)</f>
        <v>0</v>
      </c>
      <c r="E62" s="91">
        <f>(D44*Params!$C$222)</f>
        <v>0</v>
      </c>
      <c r="F62" s="91">
        <f>(E44*Params!$C$222)</f>
        <v>75.341597564770751</v>
      </c>
      <c r="G62" s="91">
        <f>(F44*Params!$C$222)</f>
        <v>151.31857326510783</v>
      </c>
      <c r="H62" s="91">
        <f>(G44*Params!$C$222)</f>
        <v>194.91335964214386</v>
      </c>
      <c r="I62" s="91">
        <f>(H44*Params!$C$222)</f>
        <v>209.16052844838063</v>
      </c>
      <c r="J62" s="91">
        <f>(I44*Params!$C$222)</f>
        <v>209.31668630723604</v>
      </c>
      <c r="K62" s="91">
        <f>(J44*Params!$C$222)</f>
        <v>203.54665264031451</v>
      </c>
      <c r="L62" s="91">
        <f>(K44*Params!$C$292)</f>
        <v>195.15413409502014</v>
      </c>
      <c r="M62" s="91">
        <f>(L44*Params!$C$292)</f>
        <v>171.68931386011832</v>
      </c>
      <c r="N62" s="91">
        <f>(M44*Params!$C$292)</f>
        <v>154.57304039309003</v>
      </c>
      <c r="O62" s="91">
        <f>(N44*Params!$C$292)</f>
        <v>141.9552323786406</v>
      </c>
      <c r="P62" s="91">
        <f>(O44*Params!$C$292)</f>
        <v>132.36864424108944</v>
      </c>
      <c r="Q62" s="91">
        <f>(P44*Params!$C$292)</f>
        <v>125.01413193019599</v>
      </c>
      <c r="R62" s="91">
        <f>(Q44*Params!$C$292)</f>
        <v>119.40291849117385</v>
      </c>
      <c r="S62" s="91">
        <f>(R44*Params!$C$292)</f>
        <v>115.17382872161087</v>
      </c>
      <c r="T62" s="91">
        <f>(S44*Params!$C$292)</f>
        <v>112.03086350474031</v>
      </c>
      <c r="U62" s="91">
        <f>(T44*Params!$C$292)</f>
        <v>109.72665186417112</v>
      </c>
      <c r="V62" s="91">
        <f>(U44*Params!$C$292)</f>
        <v>108.05806811999616</v>
      </c>
    </row>
    <row r="63" spans="1:22" x14ac:dyDescent="0.25">
      <c r="A63" s="82"/>
      <c r="B63" s="63" t="s">
        <v>736</v>
      </c>
      <c r="C63" s="95"/>
      <c r="D63" s="91">
        <f>(C45*Params!$C$222)</f>
        <v>0</v>
      </c>
      <c r="E63" s="91">
        <f>(D45*Params!$C$222)</f>
        <v>140.92559283523772</v>
      </c>
      <c r="F63" s="91">
        <f>(E45*Params!$C$222)</f>
        <v>207.45919578607902</v>
      </c>
      <c r="G63" s="91">
        <f>(F45*Params!$C$222)</f>
        <v>256.70222484297597</v>
      </c>
      <c r="H63" s="91">
        <f>(G45*Params!$C$222)</f>
        <v>270.5144056750496</v>
      </c>
      <c r="I63" s="91">
        <f>(H45*Params!$C$222)</f>
        <v>280.08944502842036</v>
      </c>
      <c r="J63" s="91">
        <f>(I45*Params!$C$222)</f>
        <v>278.60714353414465</v>
      </c>
      <c r="K63" s="91">
        <f>(J45*Params!$C$222)</f>
        <v>268.0220439592851</v>
      </c>
      <c r="L63" s="91">
        <f>(K45*Params!$C$292)</f>
        <v>252.70657284880065</v>
      </c>
      <c r="M63" s="91">
        <f>(L45*Params!$C$292)</f>
        <v>218.78807001682691</v>
      </c>
      <c r="N63" s="91">
        <f>(M45*Params!$C$292)</f>
        <v>195.64977375420244</v>
      </c>
      <c r="O63" s="91">
        <f>(N45*Params!$C$292)</f>
        <v>181.30784733950225</v>
      </c>
      <c r="P63" s="91">
        <f>(O45*Params!$C$292)</f>
        <v>172.30512330870977</v>
      </c>
      <c r="Q63" s="91">
        <f>(P45*Params!$C$292)</f>
        <v>166.54254874499526</v>
      </c>
      <c r="R63" s="91">
        <f>(Q45*Params!$C$292)</f>
        <v>162.81487004225565</v>
      </c>
      <c r="S63" s="91">
        <f>(R45*Params!$C$292)</f>
        <v>160.396327690417</v>
      </c>
      <c r="T63" s="91">
        <f>(S45*Params!$C$292)</f>
        <v>158.82898713027075</v>
      </c>
      <c r="U63" s="91">
        <f>(T45*Params!$C$292)</f>
        <v>157.81622333466635</v>
      </c>
      <c r="V63" s="91">
        <f>(U45*Params!$C$292)</f>
        <v>157.1640003245659</v>
      </c>
    </row>
    <row r="64" spans="1:22" x14ac:dyDescent="0.25">
      <c r="A64" s="82"/>
      <c r="B64" s="63" t="s">
        <v>154</v>
      </c>
      <c r="C64" s="95"/>
      <c r="D64" s="91">
        <f>(C46*Params!$C$222)</f>
        <v>0</v>
      </c>
      <c r="E64" s="91">
        <f>(D46*Params!$C$222)</f>
        <v>32.550629290076422</v>
      </c>
      <c r="F64" s="91">
        <f>(E46*Params!$C$222)</f>
        <v>47.240769515933259</v>
      </c>
      <c r="G64" s="91">
        <f>(F46*Params!$C$222)</f>
        <v>42.54623024475471</v>
      </c>
      <c r="H64" s="91">
        <f>(G46*Params!$C$222)</f>
        <v>69.415079857046322</v>
      </c>
      <c r="I64" s="91">
        <f>(H46*Params!$C$222)</f>
        <v>94.445865649967786</v>
      </c>
      <c r="J64" s="91">
        <f>(I46*Params!$C$222)</f>
        <v>82.675341946044071</v>
      </c>
      <c r="K64" s="91">
        <f>(J46*Params!$C$222)</f>
        <v>71.2636240987311</v>
      </c>
      <c r="L64" s="91">
        <f>(K46*Params!$C$292)</f>
        <v>63.757148748827724</v>
      </c>
      <c r="M64" s="91">
        <f>(L46*Params!$C$292)</f>
        <v>53.821457266706744</v>
      </c>
      <c r="N64" s="91">
        <f>(M46*Params!$C$292)</f>
        <v>50.232442111315365</v>
      </c>
      <c r="O64" s="91">
        <f>(N46*Params!$C$292)</f>
        <v>47.058989653720609</v>
      </c>
      <c r="P64" s="91">
        <f>(O46*Params!$C$292)</f>
        <v>44.870641668600896</v>
      </c>
      <c r="Q64" s="91">
        <f>(P46*Params!$C$292)</f>
        <v>43.418639694379458</v>
      </c>
      <c r="R64" s="91">
        <f>(Q46*Params!$C$292)</f>
        <v>42.478242851777523</v>
      </c>
      <c r="S64" s="91">
        <f>(R46*Params!$C$292)</f>
        <v>41.884636710117057</v>
      </c>
      <c r="T64" s="91">
        <f>(S46*Params!$C$292)</f>
        <v>41.52284220400287</v>
      </c>
      <c r="U64" s="91">
        <f>(T46*Params!$C$292)</f>
        <v>41.31419770194902</v>
      </c>
      <c r="V64" s="91">
        <f>(U46*Params!$C$292)</f>
        <v>41.205614798047023</v>
      </c>
    </row>
    <row r="65" spans="1:22" x14ac:dyDescent="0.25">
      <c r="A65" s="82"/>
      <c r="B65" s="63" t="s">
        <v>155</v>
      </c>
      <c r="C65" s="95"/>
      <c r="D65" s="91">
        <f>(C47*Params!$C$222)</f>
        <v>0</v>
      </c>
      <c r="E65" s="91">
        <f>(D47*Params!$C$222)</f>
        <v>0</v>
      </c>
      <c r="F65" s="91">
        <f>(E47*Params!$C$222)</f>
        <v>9.0955738985678565</v>
      </c>
      <c r="G65" s="91">
        <f>(F47*Params!$C$222)</f>
        <v>21.68525338793506</v>
      </c>
      <c r="H65" s="91">
        <f>(G47*Params!$C$222)</f>
        <v>32.117788413213134</v>
      </c>
      <c r="I65" s="91">
        <f>(H47*Params!$C$222)</f>
        <v>49.357735043619954</v>
      </c>
      <c r="J65" s="91">
        <f>(I47*Params!$C$222)</f>
        <v>72.43439012449268</v>
      </c>
      <c r="K65" s="91">
        <f>(J47*Params!$C$222)</f>
        <v>90.672502379799084</v>
      </c>
      <c r="L65" s="91">
        <f>(K47*Params!$C$292)</f>
        <v>104.49722492952543</v>
      </c>
      <c r="M65" s="91">
        <f>(L47*Params!$C$292)</f>
        <v>107.90818494389273</v>
      </c>
      <c r="N65" s="91">
        <f>(M47*Params!$C$292)</f>
        <v>114.62986511054507</v>
      </c>
      <c r="O65" s="91">
        <f>(N47*Params!$C$292)</f>
        <v>120.81370174066011</v>
      </c>
      <c r="P65" s="91">
        <f>(O47*Params!$C$292)</f>
        <v>125.82851220380266</v>
      </c>
      <c r="Q65" s="91">
        <f>(P47*Params!$C$292)</f>
        <v>129.91439682766915</v>
      </c>
      <c r="R65" s="91">
        <f>(Q47*Params!$C$292)</f>
        <v>133.32299533199128</v>
      </c>
      <c r="S65" s="91">
        <f>(R47*Params!$C$292)</f>
        <v>136.24034979343458</v>
      </c>
      <c r="T65" s="91">
        <f>(S47*Params!$C$292)</f>
        <v>138.79600174804892</v>
      </c>
      <c r="U65" s="91">
        <f>(T47*Params!$C$292)</f>
        <v>141.07896276926695</v>
      </c>
      <c r="V65" s="91">
        <f>(U47*Params!$C$292)</f>
        <v>143.15033034391919</v>
      </c>
    </row>
    <row r="66" spans="1:22" x14ac:dyDescent="0.25">
      <c r="A66" s="82"/>
      <c r="B66" s="63" t="s">
        <v>737</v>
      </c>
      <c r="C66" s="95"/>
      <c r="D66" s="91">
        <f>(C48*Params!$C$222)</f>
        <v>0</v>
      </c>
      <c r="E66" s="91">
        <f>(D48*Params!$C$222)</f>
        <v>0</v>
      </c>
      <c r="F66" s="91">
        <f>(E48*Params!$C$222)</f>
        <v>0.70849005181015989</v>
      </c>
      <c r="G66" s="91">
        <f>(F48*Params!$C$222)</f>
        <v>3.7276874987039825</v>
      </c>
      <c r="H66" s="91">
        <f>(G48*Params!$C$222)</f>
        <v>8.6258550482169216</v>
      </c>
      <c r="I66" s="91">
        <f>(H48*Params!$C$222)</f>
        <v>14.466960943123771</v>
      </c>
      <c r="J66" s="91">
        <f>(I48*Params!$C$222)</f>
        <v>20.72481285197809</v>
      </c>
      <c r="K66" s="91">
        <f>(J48*Params!$C$222)</f>
        <v>27.000179849388303</v>
      </c>
      <c r="L66" s="91">
        <f>(K48*Params!$C$292)</f>
        <v>33.028605849526343</v>
      </c>
      <c r="M66" s="91">
        <f>(L48*Params!$C$292)</f>
        <v>36.327011926168538</v>
      </c>
      <c r="N66" s="91">
        <f>(M48*Params!$C$292)</f>
        <v>39.49756566865797</v>
      </c>
      <c r="O66" s="91">
        <f>(N48*Params!$C$292)</f>
        <v>43.064828110285212</v>
      </c>
      <c r="P66" s="91">
        <f>(O48*Params!$C$292)</f>
        <v>46.645002571058477</v>
      </c>
      <c r="Q66" s="91">
        <f>(P48*Params!$C$292)</f>
        <v>50.054602004198443</v>
      </c>
      <c r="R66" s="91">
        <f>(Q48*Params!$C$292)</f>
        <v>53.253265152526005</v>
      </c>
      <c r="S66" s="91">
        <f>(R48*Params!$C$292)</f>
        <v>56.25586456650877</v>
      </c>
      <c r="T66" s="91">
        <f>(S48*Params!$C$292)</f>
        <v>59.091679745737132</v>
      </c>
      <c r="U66" s="91">
        <f>(T48*Params!$C$292)</f>
        <v>61.789437042920177</v>
      </c>
      <c r="V66" s="91">
        <f>(U48*Params!$C$292)</f>
        <v>64.37298000598085</v>
      </c>
    </row>
    <row r="67" spans="1:22" x14ac:dyDescent="0.25">
      <c r="A67" s="82"/>
      <c r="B67" s="63" t="s">
        <v>145</v>
      </c>
      <c r="C67" s="95"/>
      <c r="D67" s="91">
        <f>(C49*Params!$C$222)</f>
        <v>0</v>
      </c>
      <c r="E67" s="91">
        <f>(D49*Params!$C$222)</f>
        <v>0</v>
      </c>
      <c r="F67" s="91">
        <f>(E49*Params!$C$222)</f>
        <v>0.53803620536827101</v>
      </c>
      <c r="G67" s="91">
        <f>(F49*Params!$C$222)</f>
        <v>2.8321790832912606</v>
      </c>
      <c r="H67" s="91">
        <f>(G49*Params!$C$222)</f>
        <v>7.2803550779984878</v>
      </c>
      <c r="I67" s="91">
        <f>(H49*Params!$C$222)</f>
        <v>13.319232646760069</v>
      </c>
      <c r="J67" s="91">
        <f>(I49*Params!$C$222)</f>
        <v>21.296468469774172</v>
      </c>
      <c r="K67" s="91">
        <f>(J49*Params!$C$222)</f>
        <v>30.482707943051675</v>
      </c>
      <c r="L67" s="91">
        <f>(K49*Params!$C$292)</f>
        <v>39.938931720069924</v>
      </c>
      <c r="M67" s="91">
        <f>(L49*Params!$C$292)</f>
        <v>46.384602345907119</v>
      </c>
      <c r="N67" s="91">
        <f>(M49*Params!$C$292)</f>
        <v>55.143140508506498</v>
      </c>
      <c r="O67" s="91">
        <f>(N49*Params!$C$292)</f>
        <v>63.265238898137277</v>
      </c>
      <c r="P67" s="91">
        <f>(O49*Params!$C$292)</f>
        <v>70.642854000209013</v>
      </c>
      <c r="Q67" s="91">
        <f>(P49*Params!$C$292)</f>
        <v>77.366537750057432</v>
      </c>
      <c r="R67" s="91">
        <f>(Q49*Params!$C$292)</f>
        <v>83.519392482372666</v>
      </c>
      <c r="S67" s="91">
        <f>(R49*Params!$C$292)</f>
        <v>89.167251852129596</v>
      </c>
      <c r="T67" s="91">
        <f>(S49*Params!$C$292)</f>
        <v>94.364964953989386</v>
      </c>
      <c r="U67" s="91">
        <f>(T49*Params!$C$292)</f>
        <v>99.159810240653314</v>
      </c>
      <c r="V67" s="91">
        <f>(U49*Params!$C$292)</f>
        <v>103.59300067374568</v>
      </c>
    </row>
    <row r="68" spans="1:22" x14ac:dyDescent="0.25">
      <c r="A68" s="82"/>
      <c r="B68" s="63" t="s">
        <v>738</v>
      </c>
      <c r="C68" s="95"/>
      <c r="D68" s="91">
        <f>(C50*Params!$C$222)</f>
        <v>0</v>
      </c>
      <c r="E68" s="91">
        <f>(D50*Params!$C$222)</f>
        <v>0</v>
      </c>
      <c r="F68" s="91">
        <f>(E50*Params!$C$222)</f>
        <v>0</v>
      </c>
      <c r="G68" s="91">
        <f>(F50*Params!$C$222)</f>
        <v>0.31327136069746253</v>
      </c>
      <c r="H68" s="91">
        <f>(G50*Params!$C$222)</f>
        <v>1.0921320904771976</v>
      </c>
      <c r="I68" s="91">
        <f>(H50*Params!$C$222)</f>
        <v>2.3739570080751267</v>
      </c>
      <c r="J68" s="91">
        <f>(I50*Params!$C$222)</f>
        <v>4.0276837645164658</v>
      </c>
      <c r="K68" s="91">
        <f>(J50*Params!$C$222)</f>
        <v>5.9228409718817572</v>
      </c>
      <c r="L68" s="91">
        <f>(K50*Params!$C$292)</f>
        <v>7.9461309467891539</v>
      </c>
      <c r="M68" s="91">
        <f>(L50*Params!$C$292)</f>
        <v>9.4512170459660929</v>
      </c>
      <c r="N68" s="91">
        <f>(M50*Params!$C$292)</f>
        <v>10.943172039808186</v>
      </c>
      <c r="O68" s="91">
        <f>(N50*Params!$C$292)</f>
        <v>12.635263022091562</v>
      </c>
      <c r="P68" s="91">
        <f>(O50*Params!$C$292)</f>
        <v>14.366620690749368</v>
      </c>
      <c r="Q68" s="91">
        <f>(P50*Params!$C$292)</f>
        <v>16.065253208682897</v>
      </c>
      <c r="R68" s="91">
        <f>(Q50*Params!$C$292)</f>
        <v>17.716643378980233</v>
      </c>
      <c r="S68" s="91">
        <f>(R50*Params!$C$292)</f>
        <v>19.326569293084379</v>
      </c>
      <c r="T68" s="91">
        <f>(S50*Params!$C$292)</f>
        <v>20.905369916559817</v>
      </c>
      <c r="U68" s="91">
        <f>(T50*Params!$C$292)</f>
        <v>22.46272269746942</v>
      </c>
      <c r="V68" s="91">
        <f>(U50*Params!$C$292)</f>
        <v>24.006332691194412</v>
      </c>
    </row>
    <row r="69" spans="1:22" x14ac:dyDescent="0.25">
      <c r="A69" s="82"/>
      <c r="B69" s="64" t="s">
        <v>146</v>
      </c>
      <c r="C69" s="95"/>
      <c r="D69" s="91">
        <f>SUM(D61:D68)</f>
        <v>102.15423321098493</v>
      </c>
      <c r="E69" s="91">
        <f t="shared" ref="E69:I69" si="31">SUM(E61:E68)</f>
        <v>291.66660488127735</v>
      </c>
      <c r="F69" s="91">
        <f t="shared" si="31"/>
        <v>522.09757433553011</v>
      </c>
      <c r="G69" s="91">
        <f t="shared" si="31"/>
        <v>713.25317596611478</v>
      </c>
      <c r="H69" s="91">
        <f t="shared" si="31"/>
        <v>912.11936005160317</v>
      </c>
      <c r="I69" s="91">
        <f t="shared" si="31"/>
        <v>930.61825703619684</v>
      </c>
      <c r="J69" s="91">
        <f t="shared" ref="J69" si="32">SUM(J61:J68)</f>
        <v>909.01355046501874</v>
      </c>
      <c r="K69" s="91">
        <f t="shared" ref="K69:L69" si="33">SUM(K61:K68)</f>
        <v>889.09739994698998</v>
      </c>
      <c r="L69" s="91">
        <f t="shared" si="33"/>
        <v>870.32798472149614</v>
      </c>
      <c r="M69" s="91">
        <f t="shared" ref="M69:V69" si="34">SUM(M61:M68)</f>
        <v>791.206819007587</v>
      </c>
      <c r="N69" s="91">
        <f t="shared" si="34"/>
        <v>756.12528241998473</v>
      </c>
      <c r="O69" s="91">
        <f t="shared" si="34"/>
        <v>738.56803529558863</v>
      </c>
      <c r="P69" s="91">
        <f t="shared" si="34"/>
        <v>730.82892579511986</v>
      </c>
      <c r="Q69" s="91">
        <f t="shared" si="34"/>
        <v>729.05961071267461</v>
      </c>
      <c r="R69" s="91">
        <f t="shared" si="34"/>
        <v>731.13245426849858</v>
      </c>
      <c r="S69" s="91">
        <f t="shared" si="34"/>
        <v>735.72354126277685</v>
      </c>
      <c r="T69" s="91">
        <f t="shared" si="34"/>
        <v>741.94765958862547</v>
      </c>
      <c r="U69" s="91">
        <f t="shared" si="34"/>
        <v>749.19346723865613</v>
      </c>
      <c r="V69" s="91">
        <f t="shared" si="34"/>
        <v>757.03570300005879</v>
      </c>
    </row>
    <row r="70" spans="1:22" x14ac:dyDescent="0.25">
      <c r="A70" s="82"/>
      <c r="B70" s="98" t="s">
        <v>131</v>
      </c>
      <c r="C70" s="95"/>
      <c r="D70" s="91">
        <f>SUM(D55:D59)+D69</f>
        <v>10297.380297297057</v>
      </c>
      <c r="E70" s="91">
        <f t="shared" ref="E70:I70" si="35">SUM(E55:E59)+E69</f>
        <v>10055.60467912602</v>
      </c>
      <c r="F70" s="91">
        <f t="shared" si="35"/>
        <v>9662.2481802340826</v>
      </c>
      <c r="G70" s="91">
        <f t="shared" si="35"/>
        <v>8627.205382295997</v>
      </c>
      <c r="H70" s="100">
        <f t="shared" si="35"/>
        <v>7361.120354997528</v>
      </c>
      <c r="I70" s="100">
        <f t="shared" si="35"/>
        <v>6561.3918834109381</v>
      </c>
      <c r="J70" s="91">
        <f t="shared" ref="J70" si="36">SUM(J55:J59)+J69</f>
        <v>6124.1540058687278</v>
      </c>
      <c r="K70" s="100">
        <f t="shared" ref="K70:L70" si="37">SUM(K55:K59)+K69</f>
        <v>5820.2883866318043</v>
      </c>
      <c r="L70" s="100">
        <f t="shared" si="37"/>
        <v>5597.6884892079888</v>
      </c>
      <c r="M70" s="100">
        <f t="shared" ref="M70:V70" si="38">SUM(M55:M59)+M69</f>
        <v>5401.6073010018599</v>
      </c>
      <c r="N70" s="100">
        <f t="shared" si="38"/>
        <v>5288.4337165670477</v>
      </c>
      <c r="O70" s="100">
        <f t="shared" si="38"/>
        <v>5235.1629627024031</v>
      </c>
      <c r="P70" s="100">
        <f t="shared" si="38"/>
        <v>5220.2853607864636</v>
      </c>
      <c r="Q70" s="100">
        <f t="shared" si="38"/>
        <v>5229.8619678596879</v>
      </c>
      <c r="R70" s="100">
        <f t="shared" si="38"/>
        <v>5254.5894794897704</v>
      </c>
      <c r="S70" s="100">
        <f t="shared" si="38"/>
        <v>5288.2800863324037</v>
      </c>
      <c r="T70" s="100">
        <f t="shared" si="38"/>
        <v>5326.8607651177126</v>
      </c>
      <c r="U70" s="100">
        <f t="shared" si="38"/>
        <v>5367.6899771315711</v>
      </c>
      <c r="V70" s="100">
        <f t="shared" si="38"/>
        <v>5409.086796850379</v>
      </c>
    </row>
    <row r="71" spans="1:22" s="88" customFormat="1" x14ac:dyDescent="0.25">
      <c r="A71" s="89"/>
      <c r="C71" s="102"/>
      <c r="D71" s="103"/>
      <c r="E71" s="104"/>
      <c r="F71" s="104"/>
      <c r="G71" s="104"/>
      <c r="H71" s="176"/>
      <c r="I71" s="176"/>
      <c r="J71" s="104"/>
      <c r="K71" s="104"/>
      <c r="L71" s="104"/>
      <c r="M71" s="104"/>
      <c r="N71" s="176"/>
      <c r="O71" s="176"/>
      <c r="P71" s="104"/>
      <c r="Q71" s="104"/>
      <c r="R71" s="104"/>
      <c r="S71" s="104"/>
      <c r="T71" s="64"/>
      <c r="V71" s="64"/>
    </row>
  </sheetData>
  <sheetProtection algorithmName="SHA-512" hashValue="8YAdpN95KV79yBWqHBiuTYsYOUDTdv7qF/OWTdolKbe+YjJ4My/Bs6NXBJdgsIrrOTFZYmzLvz33X05Vzewhtg==" saltValue="76xNV8hG9+Wk/kNltfhwrQ==" spinCount="100000" sheet="1" objects="1" scenarios="1"/>
  <printOptions horizontalCentered="1"/>
  <pageMargins left="0.5" right="0.5" top="0.75" bottom="0.75" header="0.3" footer="0.3"/>
  <pageSetup scale="77" orientation="landscape" r:id="rId1"/>
  <ignoredErrors>
    <ignoredError sqref="N1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V71"/>
  <sheetViews>
    <sheetView zoomScaleNormal="100" workbookViewId="0">
      <pane xSplit="2" ySplit="1" topLeftCell="C2" activePane="bottomRight" state="frozen"/>
      <selection pane="topRight" activeCell="C1" sqref="C1"/>
      <selection pane="bottomLeft" activeCell="A3" sqref="A3"/>
      <selection pane="bottomRight" activeCell="C2" sqref="C2"/>
    </sheetView>
  </sheetViews>
  <sheetFormatPr defaultColWidth="9.140625" defaultRowHeight="15" x14ac:dyDescent="0.25"/>
  <cols>
    <col min="1" max="1" width="2.7109375" style="127" customWidth="1"/>
    <col min="2" max="2" width="37.5703125" style="127" customWidth="1"/>
    <col min="3" max="3" width="10.42578125" style="226" customWidth="1"/>
    <col min="4" max="7" width="10.42578125" style="127" customWidth="1"/>
    <col min="8" max="8" width="10.42578125" style="64" customWidth="1"/>
    <col min="9" max="12" width="10.42578125" style="127" customWidth="1"/>
    <col min="13" max="14" width="10.42578125" style="64" customWidth="1"/>
    <col min="15" max="17" width="10.42578125" style="127" customWidth="1"/>
    <col min="18" max="18" width="10.42578125" style="64" customWidth="1"/>
    <col min="19" max="22" width="10.42578125" style="127" customWidth="1"/>
    <col min="23" max="16384" width="9.140625" style="127"/>
  </cols>
  <sheetData>
    <row r="1" spans="1:22" s="137" customFormat="1" x14ac:dyDescent="0.25">
      <c r="A1" s="134"/>
      <c r="B1" s="135"/>
      <c r="C1" s="79">
        <v>2004</v>
      </c>
      <c r="D1" s="80">
        <v>2005</v>
      </c>
      <c r="E1" s="80">
        <v>2006</v>
      </c>
      <c r="F1" s="80">
        <v>2007</v>
      </c>
      <c r="G1" s="80">
        <v>2008</v>
      </c>
      <c r="H1" s="80">
        <v>2009</v>
      </c>
      <c r="I1" s="80">
        <v>2010</v>
      </c>
      <c r="J1" s="80">
        <v>2011</v>
      </c>
      <c r="K1" s="80">
        <v>2012</v>
      </c>
      <c r="L1" s="80">
        <v>2013</v>
      </c>
      <c r="M1" s="80">
        <v>2014</v>
      </c>
      <c r="N1" s="80">
        <v>2015</v>
      </c>
      <c r="O1" s="80">
        <v>2016</v>
      </c>
      <c r="P1" s="80">
        <v>2017</v>
      </c>
      <c r="Q1" s="80">
        <v>2018</v>
      </c>
      <c r="R1" s="80">
        <v>2019</v>
      </c>
      <c r="S1" s="80">
        <v>2020</v>
      </c>
      <c r="T1" s="80">
        <v>2021</v>
      </c>
      <c r="U1" s="80">
        <v>2022</v>
      </c>
      <c r="V1" s="80">
        <v>2023</v>
      </c>
    </row>
    <row r="2" spans="1:22" x14ac:dyDescent="0.25">
      <c r="A2" s="86" t="s">
        <v>313</v>
      </c>
      <c r="B2" s="64"/>
      <c r="C2" s="87"/>
      <c r="D2" s="88"/>
      <c r="E2" s="88"/>
      <c r="F2" s="88"/>
      <c r="G2" s="88"/>
      <c r="H2" s="88"/>
      <c r="I2" s="64"/>
      <c r="J2" s="88"/>
      <c r="K2" s="88"/>
      <c r="L2" s="88"/>
      <c r="M2" s="88"/>
      <c r="O2" s="64"/>
      <c r="P2" s="88"/>
      <c r="Q2" s="88"/>
      <c r="R2" s="88"/>
      <c r="S2" s="88"/>
      <c r="T2" s="64"/>
      <c r="V2" s="64"/>
    </row>
    <row r="3" spans="1:22" x14ac:dyDescent="0.25">
      <c r="A3" s="82"/>
      <c r="B3" s="64" t="s">
        <v>124</v>
      </c>
      <c r="C3" s="90">
        <f>'Model (Matrix calcs)'!AS444</f>
        <v>37328.860303712914</v>
      </c>
      <c r="D3" s="91">
        <f>'Model (Matrix calcs)'!AS445</f>
        <v>35944.615059052026</v>
      </c>
      <c r="E3" s="91">
        <f>'Model (Matrix calcs)'!AS446</f>
        <v>34129.366234797264</v>
      </c>
      <c r="F3" s="91">
        <f>'Model (Matrix calcs)'!AS447</f>
        <v>31815.830071853721</v>
      </c>
      <c r="G3" s="91">
        <f>'Model (Matrix calcs)'!AS448</f>
        <v>29383.723194820872</v>
      </c>
      <c r="H3" s="91">
        <f>'Model (Matrix calcs)'!AS449</f>
        <v>27210.270931858315</v>
      </c>
      <c r="I3" s="91">
        <f>'Model (Matrix calcs)'!AS450</f>
        <v>25832.823639290815</v>
      </c>
      <c r="J3" s="91">
        <f>'Model (Matrix calcs)'!AS451</f>
        <v>24959.85252502521</v>
      </c>
      <c r="K3" s="91">
        <f>'Model (Matrix calcs)'!AS452</f>
        <v>24406.598276783407</v>
      </c>
      <c r="L3" s="91">
        <f>'Model (Matrix calcs)'!AS453</f>
        <v>24055.967816971341</v>
      </c>
      <c r="M3" s="91">
        <f>'Model (Matrix calcs)'!AS454</f>
        <v>23833.752226691249</v>
      </c>
      <c r="N3" s="91">
        <f>'Model (Matrix calcs)'!AS455</f>
        <v>23692.920855138429</v>
      </c>
      <c r="O3" s="91">
        <f>'Model (Matrix calcs)'!AS456</f>
        <v>23603.667553025603</v>
      </c>
      <c r="P3" s="91">
        <f>'Model (Matrix calcs)'!AS457</f>
        <v>23547.102372624337</v>
      </c>
      <c r="Q3" s="91">
        <f>'Model (Matrix calcs)'!AS458</f>
        <v>23511.253619042272</v>
      </c>
      <c r="R3" s="91">
        <f>'Model (Matrix calcs)'!AS459</f>
        <v>23488.534109897766</v>
      </c>
      <c r="S3" s="91">
        <f>'Model (Matrix calcs)'!AS460</f>
        <v>23474.135391833948</v>
      </c>
      <c r="T3" s="91">
        <f>'Model (Matrix calcs)'!AS461</f>
        <v>23465.010059039007</v>
      </c>
      <c r="U3" s="91">
        <f>'Model (Matrix calcs)'!AS462</f>
        <v>23459.226787344309</v>
      </c>
      <c r="V3" s="91">
        <f>'Model (Matrix calcs)'!AS463</f>
        <v>23455.561580579113</v>
      </c>
    </row>
    <row r="4" spans="1:22" x14ac:dyDescent="0.25">
      <c r="A4" s="82"/>
      <c r="B4" s="64" t="s">
        <v>630</v>
      </c>
      <c r="C4" s="90">
        <f>'Model (Matrix calcs)'!AT444</f>
        <v>8625.5137507233158</v>
      </c>
      <c r="D4" s="91">
        <f>'Model (Matrix calcs)'!AT445</f>
        <v>5881.1995157454357</v>
      </c>
      <c r="E4" s="91">
        <f>'Model (Matrix calcs)'!AT446</f>
        <v>4600.8538746215972</v>
      </c>
      <c r="F4" s="91">
        <f>'Model (Matrix calcs)'!AT447</f>
        <v>4542.3349259900533</v>
      </c>
      <c r="G4" s="91">
        <f>'Model (Matrix calcs)'!AT448</f>
        <v>4345.4301923503408</v>
      </c>
      <c r="H4" s="91">
        <f>'Model (Matrix calcs)'!AT449</f>
        <v>4079.1154033174198</v>
      </c>
      <c r="I4" s="91">
        <f>'Model (Matrix calcs)'!AT450</f>
        <v>3801.5367190100169</v>
      </c>
      <c r="J4" s="91">
        <f>'Model (Matrix calcs)'!AT451</f>
        <v>3577.9490597166409</v>
      </c>
      <c r="K4" s="91">
        <f>'Model (Matrix calcs)'!AT452</f>
        <v>3415.3621920854525</v>
      </c>
      <c r="L4" s="91">
        <f>'Model (Matrix calcs)'!AT453</f>
        <v>3303.1701285426857</v>
      </c>
      <c r="M4" s="91">
        <f>'Model (Matrix calcs)'!AT454</f>
        <v>3228.0578445187489</v>
      </c>
      <c r="N4" s="91">
        <f>'Model (Matrix calcs)'!AT455</f>
        <v>3178.6979779008602</v>
      </c>
      <c r="O4" s="91">
        <f>'Model (Matrix calcs)'!AT456</f>
        <v>3146.6459816621505</v>
      </c>
      <c r="P4" s="91">
        <f>'Model (Matrix calcs)'!AT457</f>
        <v>3125.9954756615184</v>
      </c>
      <c r="Q4" s="91">
        <f>'Model (Matrix calcs)'!AT458</f>
        <v>3112.7602546643961</v>
      </c>
      <c r="R4" s="91">
        <f>'Model (Matrix calcs)'!AT459</f>
        <v>3104.3075624579274</v>
      </c>
      <c r="S4" s="91">
        <f>'Model (Matrix calcs)'!AT460</f>
        <v>3098.9222193667124</v>
      </c>
      <c r="T4" s="91">
        <f>'Model (Matrix calcs)'!AT461</f>
        <v>3095.4967763517011</v>
      </c>
      <c r="U4" s="91">
        <f>'Model (Matrix calcs)'!AT462</f>
        <v>3093.3204222811123</v>
      </c>
      <c r="V4" s="91">
        <f>'Model (Matrix calcs)'!AT463</f>
        <v>3091.9387502525738</v>
      </c>
    </row>
    <row r="5" spans="1:22" x14ac:dyDescent="0.25">
      <c r="A5" s="82"/>
      <c r="B5" s="64" t="s">
        <v>570</v>
      </c>
      <c r="C5" s="93">
        <f>'Model (Matrix calcs)'!AU444</f>
        <v>3817.4396838476564</v>
      </c>
      <c r="D5" s="91">
        <f>'Model (Matrix calcs)'!AU445</f>
        <v>5168.1248620564729</v>
      </c>
      <c r="E5" s="91">
        <f>'Model (Matrix calcs)'!AU446</f>
        <v>5218.4649705873035</v>
      </c>
      <c r="F5" s="91">
        <f>'Model (Matrix calcs)'!AU447</f>
        <v>4858.9163687254531</v>
      </c>
      <c r="G5" s="91">
        <f>'Model (Matrix calcs)'!AU448</f>
        <v>4603.4398464294727</v>
      </c>
      <c r="H5" s="91">
        <f>'Model (Matrix calcs)'!AU449</f>
        <v>4374.2587873480743</v>
      </c>
      <c r="I5" s="91">
        <f>'Model (Matrix calcs)'!AU450</f>
        <v>4141.1542254728547</v>
      </c>
      <c r="J5" s="91">
        <f>'Model (Matrix calcs)'!AU451</f>
        <v>3902.0020287967723</v>
      </c>
      <c r="K5" s="91">
        <f>'Model (Matrix calcs)'!AU452</f>
        <v>3675.4188670674398</v>
      </c>
      <c r="L5" s="91">
        <f>'Model (Matrix calcs)'!AU453</f>
        <v>3438.7320236770211</v>
      </c>
      <c r="M5" s="91">
        <f>'Model (Matrix calcs)'!AU454</f>
        <v>3250.3436939997864</v>
      </c>
      <c r="N5" s="91">
        <f>'Model (Matrix calcs)'!AU455</f>
        <v>3104.7501720619771</v>
      </c>
      <c r="O5" s="91">
        <f>'Model (Matrix calcs)'!AU456</f>
        <v>2994.8960333115733</v>
      </c>
      <c r="P5" s="91">
        <f>'Model (Matrix calcs)'!AU457</f>
        <v>2913.6008711857048</v>
      </c>
      <c r="Q5" s="91">
        <f>'Model (Matrix calcs)'!AU458</f>
        <v>2854.381674136042</v>
      </c>
      <c r="R5" s="91">
        <f>'Model (Matrix calcs)'!AU459</f>
        <v>2811.7981971456943</v>
      </c>
      <c r="S5" s="91">
        <f>'Model (Matrix calcs)'!AU460</f>
        <v>2781.5037622259629</v>
      </c>
      <c r="T5" s="91">
        <f>'Model (Matrix calcs)'!AU461</f>
        <v>2760.1445812678435</v>
      </c>
      <c r="U5" s="91">
        <f>'Model (Matrix calcs)'!AU462</f>
        <v>2745.1992047837598</v>
      </c>
      <c r="V5" s="91">
        <f>'Model (Matrix calcs)'!AU463</f>
        <v>2734.8093186548981</v>
      </c>
    </row>
    <row r="6" spans="1:22" x14ac:dyDescent="0.25">
      <c r="A6" s="82"/>
      <c r="B6" s="64" t="s">
        <v>127</v>
      </c>
      <c r="C6" s="224"/>
      <c r="D6" s="91"/>
      <c r="E6" s="91"/>
      <c r="F6" s="91"/>
      <c r="G6" s="91"/>
      <c r="H6" s="91"/>
      <c r="I6" s="91"/>
      <c r="J6" s="91"/>
      <c r="K6" s="91"/>
      <c r="L6" s="91"/>
      <c r="M6" s="91"/>
      <c r="N6" s="91"/>
      <c r="O6" s="91"/>
      <c r="P6" s="91"/>
      <c r="Q6" s="91"/>
      <c r="R6" s="91"/>
      <c r="S6" s="91"/>
      <c r="T6" s="64"/>
      <c r="V6" s="64"/>
    </row>
    <row r="7" spans="1:22" x14ac:dyDescent="0.25">
      <c r="A7" s="82"/>
      <c r="B7" s="63" t="s">
        <v>128</v>
      </c>
      <c r="C7" s="141"/>
      <c r="D7" s="91">
        <f>'Model (Matrix calcs)'!CB445</f>
        <v>678.82698251173133</v>
      </c>
      <c r="E7" s="91">
        <f>'Model (Matrix calcs)'!CB446</f>
        <v>653.65442125901347</v>
      </c>
      <c r="F7" s="91">
        <f>'Model (Matrix calcs)'!CB447</f>
        <v>620.64404076919527</v>
      </c>
      <c r="G7" s="91">
        <f>'Model (Matrix calcs)'!CB448</f>
        <v>578.57228289485897</v>
      </c>
      <c r="H7" s="91">
        <f>'Model (Matrix calcs)'!CB449</f>
        <v>534.34431131872111</v>
      </c>
      <c r="I7" s="91">
        <f>'Model (Matrix calcs)'!CB450</f>
        <v>494.81998538709274</v>
      </c>
      <c r="J7" s="91">
        <f>'Model (Matrix calcs)'!CB451</f>
        <v>469.77104519511101</v>
      </c>
      <c r="K7" s="91">
        <f>'Model (Matrix calcs)'!CB452</f>
        <v>453.89602671087709</v>
      </c>
      <c r="L7" s="91">
        <f>'Model (Matrix calcs)'!CB453</f>
        <v>443.83507363488883</v>
      </c>
      <c r="M7" s="91">
        <f>'Model (Matrix calcs)'!CB454</f>
        <v>437.45884315063665</v>
      </c>
      <c r="N7" s="91">
        <f>'Model (Matrix calcs)'!CB455</f>
        <v>433.41784277212003</v>
      </c>
      <c r="O7" s="91">
        <f>'Model (Matrix calcs)'!CB456</f>
        <v>430.85681802568058</v>
      </c>
      <c r="P7" s="91">
        <f>'Model (Matrix calcs)'!CB457</f>
        <v>429.23374276274706</v>
      </c>
      <c r="Q7" s="91">
        <f>'Model (Matrix calcs)'!CB458</f>
        <v>428.20510244491754</v>
      </c>
      <c r="R7" s="91">
        <f>'Model (Matrix calcs)'!CB459</f>
        <v>427.55319126887514</v>
      </c>
      <c r="S7" s="91">
        <f>'Model (Matrix calcs)'!CB460</f>
        <v>427.14003598603949</v>
      </c>
      <c r="T7" s="91">
        <f>'Model (Matrix calcs)'!CB461</f>
        <v>426.87819465855785</v>
      </c>
      <c r="U7" s="91">
        <f>'Model (Matrix calcs)'!CB462</f>
        <v>426.71225007639794</v>
      </c>
      <c r="V7" s="91">
        <f>'Model (Matrix calcs)'!CB463</f>
        <v>426.60708102377714</v>
      </c>
    </row>
    <row r="8" spans="1:22" x14ac:dyDescent="0.25">
      <c r="A8" s="82"/>
      <c r="B8" s="63" t="s">
        <v>129</v>
      </c>
      <c r="C8" s="141"/>
      <c r="D8" s="91">
        <f>'Model (Matrix calcs)'!CC445</f>
        <v>147.17794815340628</v>
      </c>
      <c r="E8" s="91">
        <f>'Model (Matrix calcs)'!CC446</f>
        <v>100.35145759701955</v>
      </c>
      <c r="F8" s="91">
        <f>'Model (Matrix calcs)'!CC447</f>
        <v>78.504800130157122</v>
      </c>
      <c r="G8" s="91">
        <f>'Model (Matrix calcs)'!CC448</f>
        <v>77.506285834476714</v>
      </c>
      <c r="H8" s="91">
        <f>'Model (Matrix calcs)'!CC449</f>
        <v>74.146481941478953</v>
      </c>
      <c r="I8" s="91">
        <f>'Model (Matrix calcs)'!CC450</f>
        <v>69.60232777912708</v>
      </c>
      <c r="J8" s="91">
        <f>'Model (Matrix calcs)'!CC451</f>
        <v>64.865976717828303</v>
      </c>
      <c r="K8" s="91">
        <f>'Model (Matrix calcs)'!CC452</f>
        <v>61.050879567880287</v>
      </c>
      <c r="L8" s="91">
        <f>'Model (Matrix calcs)'!CC453</f>
        <v>58.276644633452051</v>
      </c>
      <c r="M8" s="91">
        <f>'Model (Matrix calcs)'!CC454</f>
        <v>56.362300956249484</v>
      </c>
      <c r="N8" s="91">
        <f>'Model (Matrix calcs)'!CC455</f>
        <v>55.080653026254367</v>
      </c>
      <c r="O8" s="91">
        <f>'Model (Matrix calcs)'!CC456</f>
        <v>54.238421003919754</v>
      </c>
      <c r="P8" s="91">
        <f>'Model (Matrix calcs)'!CC457</f>
        <v>53.691514793233068</v>
      </c>
      <c r="Q8" s="91">
        <f>'Model (Matrix calcs)'!CC458</f>
        <v>53.339153277230878</v>
      </c>
      <c r="R8" s="91">
        <f>'Model (Matrix calcs)'!CC459</f>
        <v>53.113319463036348</v>
      </c>
      <c r="S8" s="91">
        <f>'Model (Matrix calcs)'!CC460</f>
        <v>52.969090385062159</v>
      </c>
      <c r="T8" s="91">
        <f>'Model (Matrix calcs)'!CC461</f>
        <v>52.877199772030494</v>
      </c>
      <c r="U8" s="91">
        <f>'Model (Matrix calcs)'!CC462</f>
        <v>52.818751117372258</v>
      </c>
      <c r="V8" s="91">
        <f>'Model (Matrix calcs)'!CC463</f>
        <v>52.781615784240643</v>
      </c>
    </row>
    <row r="9" spans="1:22" x14ac:dyDescent="0.25">
      <c r="A9" s="82"/>
      <c r="B9" s="63" t="s">
        <v>130</v>
      </c>
      <c r="C9" s="141"/>
      <c r="D9" s="91">
        <f>'Model (Matrix calcs)'!CD445</f>
        <v>69.420310194926856</v>
      </c>
      <c r="E9" s="91">
        <f>'Model (Matrix calcs)'!CD446</f>
        <v>93.982580148708792</v>
      </c>
      <c r="F9" s="91">
        <f>'Model (Matrix calcs)'!CD447</f>
        <v>94.898017258099941</v>
      </c>
      <c r="G9" s="91">
        <f>'Model (Matrix calcs)'!CD448</f>
        <v>88.35960996459049</v>
      </c>
      <c r="H9" s="91">
        <f>'Model (Matrix calcs)'!CD449</f>
        <v>83.713758060145352</v>
      </c>
      <c r="I9" s="91">
        <f>'Model (Matrix calcs)'!CD450</f>
        <v>79.546090322119227</v>
      </c>
      <c r="J9" s="91">
        <f>'Model (Matrix calcs)'!CD451</f>
        <v>75.307073511532707</v>
      </c>
      <c r="K9" s="91">
        <f>'Model (Matrix calcs)'!CD452</f>
        <v>70.958080193498589</v>
      </c>
      <c r="L9" s="91">
        <f>'Model (Matrix calcs)'!CD453</f>
        <v>66.837655334200321</v>
      </c>
      <c r="M9" s="91">
        <f>'Model (Matrix calcs)'!CD454</f>
        <v>62.53349457515985</v>
      </c>
      <c r="N9" s="91">
        <f>'Model (Matrix calcs)'!CD455</f>
        <v>59.107644433078157</v>
      </c>
      <c r="O9" s="91">
        <f>'Model (Matrix calcs)'!CD456</f>
        <v>56.460019770386054</v>
      </c>
      <c r="P9" s="91">
        <f>'Model (Matrix calcs)'!CD457</f>
        <v>54.462317378252102</v>
      </c>
      <c r="Q9" s="91">
        <f>'Model (Matrix calcs)'!CD458</f>
        <v>52.983961244426702</v>
      </c>
      <c r="R9" s="91">
        <f>'Model (Matrix calcs)'!CD459</f>
        <v>51.907057515973143</v>
      </c>
      <c r="S9" s="91">
        <f>'Model (Matrix calcs)'!CD460</f>
        <v>51.132675095641389</v>
      </c>
      <c r="T9" s="91">
        <f>'Model (Matrix calcs)'!CD461</f>
        <v>50.581769451157683</v>
      </c>
      <c r="U9" s="91">
        <f>'Model (Matrix calcs)'!CD462</f>
        <v>50.193351796807811</v>
      </c>
      <c r="V9" s="91">
        <f>'Model (Matrix calcs)'!CD463</f>
        <v>49.92156946167492</v>
      </c>
    </row>
    <row r="10" spans="1:22" x14ac:dyDescent="0.25">
      <c r="A10" s="82"/>
      <c r="B10" s="63" t="s">
        <v>131</v>
      </c>
      <c r="C10" s="141"/>
      <c r="D10" s="91">
        <f t="shared" ref="D10:V10" si="0">SUM(D7:D9)</f>
        <v>895.42524086006449</v>
      </c>
      <c r="E10" s="91">
        <f t="shared" si="0"/>
        <v>847.9884590047418</v>
      </c>
      <c r="F10" s="91">
        <f t="shared" si="0"/>
        <v>794.04685815745233</v>
      </c>
      <c r="G10" s="91">
        <f t="shared" si="0"/>
        <v>744.43817869392615</v>
      </c>
      <c r="H10" s="91">
        <f t="shared" si="0"/>
        <v>692.20455132034533</v>
      </c>
      <c r="I10" s="91">
        <f t="shared" si="0"/>
        <v>643.96840348833905</v>
      </c>
      <c r="J10" s="91">
        <f t="shared" si="0"/>
        <v>609.94409542447204</v>
      </c>
      <c r="K10" s="91">
        <f t="shared" si="0"/>
        <v>585.90498647225604</v>
      </c>
      <c r="L10" s="91">
        <f t="shared" si="0"/>
        <v>568.94937360254119</v>
      </c>
      <c r="M10" s="91">
        <f t="shared" si="0"/>
        <v>556.35463868204602</v>
      </c>
      <c r="N10" s="91">
        <f t="shared" si="0"/>
        <v>547.60614023145251</v>
      </c>
      <c r="O10" s="91">
        <f t="shared" si="0"/>
        <v>541.5552587999864</v>
      </c>
      <c r="P10" s="91">
        <f t="shared" si="0"/>
        <v>537.38757493423225</v>
      </c>
      <c r="Q10" s="91">
        <f t="shared" si="0"/>
        <v>534.52821696657509</v>
      </c>
      <c r="R10" s="91">
        <f t="shared" si="0"/>
        <v>532.57356824788462</v>
      </c>
      <c r="S10" s="91">
        <f t="shared" si="0"/>
        <v>531.24180146674303</v>
      </c>
      <c r="T10" s="91">
        <f t="shared" si="0"/>
        <v>530.33716388174605</v>
      </c>
      <c r="U10" s="91">
        <f t="shared" si="0"/>
        <v>529.72435299057804</v>
      </c>
      <c r="V10" s="91">
        <f t="shared" si="0"/>
        <v>529.31026626969276</v>
      </c>
    </row>
    <row r="11" spans="1:22" x14ac:dyDescent="0.25">
      <c r="A11" s="86" t="s">
        <v>314</v>
      </c>
      <c r="B11" s="64"/>
      <c r="C11" s="117"/>
      <c r="D11" s="91"/>
      <c r="E11" s="91"/>
      <c r="F11" s="91"/>
      <c r="G11" s="91"/>
      <c r="H11" s="91"/>
      <c r="I11" s="91"/>
      <c r="J11" s="91"/>
      <c r="K11" s="91"/>
      <c r="L11" s="91"/>
      <c r="M11" s="91"/>
      <c r="N11" s="91"/>
      <c r="O11" s="91"/>
      <c r="P11" s="91"/>
      <c r="Q11" s="91"/>
      <c r="R11" s="91"/>
      <c r="S11" s="91"/>
      <c r="T11" s="64"/>
      <c r="V11" s="64"/>
    </row>
    <row r="12" spans="1:22" x14ac:dyDescent="0.25">
      <c r="A12" s="82"/>
      <c r="B12" s="64" t="s">
        <v>124</v>
      </c>
      <c r="C12" s="90">
        <f>'Model (Matrix calcs)'!AW444</f>
        <v>24973.444837624658</v>
      </c>
      <c r="D12" s="91">
        <f>'Model (Matrix calcs)'!AW445</f>
        <v>20500.671401428113</v>
      </c>
      <c r="E12" s="91">
        <f>'Model (Matrix calcs)'!AW446</f>
        <v>17889.256500904772</v>
      </c>
      <c r="F12" s="91">
        <f>'Model (Matrix calcs)'!AW447</f>
        <v>15317.99220921191</v>
      </c>
      <c r="G12" s="91">
        <f>'Model (Matrix calcs)'!AW448</f>
        <v>13634.693039370628</v>
      </c>
      <c r="H12" s="91">
        <f>'Model (Matrix calcs)'!AW449</f>
        <v>12349.201182827517</v>
      </c>
      <c r="I12" s="91">
        <f>'Model (Matrix calcs)'!AW450</f>
        <v>11304.281357638176</v>
      </c>
      <c r="J12" s="91">
        <f>'Model (Matrix calcs)'!AW451</f>
        <v>10532.763265342432</v>
      </c>
      <c r="K12" s="91">
        <f>'Model (Matrix calcs)'!AW452</f>
        <v>9991.9255699909318</v>
      </c>
      <c r="L12" s="91">
        <f>'Model (Matrix calcs)'!AW453</f>
        <v>9624.5363786477628</v>
      </c>
      <c r="M12" s="91">
        <f>'Model (Matrix calcs)'!AW454</f>
        <v>9380.0088118015756</v>
      </c>
      <c r="N12" s="91">
        <f>'Model (Matrix calcs)'!AW455</f>
        <v>9219.487242575553</v>
      </c>
      <c r="O12" s="91">
        <f>'Model (Matrix calcs)'!AW456</f>
        <v>9115.1205816359579</v>
      </c>
      <c r="P12" s="91">
        <f>'Model (Matrix calcs)'!AW457</f>
        <v>9047.7265486116721</v>
      </c>
      <c r="Q12" s="91">
        <f>'Model (Matrix calcs)'!AW458</f>
        <v>9004.4212301378338</v>
      </c>
      <c r="R12" s="91">
        <f>'Model (Matrix calcs)'!AW459</f>
        <v>8976.6942295346271</v>
      </c>
      <c r="S12" s="91">
        <f>'Model (Matrix calcs)'!AW460</f>
        <v>8958.9881827291028</v>
      </c>
      <c r="T12" s="91">
        <f>'Model (Matrix calcs)'!AW461</f>
        <v>8947.7032907069515</v>
      </c>
      <c r="U12" s="91">
        <f>'Model (Matrix calcs)'!AW462</f>
        <v>8940.5212298243914</v>
      </c>
      <c r="V12" s="91">
        <f>'Model (Matrix calcs)'!AW463</f>
        <v>8935.9552154930025</v>
      </c>
    </row>
    <row r="13" spans="1:22" x14ac:dyDescent="0.25">
      <c r="A13" s="82"/>
      <c r="B13" s="64" t="s">
        <v>630</v>
      </c>
      <c r="C13" s="90">
        <f>'Model (Matrix calcs)'!AX444</f>
        <v>6397.3001938886364</v>
      </c>
      <c r="D13" s="91">
        <f>'Model (Matrix calcs)'!AX445</f>
        <v>7454.2224814028086</v>
      </c>
      <c r="E13" s="91">
        <f>'Model (Matrix calcs)'!AX446</f>
        <v>6781.0646191510732</v>
      </c>
      <c r="F13" s="91">
        <f>'Model (Matrix calcs)'!AX447</f>
        <v>7069.6106080620812</v>
      </c>
      <c r="G13" s="91">
        <f>'Model (Matrix calcs)'!AX448</f>
        <v>6711.8767136755605</v>
      </c>
      <c r="H13" s="91">
        <f>'Model (Matrix calcs)'!AX449</f>
        <v>6228.3296322877231</v>
      </c>
      <c r="I13" s="91">
        <f>'Model (Matrix calcs)'!AX450</f>
        <v>5754.8551474772676</v>
      </c>
      <c r="J13" s="91">
        <f>'Model (Matrix calcs)'!AX451</f>
        <v>5364.5580200390004</v>
      </c>
      <c r="K13" s="91">
        <f>'Model (Matrix calcs)'!AX452</f>
        <v>5072.1704862731012</v>
      </c>
      <c r="L13" s="91">
        <f>'Model (Matrix calcs)'!AX453</f>
        <v>4865.2353821274946</v>
      </c>
      <c r="M13" s="91">
        <f>'Model (Matrix calcs)'!AX454</f>
        <v>4723.9026595016039</v>
      </c>
      <c r="N13" s="91">
        <f>'Model (Matrix calcs)'!AX455</f>
        <v>4629.5861833289246</v>
      </c>
      <c r="O13" s="91">
        <f>'Model (Matrix calcs)'!AX456</f>
        <v>4567.6133626098117</v>
      </c>
      <c r="P13" s="91">
        <f>'Model (Matrix calcs)'!AX457</f>
        <v>4527.3212827836942</v>
      </c>
      <c r="Q13" s="91">
        <f>'Model (Matrix calcs)'!AX458</f>
        <v>4501.3165736315395</v>
      </c>
      <c r="R13" s="91">
        <f>'Model (Matrix calcs)'!AX459</f>
        <v>4484.6191747799548</v>
      </c>
      <c r="S13" s="91">
        <f>'Model (Matrix calcs)'!AX460</f>
        <v>4473.9369291513131</v>
      </c>
      <c r="T13" s="91">
        <f>'Model (Matrix calcs)'!AX461</f>
        <v>4467.1206551931464</v>
      </c>
      <c r="U13" s="91">
        <f>'Model (Matrix calcs)'!AX462</f>
        <v>4462.7793402722427</v>
      </c>
      <c r="V13" s="91">
        <f>'Model (Matrix calcs)'!AX463</f>
        <v>4460.0180536091157</v>
      </c>
    </row>
    <row r="14" spans="1:22" x14ac:dyDescent="0.25">
      <c r="A14" s="82"/>
      <c r="B14" s="64" t="s">
        <v>132</v>
      </c>
      <c r="C14" s="94">
        <f>'Model (Matrix calcs)'!AY444</f>
        <v>499.08600271353481</v>
      </c>
      <c r="D14" s="91">
        <f>'Model (Matrix calcs)'!AY445</f>
        <v>2299.209312918696</v>
      </c>
      <c r="E14" s="91">
        <f>'Model (Matrix calcs)'!AY446</f>
        <v>4404.6622598193244</v>
      </c>
      <c r="F14" s="91">
        <f>'Model (Matrix calcs)'!AY447</f>
        <v>6462.034616319138</v>
      </c>
      <c r="G14" s="91">
        <f>'Model (Matrix calcs)'!AY448</f>
        <v>8503.4940796788851</v>
      </c>
      <c r="H14" s="91">
        <f>'Model (Matrix calcs)'!AY449</f>
        <v>10428.014914081961</v>
      </c>
      <c r="I14" s="91">
        <f>'Model (Matrix calcs)'!AY450</f>
        <v>12198.303815214917</v>
      </c>
      <c r="J14" s="91">
        <f>'Model (Matrix calcs)'!AY451</f>
        <v>13805.453763251337</v>
      </c>
      <c r="K14" s="91">
        <f>'Model (Matrix calcs)'!AY452</f>
        <v>15259.913839575045</v>
      </c>
      <c r="L14" s="91">
        <f>'Model (Matrix calcs)'!AY453</f>
        <v>16693.22384370803</v>
      </c>
      <c r="M14" s="91">
        <f>'Model (Matrix calcs)'!AY454</f>
        <v>17978.535183536034</v>
      </c>
      <c r="N14" s="91">
        <f>'Model (Matrix calcs)'!AY455</f>
        <v>19154.897929417904</v>
      </c>
      <c r="O14" s="91">
        <f>'Model (Matrix calcs)'!AY456</f>
        <v>20248.503491143525</v>
      </c>
      <c r="P14" s="91">
        <f>'Model (Matrix calcs)'!AY457</f>
        <v>21277.810051605207</v>
      </c>
      <c r="Q14" s="91">
        <f>'Model (Matrix calcs)'!AY458</f>
        <v>22256.105346976685</v>
      </c>
      <c r="R14" s="91">
        <f>'Model (Matrix calcs)'!AY459</f>
        <v>23193.020617802158</v>
      </c>
      <c r="S14" s="91">
        <f>'Model (Matrix calcs)'!AY460</f>
        <v>24095.545925151961</v>
      </c>
      <c r="T14" s="91">
        <f>'Model (Matrix calcs)'!AY461</f>
        <v>24968.75783658406</v>
      </c>
      <c r="U14" s="91">
        <f>'Model (Matrix calcs)'!AY462</f>
        <v>25816.353126912694</v>
      </c>
      <c r="V14" s="91">
        <f>'Model (Matrix calcs)'!AY463</f>
        <v>26641.040648236034</v>
      </c>
    </row>
    <row r="15" spans="1:22" x14ac:dyDescent="0.25">
      <c r="A15" s="82"/>
      <c r="B15" s="64" t="s">
        <v>133</v>
      </c>
      <c r="C15" s="95"/>
      <c r="D15" s="91">
        <f>'Model (Matrix calcs)'!AZ445</f>
        <v>220.67967048466105</v>
      </c>
      <c r="E15" s="91">
        <f>'Model (Matrix calcs)'!AZ446</f>
        <v>624.87739869154927</v>
      </c>
      <c r="F15" s="91">
        <f>'Model (Matrix calcs)'!AZ447</f>
        <v>1189.5791726580392</v>
      </c>
      <c r="G15" s="91">
        <f>'Model (Matrix calcs)'!AZ448</f>
        <v>1815.3855211759815</v>
      </c>
      <c r="H15" s="91">
        <f>'Model (Matrix calcs)'!AZ449</f>
        <v>2473.31800983426</v>
      </c>
      <c r="I15" s="91">
        <f>'Model (Matrix calcs)'!AZ450</f>
        <v>3134.9878761241002</v>
      </c>
      <c r="J15" s="91">
        <f>'Model (Matrix calcs)'!AZ451</f>
        <v>3784.3807057842255</v>
      </c>
      <c r="K15" s="91">
        <f>'Model (Matrix calcs)'!AZ452</f>
        <v>4413.744242277352</v>
      </c>
      <c r="L15" s="91">
        <f>'Model (Matrix calcs)'!AZ453</f>
        <v>5095.7766578989058</v>
      </c>
      <c r="M15" s="91">
        <f>'Model (Matrix calcs)'!AZ454</f>
        <v>5728.3090411959256</v>
      </c>
      <c r="N15" s="91">
        <f>'Model (Matrix calcs)'!AZ455</f>
        <v>6330.9042602031959</v>
      </c>
      <c r="O15" s="91">
        <f>'Model (Matrix calcs)'!AZ456</f>
        <v>6914.3487287038952</v>
      </c>
      <c r="P15" s="91">
        <f>'Model (Matrix calcs)'!AZ457</f>
        <v>7485.3393941523027</v>
      </c>
      <c r="Q15" s="91">
        <f>'Model (Matrix calcs)'!AZ458</f>
        <v>8048.3559855658568</v>
      </c>
      <c r="R15" s="91">
        <f>'Model (Matrix calcs)'!AZ459</f>
        <v>8606.4924485245883</v>
      </c>
      <c r="S15" s="91">
        <f>'Model (Matrix calcs)'!AZ460</f>
        <v>9161.8923015208329</v>
      </c>
      <c r="T15" s="91">
        <f>'Model (Matrix calcs)'!AZ461</f>
        <v>9716.0185529755181</v>
      </c>
      <c r="U15" s="91">
        <f>'Model (Matrix calcs)'!AZ462</f>
        <v>10269.841223839054</v>
      </c>
      <c r="V15" s="91">
        <f>'Model (Matrix calcs)'!AZ463</f>
        <v>10823.974530334603</v>
      </c>
    </row>
    <row r="16" spans="1:22" x14ac:dyDescent="0.25">
      <c r="A16" s="82"/>
      <c r="B16" s="64" t="s">
        <v>570</v>
      </c>
      <c r="C16" s="90"/>
      <c r="D16" s="91"/>
      <c r="E16" s="91"/>
      <c r="F16" s="91"/>
      <c r="G16" s="91"/>
      <c r="H16" s="91"/>
      <c r="I16" s="91"/>
      <c r="J16" s="91"/>
      <c r="K16" s="91"/>
      <c r="L16" s="91"/>
      <c r="M16" s="91"/>
      <c r="N16" s="91"/>
      <c r="O16" s="91"/>
      <c r="P16" s="91"/>
      <c r="Q16" s="91"/>
      <c r="R16" s="91"/>
      <c r="S16" s="91"/>
      <c r="T16" s="64"/>
      <c r="V16" s="64"/>
    </row>
    <row r="17" spans="1:22" x14ac:dyDescent="0.25">
      <c r="A17" s="82"/>
      <c r="B17" s="63" t="s">
        <v>134</v>
      </c>
      <c r="C17" s="90">
        <f>'Model (Matrix calcs)'!BM444</f>
        <v>1428.0954159393805</v>
      </c>
      <c r="D17" s="91">
        <f>'Model (Matrix calcs)'!BM445</f>
        <v>1794.1639761460287</v>
      </c>
      <c r="E17" s="91">
        <f>'Model (Matrix calcs)'!BM446</f>
        <v>2147.6882629479214</v>
      </c>
      <c r="F17" s="91">
        <f>'Model (Matrix calcs)'!BM447</f>
        <v>2179.9768240437443</v>
      </c>
      <c r="G17" s="91">
        <f>'Model (Matrix calcs)'!BM448</f>
        <v>2246.8041556550615</v>
      </c>
      <c r="H17" s="91">
        <f>'Model (Matrix calcs)'!BM449</f>
        <v>2210.8452457151075</v>
      </c>
      <c r="I17" s="91">
        <f>'Model (Matrix calcs)'!BM450</f>
        <v>2106.8205403616521</v>
      </c>
      <c r="J17" s="91">
        <f>'Model (Matrix calcs)'!BM451</f>
        <v>1974.7648302597095</v>
      </c>
      <c r="K17" s="91">
        <f>'Model (Matrix calcs)'!BM452</f>
        <v>1845.5877697969636</v>
      </c>
      <c r="L17" s="91">
        <f>'Model (Matrix calcs)'!BM453</f>
        <v>1660.9802059528956</v>
      </c>
      <c r="M17" s="91">
        <f>'Model (Matrix calcs)'!BM454</f>
        <v>1549.662694762826</v>
      </c>
      <c r="N17" s="91">
        <f>'Model (Matrix calcs)'!BM455</f>
        <v>1479.5181261809989</v>
      </c>
      <c r="O17" s="91">
        <f>'Model (Matrix calcs)'!BM456</f>
        <v>1434.3582555792627</v>
      </c>
      <c r="P17" s="91">
        <f>'Model (Matrix calcs)'!BM457</f>
        <v>1405.0555525957479</v>
      </c>
      <c r="Q17" s="91">
        <f>'Model (Matrix calcs)'!BM458</f>
        <v>1386.0274216709881</v>
      </c>
      <c r="R17" s="91">
        <f>'Model (Matrix calcs)'!BM459</f>
        <v>1373.7003453224797</v>
      </c>
      <c r="S17" s="91">
        <f>'Model (Matrix calcs)'!BM460</f>
        <v>1365.7416967330337</v>
      </c>
      <c r="T17" s="91">
        <f>'Model (Matrix calcs)'!BM461</f>
        <v>1360.6212890272736</v>
      </c>
      <c r="U17" s="91">
        <f>'Model (Matrix calcs)'!BM462</f>
        <v>1357.3372374754194</v>
      </c>
      <c r="V17" s="91">
        <f>'Model (Matrix calcs)'!BM463</f>
        <v>1355.2365099400577</v>
      </c>
    </row>
    <row r="18" spans="1:22" x14ac:dyDescent="0.25">
      <c r="A18" s="82"/>
      <c r="B18" s="63" t="s">
        <v>730</v>
      </c>
      <c r="C18" s="95"/>
      <c r="D18" s="91">
        <f>'Model (Matrix calcs)'!BN445</f>
        <v>763.4879367695313</v>
      </c>
      <c r="E18" s="91">
        <f>'Model (Matrix calcs)'!BN446</f>
        <v>1368.6651505047455</v>
      </c>
      <c r="F18" s="91">
        <f>'Model (Matrix calcs)'!BN447</f>
        <v>1644.3021114214728</v>
      </c>
      <c r="G18" s="91">
        <f>'Model (Matrix calcs)'!BN448</f>
        <v>1693.3497133945305</v>
      </c>
      <c r="H18" s="91">
        <f>'Model (Matrix calcs)'!BN449</f>
        <v>1663.7778888866237</v>
      </c>
      <c r="I18" s="91">
        <f>'Model (Matrix calcs)'!BN450</f>
        <v>1604.9647210864694</v>
      </c>
      <c r="J18" s="91">
        <f>'Model (Matrix calcs)'!BN451</f>
        <v>1532.5349212817453</v>
      </c>
      <c r="K18" s="91">
        <f>'Model (Matrix calcs)'!BN452</f>
        <v>1452.920229888106</v>
      </c>
      <c r="L18" s="91">
        <f>'Model (Matrix calcs)'!BN453</f>
        <v>1313.9684338255367</v>
      </c>
      <c r="M18" s="91">
        <f>'Model (Matrix calcs)'!BN454</f>
        <v>1211.2687254796249</v>
      </c>
      <c r="N18" s="91">
        <f>'Model (Matrix calcs)'!BN455</f>
        <v>1132.6725806302884</v>
      </c>
      <c r="O18" s="91">
        <f>'Model (Matrix calcs)'!BN456</f>
        <v>1072.238941200279</v>
      </c>
      <c r="P18" s="91">
        <f>'Model (Matrix calcs)'!BN457</f>
        <v>1026.1896361055751</v>
      </c>
      <c r="Q18" s="91">
        <f>'Model (Matrix calcs)'!BN458</f>
        <v>991.58325343116462</v>
      </c>
      <c r="R18" s="91">
        <f>'Model (Matrix calcs)'!BN459</f>
        <v>965.95124886910378</v>
      </c>
      <c r="S18" s="91">
        <f>'Model (Matrix calcs)'!BN460</f>
        <v>947.22203529463616</v>
      </c>
      <c r="T18" s="91">
        <f>'Model (Matrix calcs)'!BN461</f>
        <v>933.70089799796949</v>
      </c>
      <c r="U18" s="91">
        <f>'Model (Matrix calcs)'!BN462</f>
        <v>924.04185691281305</v>
      </c>
      <c r="V18" s="91">
        <f>'Model (Matrix calcs)'!BN463</f>
        <v>917.20434547789023</v>
      </c>
    </row>
    <row r="19" spans="1:22" x14ac:dyDescent="0.25">
      <c r="A19" s="82"/>
      <c r="B19" s="63" t="s">
        <v>135</v>
      </c>
      <c r="C19" s="95"/>
      <c r="D19" s="91">
        <f>'Model (Matrix calcs)'!BO445</f>
        <v>7.1796142551032087</v>
      </c>
      <c r="E19" s="91">
        <f>'Model (Matrix calcs)'!BO446</f>
        <v>36.225951973961209</v>
      </c>
      <c r="F19" s="91">
        <f>'Model (Matrix calcs)'!BO447</f>
        <v>79.260355805388997</v>
      </c>
      <c r="G19" s="91">
        <f>'Model (Matrix calcs)'!BO448</f>
        <v>127.74145555172304</v>
      </c>
      <c r="H19" s="91">
        <f>'Model (Matrix calcs)'!BO449</f>
        <v>178.38380474396831</v>
      </c>
      <c r="I19" s="91">
        <f>'Model (Matrix calcs)'!BO450</f>
        <v>228.29234794922189</v>
      </c>
      <c r="J19" s="91">
        <f>'Model (Matrix calcs)'!BO451</f>
        <v>275.66016890005358</v>
      </c>
      <c r="K19" s="91">
        <f>'Model (Matrix calcs)'!BO452</f>
        <v>319.56620929146811</v>
      </c>
      <c r="L19" s="91">
        <f>'Model (Matrix calcs)'!BO453</f>
        <v>346.8461232630915</v>
      </c>
      <c r="M19" s="91">
        <f>'Model (Matrix calcs)'!BO454</f>
        <v>378.33413246775854</v>
      </c>
      <c r="N19" s="91">
        <f>'Model (Matrix calcs)'!BO455</f>
        <v>409.36972774833407</v>
      </c>
      <c r="O19" s="91">
        <f>'Model (Matrix calcs)'!BO456</f>
        <v>438.65778573919835</v>
      </c>
      <c r="P19" s="91">
        <f>'Model (Matrix calcs)'!BO457</f>
        <v>466.05906971451975</v>
      </c>
      <c r="Q19" s="91">
        <f>'Model (Matrix calcs)'!BO458</f>
        <v>491.78363446515255</v>
      </c>
      <c r="R19" s="91">
        <f>'Model (Matrix calcs)'!BO459</f>
        <v>516.10632284534063</v>
      </c>
      <c r="S19" s="91">
        <f>'Model (Matrix calcs)'!BO460</f>
        <v>539.27519050285696</v>
      </c>
      <c r="T19" s="91">
        <f>'Model (Matrix calcs)'!BO461</f>
        <v>561.48962554826244</v>
      </c>
      <c r="U19" s="91">
        <f>'Model (Matrix calcs)'!BO462</f>
        <v>582.90209895478506</v>
      </c>
      <c r="V19" s="91">
        <f>'Model (Matrix calcs)'!BO463</f>
        <v>603.62653953316101</v>
      </c>
    </row>
    <row r="20" spans="1:22" x14ac:dyDescent="0.25">
      <c r="A20" s="82"/>
      <c r="B20" s="63" t="s">
        <v>136</v>
      </c>
      <c r="C20" s="95"/>
      <c r="D20" s="91">
        <f>'Model (Matrix calcs)'!BP445</f>
        <v>0</v>
      </c>
      <c r="E20" s="91">
        <f>'Model (Matrix calcs)'!BP446</f>
        <v>3.1745929547388281</v>
      </c>
      <c r="F20" s="91">
        <f>'Model (Matrix calcs)'!BP447</f>
        <v>10.382291047054558</v>
      </c>
      <c r="G20" s="91">
        <f>'Model (Matrix calcs)'!BP448</f>
        <v>21.668765143057563</v>
      </c>
      <c r="H20" s="91">
        <f>'Model (Matrix calcs)'!BP449</f>
        <v>35.624143319991454</v>
      </c>
      <c r="I20" s="91">
        <f>'Model (Matrix calcs)'!BP450</f>
        <v>51.212863761572329</v>
      </c>
      <c r="J20" s="91">
        <f>'Model (Matrix calcs)'!BP451</f>
        <v>67.572105290941792</v>
      </c>
      <c r="K20" s="91">
        <f>'Model (Matrix calcs)'!BP452</f>
        <v>84.092861725230151</v>
      </c>
      <c r="L20" s="91">
        <f>'Model (Matrix calcs)'!BP453</f>
        <v>96.999011969628825</v>
      </c>
      <c r="M20" s="91">
        <f>'Model (Matrix calcs)'!BP454</f>
        <v>111.95258304841013</v>
      </c>
      <c r="N20" s="91">
        <f>'Model (Matrix calcs)'!BP455</f>
        <v>127.00982074217758</v>
      </c>
      <c r="O20" s="91">
        <f>'Model (Matrix calcs)'!BP456</f>
        <v>141.6777003274369</v>
      </c>
      <c r="P20" s="91">
        <f>'Model (Matrix calcs)'!BP457</f>
        <v>155.91495498694346</v>
      </c>
      <c r="Q20" s="91">
        <f>'Model (Matrix calcs)'!BP458</f>
        <v>169.80148195553764</v>
      </c>
      <c r="R20" s="91">
        <f>'Model (Matrix calcs)'!BP459</f>
        <v>183.43355781399003</v>
      </c>
      <c r="S20" s="91">
        <f>'Model (Matrix calcs)'!BP460</f>
        <v>196.89404991689244</v>
      </c>
      <c r="T20" s="91">
        <f>'Model (Matrix calcs)'!BP461</f>
        <v>210.24681060971446</v>
      </c>
      <c r="U20" s="91">
        <f>'Model (Matrix calcs)'!BP462</f>
        <v>223.53832662379244</v>
      </c>
      <c r="V20" s="91">
        <f>'Model (Matrix calcs)'!BP463</f>
        <v>236.80107385320611</v>
      </c>
    </row>
    <row r="21" spans="1:22" x14ac:dyDescent="0.25">
      <c r="A21" s="82"/>
      <c r="B21" s="63" t="s">
        <v>137</v>
      </c>
      <c r="C21" s="94">
        <f>SUM(C17:C18)</f>
        <v>1428.0954159393805</v>
      </c>
      <c r="D21" s="202">
        <f t="shared" ref="D21:V21" si="1">SUM(D17:D18)</f>
        <v>2557.6519129155599</v>
      </c>
      <c r="E21" s="202">
        <f t="shared" si="1"/>
        <v>3516.3534134526672</v>
      </c>
      <c r="F21" s="202">
        <f t="shared" si="1"/>
        <v>3824.2789354652168</v>
      </c>
      <c r="G21" s="202">
        <f t="shared" si="1"/>
        <v>3940.1538690495918</v>
      </c>
      <c r="H21" s="202">
        <f t="shared" si="1"/>
        <v>3874.6231346017312</v>
      </c>
      <c r="I21" s="202">
        <f t="shared" si="1"/>
        <v>3711.7852614481217</v>
      </c>
      <c r="J21" s="202">
        <f t="shared" si="1"/>
        <v>3507.2997515414545</v>
      </c>
      <c r="K21" s="202">
        <f t="shared" si="1"/>
        <v>3298.5079996850695</v>
      </c>
      <c r="L21" s="202">
        <f t="shared" si="1"/>
        <v>2974.9486397784322</v>
      </c>
      <c r="M21" s="202">
        <f t="shared" si="1"/>
        <v>2760.9314202424512</v>
      </c>
      <c r="N21" s="202">
        <f t="shared" si="1"/>
        <v>2612.1907068112873</v>
      </c>
      <c r="O21" s="202">
        <f t="shared" si="1"/>
        <v>2506.5971967795417</v>
      </c>
      <c r="P21" s="202">
        <f t="shared" si="1"/>
        <v>2431.2451887013231</v>
      </c>
      <c r="Q21" s="202">
        <f t="shared" si="1"/>
        <v>2377.6106751021525</v>
      </c>
      <c r="R21" s="202">
        <f t="shared" si="1"/>
        <v>2339.6515941915836</v>
      </c>
      <c r="S21" s="202">
        <f t="shared" si="1"/>
        <v>2312.9637320276697</v>
      </c>
      <c r="T21" s="202">
        <f t="shared" si="1"/>
        <v>2294.3221870252432</v>
      </c>
      <c r="U21" s="202">
        <f t="shared" si="1"/>
        <v>2281.3790943882323</v>
      </c>
      <c r="V21" s="202">
        <f t="shared" si="1"/>
        <v>2272.4408554179481</v>
      </c>
    </row>
    <row r="22" spans="1:22" x14ac:dyDescent="0.25">
      <c r="A22" s="82"/>
      <c r="B22" s="63" t="s">
        <v>138</v>
      </c>
      <c r="C22" s="90">
        <f>SUM(C19:C20)</f>
        <v>0</v>
      </c>
      <c r="D22" s="91">
        <f t="shared" ref="D22:V22" si="2">SUM(D19:D20)</f>
        <v>7.1796142551032087</v>
      </c>
      <c r="E22" s="91">
        <f t="shared" si="2"/>
        <v>39.400544928700036</v>
      </c>
      <c r="F22" s="91">
        <f t="shared" si="2"/>
        <v>89.642646852443562</v>
      </c>
      <c r="G22" s="91">
        <f t="shared" si="2"/>
        <v>149.41022069478061</v>
      </c>
      <c r="H22" s="91">
        <f t="shared" si="2"/>
        <v>214.00794806395976</v>
      </c>
      <c r="I22" s="91">
        <f t="shared" si="2"/>
        <v>279.50521171079424</v>
      </c>
      <c r="J22" s="91">
        <f t="shared" si="2"/>
        <v>343.23227419099538</v>
      </c>
      <c r="K22" s="91">
        <f t="shared" si="2"/>
        <v>403.65907101669825</v>
      </c>
      <c r="L22" s="91">
        <f t="shared" si="2"/>
        <v>443.84513523272034</v>
      </c>
      <c r="M22" s="91">
        <f t="shared" si="2"/>
        <v>490.28671551616867</v>
      </c>
      <c r="N22" s="91">
        <f t="shared" si="2"/>
        <v>536.37954849051164</v>
      </c>
      <c r="O22" s="91">
        <f t="shared" si="2"/>
        <v>580.33548606663521</v>
      </c>
      <c r="P22" s="91">
        <f t="shared" si="2"/>
        <v>621.97402470146324</v>
      </c>
      <c r="Q22" s="91">
        <f t="shared" si="2"/>
        <v>661.58511642069016</v>
      </c>
      <c r="R22" s="91">
        <f t="shared" si="2"/>
        <v>699.53988065933072</v>
      </c>
      <c r="S22" s="91">
        <f t="shared" si="2"/>
        <v>736.16924041974937</v>
      </c>
      <c r="T22" s="91">
        <f t="shared" si="2"/>
        <v>771.73643615797687</v>
      </c>
      <c r="U22" s="91">
        <f t="shared" si="2"/>
        <v>806.44042557857756</v>
      </c>
      <c r="V22" s="91">
        <f t="shared" si="2"/>
        <v>840.42761338636706</v>
      </c>
    </row>
    <row r="23" spans="1:22" x14ac:dyDescent="0.25">
      <c r="A23" s="82"/>
      <c r="B23" s="63" t="s">
        <v>139</v>
      </c>
      <c r="C23" s="90">
        <f>SUM(C21:C22)</f>
        <v>1428.0954159393805</v>
      </c>
      <c r="D23" s="91">
        <f t="shared" ref="D23:V23" si="3">SUM(D21:D22)</f>
        <v>2564.8315271706633</v>
      </c>
      <c r="E23" s="91">
        <f t="shared" si="3"/>
        <v>3555.7539583813673</v>
      </c>
      <c r="F23" s="91">
        <f t="shared" si="3"/>
        <v>3913.9215823176605</v>
      </c>
      <c r="G23" s="91">
        <f t="shared" si="3"/>
        <v>4089.5640897443723</v>
      </c>
      <c r="H23" s="91">
        <f t="shared" si="3"/>
        <v>4088.6310826656909</v>
      </c>
      <c r="I23" s="91">
        <f t="shared" si="3"/>
        <v>3991.290473158916</v>
      </c>
      <c r="J23" s="91">
        <f t="shared" si="3"/>
        <v>3850.5320257324497</v>
      </c>
      <c r="K23" s="91">
        <f t="shared" si="3"/>
        <v>3702.1670707017679</v>
      </c>
      <c r="L23" s="91">
        <f t="shared" si="3"/>
        <v>3418.7937750111523</v>
      </c>
      <c r="M23" s="91">
        <f t="shared" si="3"/>
        <v>3251.2181357586196</v>
      </c>
      <c r="N23" s="91">
        <f t="shared" si="3"/>
        <v>3148.5702553017991</v>
      </c>
      <c r="O23" s="91">
        <f t="shared" si="3"/>
        <v>3086.9326828461772</v>
      </c>
      <c r="P23" s="91">
        <f t="shared" si="3"/>
        <v>3053.2192134027864</v>
      </c>
      <c r="Q23" s="91">
        <f t="shared" si="3"/>
        <v>3039.1957915228427</v>
      </c>
      <c r="R23" s="91">
        <f t="shared" si="3"/>
        <v>3039.1914748509143</v>
      </c>
      <c r="S23" s="91">
        <f t="shared" si="3"/>
        <v>3049.132972447419</v>
      </c>
      <c r="T23" s="91">
        <f t="shared" si="3"/>
        <v>3066.0586231832203</v>
      </c>
      <c r="U23" s="91">
        <f t="shared" si="3"/>
        <v>3087.8195199668098</v>
      </c>
      <c r="V23" s="91">
        <f t="shared" si="3"/>
        <v>3112.8684688043149</v>
      </c>
    </row>
    <row r="24" spans="1:22" x14ac:dyDescent="0.25">
      <c r="A24" s="82"/>
      <c r="B24" s="63" t="s">
        <v>127</v>
      </c>
      <c r="C24" s="90"/>
      <c r="D24" s="91"/>
      <c r="E24" s="91"/>
      <c r="F24" s="91"/>
      <c r="G24" s="91"/>
      <c r="H24" s="91"/>
      <c r="I24" s="91"/>
      <c r="J24" s="200"/>
      <c r="K24" s="91"/>
      <c r="L24" s="91"/>
      <c r="M24" s="91"/>
      <c r="N24" s="91"/>
      <c r="O24" s="91"/>
      <c r="P24" s="91"/>
      <c r="Q24" s="91"/>
      <c r="R24" s="91"/>
      <c r="S24" s="91"/>
      <c r="T24" s="64"/>
      <c r="V24" s="64"/>
    </row>
    <row r="25" spans="1:22" x14ac:dyDescent="0.25">
      <c r="A25" s="82"/>
      <c r="B25" s="63" t="s">
        <v>128</v>
      </c>
      <c r="C25" s="95"/>
      <c r="D25" s="91">
        <f>'Model (Matrix calcs)'!CE445</f>
        <v>696.47284939598728</v>
      </c>
      <c r="E25" s="91">
        <f>'Model (Matrix calcs)'!CE446</f>
        <v>571.73374031171625</v>
      </c>
      <c r="F25" s="91">
        <f>'Model (Matrix calcs)'!CE447</f>
        <v>498.90519829245574</v>
      </c>
      <c r="G25" s="91">
        <f>'Model (Matrix calcs)'!CE448</f>
        <v>427.19639802764556</v>
      </c>
      <c r="H25" s="91">
        <f>'Model (Matrix calcs)'!CE449</f>
        <v>380.25164623917868</v>
      </c>
      <c r="I25" s="91">
        <f>'Model (Matrix calcs)'!CE450</f>
        <v>344.40115857025069</v>
      </c>
      <c r="J25" s="91">
        <f>'Model (Matrix calcs)'!CE451</f>
        <v>315.25987298583067</v>
      </c>
      <c r="K25" s="91">
        <f>'Model (Matrix calcs)'!CE452</f>
        <v>293.74336184387477</v>
      </c>
      <c r="L25" s="91">
        <f>'Model (Matrix calcs)'!CE453</f>
        <v>278.66018957063204</v>
      </c>
      <c r="M25" s="91">
        <f>'Model (Matrix calcs)'!CE454</f>
        <v>268.41424238169776</v>
      </c>
      <c r="N25" s="91">
        <f>'Model (Matrix calcs)'!CE455</f>
        <v>261.59472619782514</v>
      </c>
      <c r="O25" s="91">
        <f>'Model (Matrix calcs)'!CE456</f>
        <v>257.11801441716091</v>
      </c>
      <c r="P25" s="91">
        <f>'Model (Matrix calcs)'!CE457</f>
        <v>254.20738089426655</v>
      </c>
      <c r="Q25" s="91">
        <f>'Model (Matrix calcs)'!CE458</f>
        <v>252.32785988633586</v>
      </c>
      <c r="R25" s="91">
        <f>'Model (Matrix calcs)'!CE459</f>
        <v>251.12013789413263</v>
      </c>
      <c r="S25" s="91">
        <f>'Model (Matrix calcs)'!CE460</f>
        <v>250.3468724018916</v>
      </c>
      <c r="T25" s="91">
        <f>'Model (Matrix calcs)'!CE461</f>
        <v>249.85307665403374</v>
      </c>
      <c r="U25" s="91">
        <f>'Model (Matrix calcs)'!CE462</f>
        <v>249.53835752125505</v>
      </c>
      <c r="V25" s="91">
        <f>'Model (Matrix calcs)'!CE463</f>
        <v>249.3380603480002</v>
      </c>
    </row>
    <row r="26" spans="1:22" x14ac:dyDescent="0.25">
      <c r="A26" s="82"/>
      <c r="B26" s="63" t="s">
        <v>140</v>
      </c>
      <c r="C26" s="95"/>
      <c r="D26" s="91">
        <f>'Model (Matrix calcs)'!CF445</f>
        <v>167.40401679576206</v>
      </c>
      <c r="E26" s="91">
        <f>'Model (Matrix calcs)'!CF446</f>
        <v>195.06147087926163</v>
      </c>
      <c r="F26" s="91">
        <f>'Model (Matrix calcs)'!CF447</f>
        <v>177.44633220150482</v>
      </c>
      <c r="G26" s="91">
        <f>'Model (Matrix calcs)'!CF448</f>
        <v>184.99697952303475</v>
      </c>
      <c r="H26" s="91">
        <f>'Model (Matrix calcs)'!CF449</f>
        <v>175.63582887365553</v>
      </c>
      <c r="I26" s="91">
        <f>'Model (Matrix calcs)'!CF450</f>
        <v>162.98240926212617</v>
      </c>
      <c r="J26" s="91">
        <f>'Model (Matrix calcs)'!CF451</f>
        <v>150.59256851597934</v>
      </c>
      <c r="K26" s="91">
        <f>'Model (Matrix calcs)'!CF452</f>
        <v>140.37930590569405</v>
      </c>
      <c r="L26" s="91">
        <f>'Model (Matrix calcs)'!CF453</f>
        <v>132.72813335947259</v>
      </c>
      <c r="M26" s="91">
        <f>'Model (Matrix calcs)'!CF454</f>
        <v>127.31307284955355</v>
      </c>
      <c r="N26" s="91">
        <f>'Model (Matrix calcs)'!CF455</f>
        <v>123.61468997628187</v>
      </c>
      <c r="O26" s="91">
        <f>'Model (Matrix calcs)'!CF456</f>
        <v>121.14662431064193</v>
      </c>
      <c r="P26" s="91">
        <f>'Model (Matrix calcs)'!CF457</f>
        <v>119.52492471767081</v>
      </c>
      <c r="Q26" s="91">
        <f>'Model (Matrix calcs)'!CF458</f>
        <v>118.4705649403399</v>
      </c>
      <c r="R26" s="91">
        <f>'Model (Matrix calcs)'!CF459</f>
        <v>117.79007588468561</v>
      </c>
      <c r="S26" s="91">
        <f>'Model (Matrix calcs)'!CF460</f>
        <v>117.35313974708392</v>
      </c>
      <c r="T26" s="91">
        <f>'Model (Matrix calcs)'!CF461</f>
        <v>117.07360763628164</v>
      </c>
      <c r="U26" s="91">
        <f>'Model (Matrix calcs)'!CF462</f>
        <v>116.89523994903952</v>
      </c>
      <c r="V26" s="91">
        <f>'Model (Matrix calcs)'!CF463</f>
        <v>116.78163678303069</v>
      </c>
    </row>
    <row r="27" spans="1:22" x14ac:dyDescent="0.25">
      <c r="A27" s="82"/>
      <c r="B27" s="63" t="s">
        <v>141</v>
      </c>
      <c r="C27" s="95"/>
      <c r="D27" s="91">
        <f>'Model (Matrix calcs)'!CG445</f>
        <v>2.5239623826033184</v>
      </c>
      <c r="E27" s="91">
        <f>'Model (Matrix calcs)'!CG446</f>
        <v>11.627490620827693</v>
      </c>
      <c r="F27" s="91">
        <f>'Model (Matrix calcs)'!CG447</f>
        <v>22.275122506766728</v>
      </c>
      <c r="G27" s="91">
        <f>'Model (Matrix calcs)'!CG448</f>
        <v>32.679602709738866</v>
      </c>
      <c r="H27" s="91">
        <f>'Model (Matrix calcs)'!CG449</f>
        <v>43.003608718953721</v>
      </c>
      <c r="I27" s="91">
        <f>'Model (Matrix calcs)'!CG450</f>
        <v>52.736236290474245</v>
      </c>
      <c r="J27" s="91">
        <f>'Model (Matrix calcs)'!CG451</f>
        <v>61.688886872751489</v>
      </c>
      <c r="K27" s="91">
        <f>'Model (Matrix calcs)'!CG452</f>
        <v>69.81651615907127</v>
      </c>
      <c r="L27" s="91">
        <f>'Model (Matrix calcs)'!CG453</f>
        <v>77.171966922426918</v>
      </c>
      <c r="M27" s="91">
        <f>'Model (Matrix calcs)'!CG454</f>
        <v>84.420458191209505</v>
      </c>
      <c r="N27" s="91">
        <f>'Model (Matrix calcs)'!CG455</f>
        <v>90.920495166843509</v>
      </c>
      <c r="O27" s="91">
        <f>'Model (Matrix calcs)'!CG456</f>
        <v>96.869560664090045</v>
      </c>
      <c r="P27" s="91">
        <f>'Model (Matrix calcs)'!CG457</f>
        <v>102.40010907497295</v>
      </c>
      <c r="Q27" s="91">
        <f>'Model (Matrix calcs)'!CG458</f>
        <v>107.60548655429939</v>
      </c>
      <c r="R27" s="91">
        <f>'Model (Matrix calcs)'!CG459</f>
        <v>112.55289143275813</v>
      </c>
      <c r="S27" s="91">
        <f>'Model (Matrix calcs)'!CG460</f>
        <v>117.29103052380256</v>
      </c>
      <c r="T27" s="91">
        <f>'Model (Matrix calcs)'!CG461</f>
        <v>121.8552537492852</v>
      </c>
      <c r="U27" s="91">
        <f>'Model (Matrix calcs)'!CG462</f>
        <v>126.27123417052088</v>
      </c>
      <c r="V27" s="91">
        <f>'Model (Matrix calcs)'!CG463</f>
        <v>130.55766700339905</v>
      </c>
    </row>
    <row r="28" spans="1:22" x14ac:dyDescent="0.25">
      <c r="A28" s="82"/>
      <c r="B28" s="63" t="s">
        <v>142</v>
      </c>
      <c r="C28" s="95"/>
      <c r="D28" s="91">
        <f>'Model (Matrix calcs)'!CH445</f>
        <v>0</v>
      </c>
      <c r="E28" s="91">
        <f>'Model (Matrix calcs)'!CH446</f>
        <v>1.1160144421607423</v>
      </c>
      <c r="F28" s="91">
        <f>'Model (Matrix calcs)'!CH447</f>
        <v>3.1601107613946611</v>
      </c>
      <c r="G28" s="91">
        <f>'Model (Matrix calcs)'!CH448</f>
        <v>6.0159032042431688</v>
      </c>
      <c r="H28" s="91">
        <f>'Model (Matrix calcs)'!CH449</f>
        <v>9.1807118221282824</v>
      </c>
      <c r="I28" s="91">
        <f>'Model (Matrix calcs)'!CH450</f>
        <v>12.50798776783183</v>
      </c>
      <c r="J28" s="91">
        <f>'Model (Matrix calcs)'!CH451</f>
        <v>15.8541642647437</v>
      </c>
      <c r="K28" s="91">
        <f>'Model (Matrix calcs)'!CH452</f>
        <v>19.138253709614897</v>
      </c>
      <c r="L28" s="91">
        <f>'Model (Matrix calcs)'!CH453</f>
        <v>22.321051629120173</v>
      </c>
      <c r="M28" s="91">
        <f>'Model (Matrix calcs)'!CH454</f>
        <v>25.770204984224261</v>
      </c>
      <c r="N28" s="91">
        <f>'Model (Matrix calcs)'!CH455</f>
        <v>28.969028298322396</v>
      </c>
      <c r="O28" s="91">
        <f>'Model (Matrix calcs)'!CH456</f>
        <v>32.016454305947661</v>
      </c>
      <c r="P28" s="91">
        <f>'Model (Matrix calcs)'!CH457</f>
        <v>34.967031727128088</v>
      </c>
      <c r="Q28" s="91">
        <f>'Model (Matrix calcs)'!CH458</f>
        <v>37.854628158552387</v>
      </c>
      <c r="R28" s="91">
        <f>'Model (Matrix calcs)'!CH459</f>
        <v>40.701898348025118</v>
      </c>
      <c r="S28" s="91">
        <f>'Model (Matrix calcs)'!CH460</f>
        <v>43.524488901973562</v>
      </c>
      <c r="T28" s="91">
        <f>'Model (Matrix calcs)'!CH461</f>
        <v>46.333239956189246</v>
      </c>
      <c r="U28" s="91">
        <f>'Model (Matrix calcs)'!CH462</f>
        <v>49.135550191860951</v>
      </c>
      <c r="V28" s="91">
        <f>'Model (Matrix calcs)'!CH463</f>
        <v>51.936325169104279</v>
      </c>
    </row>
    <row r="29" spans="1:22" x14ac:dyDescent="0.25">
      <c r="A29" s="82"/>
      <c r="B29" s="64" t="s">
        <v>130</v>
      </c>
      <c r="C29" s="95"/>
      <c r="D29" s="91"/>
      <c r="E29" s="91"/>
      <c r="F29" s="91"/>
      <c r="G29" s="91"/>
      <c r="H29" s="91"/>
      <c r="I29" s="91"/>
      <c r="J29" s="91"/>
      <c r="K29" s="91"/>
      <c r="L29" s="91"/>
      <c r="M29" s="91"/>
      <c r="N29" s="91"/>
      <c r="O29" s="91"/>
      <c r="P29" s="91"/>
      <c r="Q29" s="91"/>
      <c r="R29" s="91"/>
      <c r="S29" s="91"/>
      <c r="T29" s="64"/>
      <c r="V29" s="64"/>
    </row>
    <row r="30" spans="1:22" x14ac:dyDescent="0.25">
      <c r="A30" s="82"/>
      <c r="B30" s="63" t="s">
        <v>143</v>
      </c>
      <c r="C30" s="95"/>
      <c r="D30" s="91">
        <f>'Model (Matrix calcs)'!CI445</f>
        <v>39.827492363014017</v>
      </c>
      <c r="E30" s="91">
        <f>'Model (Matrix calcs)'!CI446</f>
        <v>50.036609081156818</v>
      </c>
      <c r="F30" s="91">
        <f>'Model (Matrix calcs)'!CI447</f>
        <v>59.895884361779963</v>
      </c>
      <c r="G30" s="91">
        <f>'Model (Matrix calcs)'!CI448</f>
        <v>60.796365104245396</v>
      </c>
      <c r="H30" s="91">
        <f>'Model (Matrix calcs)'!CI449</f>
        <v>62.660081638647696</v>
      </c>
      <c r="I30" s="91">
        <f>'Model (Matrix calcs)'!CI450</f>
        <v>61.657240235313466</v>
      </c>
      <c r="J30" s="91">
        <f>'Model (Matrix calcs)'!CI451</f>
        <v>58.756143353559047</v>
      </c>
      <c r="K30" s="91">
        <f>'Model (Matrix calcs)'!CI452</f>
        <v>55.073302748599936</v>
      </c>
      <c r="L30" s="91">
        <f>'Model (Matrix calcs)'!CI453</f>
        <v>51.470743471653847</v>
      </c>
      <c r="M30" s="91">
        <f>'Model (Matrix calcs)'!CI454</f>
        <v>46.322308530198683</v>
      </c>
      <c r="N30" s="91">
        <f>'Model (Matrix calcs)'!CI455</f>
        <v>43.217825960400695</v>
      </c>
      <c r="O30" s="91">
        <f>'Model (Matrix calcs)'!CI456</f>
        <v>41.26159653880984</v>
      </c>
      <c r="P30" s="91">
        <f>'Model (Matrix calcs)'!CI457</f>
        <v>40.002153800299091</v>
      </c>
      <c r="Q30" s="91">
        <f>'Model (Matrix calcs)'!CI458</f>
        <v>39.184944273354468</v>
      </c>
      <c r="R30" s="91">
        <f>'Model (Matrix calcs)'!CI459</f>
        <v>38.654277533142434</v>
      </c>
      <c r="S30" s="91">
        <f>'Model (Matrix calcs)'!CI460</f>
        <v>38.310493403840709</v>
      </c>
      <c r="T30" s="91">
        <f>'Model (Matrix calcs)'!CI461</f>
        <v>38.088538335307994</v>
      </c>
      <c r="U30" s="91">
        <f>'Model (Matrix calcs)'!CI462</f>
        <v>37.945737653700498</v>
      </c>
      <c r="V30" s="91">
        <f>'Model (Matrix calcs)'!CI463</f>
        <v>37.854150259299978</v>
      </c>
    </row>
    <row r="31" spans="1:22" x14ac:dyDescent="0.25">
      <c r="A31" s="82"/>
      <c r="B31" s="63" t="s">
        <v>731</v>
      </c>
      <c r="C31" s="95"/>
      <c r="D31" s="91">
        <f>'Model (Matrix calcs)'!CJ445</f>
        <v>0</v>
      </c>
      <c r="E31" s="91">
        <f>'Model (Matrix calcs)'!CJ446</f>
        <v>21.292561849545621</v>
      </c>
      <c r="F31" s="91">
        <f>'Model (Matrix calcs)'!CJ447</f>
        <v>38.170069185044589</v>
      </c>
      <c r="G31" s="91">
        <f>'Model (Matrix calcs)'!CJ448</f>
        <v>45.857180867742784</v>
      </c>
      <c r="H31" s="91">
        <f>'Model (Matrix calcs)'!CJ449</f>
        <v>47.225046747853575</v>
      </c>
      <c r="I31" s="91">
        <f>'Model (Matrix calcs)'!CJ450</f>
        <v>46.4003318152212</v>
      </c>
      <c r="J31" s="91">
        <f>'Model (Matrix calcs)'!CJ451</f>
        <v>44.760118587686598</v>
      </c>
      <c r="K31" s="91">
        <f>'Model (Matrix calcs)'!CJ452</f>
        <v>42.740157409756634</v>
      </c>
      <c r="L31" s="91">
        <f>'Model (Matrix calcs)'!CJ453</f>
        <v>40.519820114311891</v>
      </c>
      <c r="M31" s="91">
        <f>'Model (Matrix calcs)'!CJ454</f>
        <v>36.64465775839269</v>
      </c>
      <c r="N31" s="91">
        <f>'Model (Matrix calcs)'!CJ455</f>
        <v>33.780513105186827</v>
      </c>
      <c r="O31" s="91">
        <f>'Model (Matrix calcs)'!CJ456</f>
        <v>31.588581583097159</v>
      </c>
      <c r="P31" s="91">
        <f>'Model (Matrix calcs)'!CJ457</f>
        <v>29.903175771970311</v>
      </c>
      <c r="Q31" s="91">
        <f>'Model (Matrix calcs)'!CJ458</f>
        <v>28.618928006371942</v>
      </c>
      <c r="R31" s="91">
        <f>'Model (Matrix calcs)'!CJ459</f>
        <v>27.653806610215089</v>
      </c>
      <c r="S31" s="91">
        <f>'Model (Matrix calcs)'!CJ460</f>
        <v>26.938967493339472</v>
      </c>
      <c r="T31" s="91">
        <f>'Model (Matrix calcs)'!CJ461</f>
        <v>26.416637120819022</v>
      </c>
      <c r="U31" s="91">
        <f>'Model (Matrix calcs)'!CJ462</f>
        <v>26.039552378152838</v>
      </c>
      <c r="V31" s="91">
        <f>'Model (Matrix calcs)'!CJ463</f>
        <v>25.770175849974532</v>
      </c>
    </row>
    <row r="32" spans="1:22" x14ac:dyDescent="0.25">
      <c r="A32" s="82"/>
      <c r="B32" s="63" t="s">
        <v>144</v>
      </c>
      <c r="C32" s="95"/>
      <c r="D32" s="91">
        <f>'Model (Matrix calcs)'!CK445</f>
        <v>0</v>
      </c>
      <c r="E32" s="91">
        <f>'Model (Matrix calcs)'!CK446</f>
        <v>0.20022894039360703</v>
      </c>
      <c r="F32" s="91">
        <f>'Model (Matrix calcs)'!CK447</f>
        <v>1.0102888150766922</v>
      </c>
      <c r="G32" s="91">
        <f>'Model (Matrix calcs)'!CK448</f>
        <v>2.21045539415337</v>
      </c>
      <c r="H32" s="91">
        <f>'Model (Matrix calcs)'!CK449</f>
        <v>3.5625223557488837</v>
      </c>
      <c r="I32" s="91">
        <f>'Model (Matrix calcs)'!CK450</f>
        <v>4.9748634032639147</v>
      </c>
      <c r="J32" s="91">
        <f>'Model (Matrix calcs)'!CK451</f>
        <v>6.3667396750947374</v>
      </c>
      <c r="K32" s="91">
        <f>'Model (Matrix calcs)'!CK452</f>
        <v>7.6877589194082727</v>
      </c>
      <c r="L32" s="91">
        <f>'Model (Matrix calcs)'!CK453</f>
        <v>8.9122341672536685</v>
      </c>
      <c r="M32" s="91">
        <f>'Model (Matrix calcs)'!CK454</f>
        <v>9.6730310672660043</v>
      </c>
      <c r="N32" s="91">
        <f>'Model (Matrix calcs)'!CK455</f>
        <v>10.551185588405247</v>
      </c>
      <c r="O32" s="91">
        <f>'Model (Matrix calcs)'!CK456</f>
        <v>11.416722946919661</v>
      </c>
      <c r="P32" s="91">
        <f>'Model (Matrix calcs)'!CK457</f>
        <v>12.233524046439587</v>
      </c>
      <c r="Q32" s="91">
        <f>'Model (Matrix calcs)'!CK458</f>
        <v>12.997705778334607</v>
      </c>
      <c r="R32" s="91">
        <f>'Model (Matrix calcs)'!CK459</f>
        <v>13.715126263487385</v>
      </c>
      <c r="S32" s="91">
        <f>'Model (Matrix calcs)'!CK460</f>
        <v>14.393450467107007</v>
      </c>
      <c r="T32" s="91">
        <f>'Model (Matrix calcs)'!CK461</f>
        <v>15.039596298394088</v>
      </c>
      <c r="U32" s="91">
        <f>'Model (Matrix calcs)'!CK462</f>
        <v>15.659124400119401</v>
      </c>
      <c r="V32" s="91">
        <f>'Model (Matrix calcs)'!CK463</f>
        <v>16.25628696471637</v>
      </c>
    </row>
    <row r="33" spans="1:22" x14ac:dyDescent="0.25">
      <c r="A33" s="82"/>
      <c r="B33" s="63" t="s">
        <v>145</v>
      </c>
      <c r="C33" s="95"/>
      <c r="D33" s="91">
        <f>'Model (Matrix calcs)'!CL445</f>
        <v>0</v>
      </c>
      <c r="E33" s="91">
        <f>'Model (Matrix calcs)'!CL446</f>
        <v>0</v>
      </c>
      <c r="F33" s="91">
        <f>'Model (Matrix calcs)'!CL447</f>
        <v>8.8534754225347734E-2</v>
      </c>
      <c r="G33" s="91">
        <f>'Model (Matrix calcs)'!CL448</f>
        <v>0.28954691176230651</v>
      </c>
      <c r="H33" s="91">
        <f>'Model (Matrix calcs)'!CL449</f>
        <v>0.60431016626672129</v>
      </c>
      <c r="I33" s="91">
        <f>'Model (Matrix calcs)'!CL450</f>
        <v>0.99350525194606631</v>
      </c>
      <c r="J33" s="91">
        <f>'Model (Matrix calcs)'!CL451</f>
        <v>1.4282518643969091</v>
      </c>
      <c r="K33" s="91">
        <f>'Model (Matrix calcs)'!CL452</f>
        <v>1.8844871829922603</v>
      </c>
      <c r="L33" s="91">
        <f>'Model (Matrix calcs)'!CL453</f>
        <v>2.3452269160478583</v>
      </c>
      <c r="M33" s="91">
        <f>'Model (Matrix calcs)'!CL454</f>
        <v>2.7051605693301126</v>
      </c>
      <c r="N33" s="91">
        <f>'Model (Matrix calcs)'!CL455</f>
        <v>3.1221937950464742</v>
      </c>
      <c r="O33" s="91">
        <f>'Model (Matrix calcs)'!CL456</f>
        <v>3.5421181310280025</v>
      </c>
      <c r="P33" s="91">
        <f>'Model (Matrix calcs)'!CL457</f>
        <v>3.9511838388534537</v>
      </c>
      <c r="Q33" s="91">
        <f>'Model (Matrix calcs)'!CL458</f>
        <v>4.3482400473483178</v>
      </c>
      <c r="R33" s="91">
        <f>'Model (Matrix calcs)'!CL459</f>
        <v>4.7355149735315045</v>
      </c>
      <c r="S33" s="91">
        <f>'Model (Matrix calcs)'!CL460</f>
        <v>5.1156936304228653</v>
      </c>
      <c r="T33" s="91">
        <f>'Model (Matrix calcs)'!CL461</f>
        <v>5.4910870673369647</v>
      </c>
      <c r="U33" s="91">
        <f>'Model (Matrix calcs)'!CL462</f>
        <v>5.8634760327960462</v>
      </c>
      <c r="V33" s="91">
        <f>'Model (Matrix calcs)'!CL463</f>
        <v>6.2341569737437892</v>
      </c>
    </row>
    <row r="34" spans="1:22" x14ac:dyDescent="0.25">
      <c r="A34" s="82"/>
      <c r="B34" s="63" t="s">
        <v>146</v>
      </c>
      <c r="C34" s="95"/>
      <c r="D34" s="91">
        <f>SUM(D30:D33)</f>
        <v>39.827492363014017</v>
      </c>
      <c r="E34" s="91">
        <f t="shared" ref="E34:V34" si="4">SUM(E30:E33)</f>
        <v>71.529399871096047</v>
      </c>
      <c r="F34" s="91">
        <f t="shared" si="4"/>
        <v>99.164777116126587</v>
      </c>
      <c r="G34" s="91">
        <f t="shared" si="4"/>
        <v>109.15354827790385</v>
      </c>
      <c r="H34" s="91">
        <f t="shared" si="4"/>
        <v>114.05196090851688</v>
      </c>
      <c r="I34" s="91">
        <f t="shared" si="4"/>
        <v>114.02594070574465</v>
      </c>
      <c r="J34" s="91">
        <f t="shared" si="4"/>
        <v>111.31125348073729</v>
      </c>
      <c r="K34" s="91">
        <f t="shared" si="4"/>
        <v>107.3857062607571</v>
      </c>
      <c r="L34" s="91">
        <f t="shared" si="4"/>
        <v>103.24802466926727</v>
      </c>
      <c r="M34" s="91">
        <f t="shared" si="4"/>
        <v>95.345157925187507</v>
      </c>
      <c r="N34" s="91">
        <f t="shared" si="4"/>
        <v>90.671718449039233</v>
      </c>
      <c r="O34" s="91">
        <f t="shared" si="4"/>
        <v>87.80901919985466</v>
      </c>
      <c r="P34" s="91">
        <f t="shared" si="4"/>
        <v>86.090037457562445</v>
      </c>
      <c r="Q34" s="91">
        <f t="shared" si="4"/>
        <v>85.149818105409324</v>
      </c>
      <c r="R34" s="91">
        <f t="shared" si="4"/>
        <v>84.758725380376404</v>
      </c>
      <c r="S34" s="91">
        <f t="shared" si="4"/>
        <v>84.758604994710055</v>
      </c>
      <c r="T34" s="91">
        <f t="shared" si="4"/>
        <v>85.035858821858071</v>
      </c>
      <c r="U34" s="91">
        <f t="shared" si="4"/>
        <v>85.507890464768778</v>
      </c>
      <c r="V34" s="91">
        <f t="shared" si="4"/>
        <v>86.114770047734666</v>
      </c>
    </row>
    <row r="35" spans="1:22" x14ac:dyDescent="0.25">
      <c r="A35" s="82"/>
      <c r="B35" s="98" t="s">
        <v>131</v>
      </c>
      <c r="C35" s="95"/>
      <c r="D35" s="91">
        <f>SUM(D25:D28)+D34</f>
        <v>906.22832093736668</v>
      </c>
      <c r="E35" s="91">
        <f t="shared" ref="E35:I35" si="5">SUM(E25:E28)+E34</f>
        <v>851.06811612506226</v>
      </c>
      <c r="F35" s="91">
        <f t="shared" si="5"/>
        <v>800.95154087824858</v>
      </c>
      <c r="G35" s="91">
        <f t="shared" si="5"/>
        <v>760.04243174256624</v>
      </c>
      <c r="H35" s="91">
        <f t="shared" si="5"/>
        <v>722.12375656243307</v>
      </c>
      <c r="I35" s="91">
        <f t="shared" si="5"/>
        <v>686.65373259642763</v>
      </c>
      <c r="J35" s="91">
        <f>SUM(J25:J28)+J34</f>
        <v>654.70674612004245</v>
      </c>
      <c r="K35" s="91">
        <f t="shared" ref="K35:V35" si="6">SUM(K25:K28)+K34</f>
        <v>630.46314387901202</v>
      </c>
      <c r="L35" s="91">
        <f t="shared" si="6"/>
        <v>614.12936615091905</v>
      </c>
      <c r="M35" s="91">
        <f t="shared" si="6"/>
        <v>601.2631363318726</v>
      </c>
      <c r="N35" s="91">
        <f t="shared" si="6"/>
        <v>595.77065808831208</v>
      </c>
      <c r="O35" s="91">
        <f t="shared" si="6"/>
        <v>594.95967289769521</v>
      </c>
      <c r="P35" s="91">
        <f t="shared" si="6"/>
        <v>597.18948387160083</v>
      </c>
      <c r="Q35" s="91">
        <f t="shared" si="6"/>
        <v>601.40835764493681</v>
      </c>
      <c r="R35" s="91">
        <f t="shared" si="6"/>
        <v>606.92372893997788</v>
      </c>
      <c r="S35" s="91">
        <f t="shared" si="6"/>
        <v>613.27413656946169</v>
      </c>
      <c r="T35" s="91">
        <f t="shared" si="6"/>
        <v>620.15103681764788</v>
      </c>
      <c r="U35" s="91">
        <f t="shared" si="6"/>
        <v>627.34827229744519</v>
      </c>
      <c r="V35" s="91">
        <f t="shared" si="6"/>
        <v>634.72845935126884</v>
      </c>
    </row>
    <row r="36" spans="1:22" x14ac:dyDescent="0.25">
      <c r="A36" s="86" t="s">
        <v>315</v>
      </c>
      <c r="B36" s="64"/>
      <c r="C36" s="90"/>
      <c r="D36" s="91"/>
      <c r="E36" s="91"/>
      <c r="F36" s="91"/>
      <c r="G36" s="91"/>
      <c r="H36" s="91"/>
      <c r="I36" s="91"/>
      <c r="J36" s="91"/>
      <c r="K36" s="91"/>
      <c r="L36" s="91"/>
      <c r="M36" s="91"/>
      <c r="N36" s="91"/>
      <c r="O36" s="91"/>
      <c r="P36" s="91"/>
      <c r="Q36" s="91"/>
      <c r="R36" s="91"/>
      <c r="S36" s="91"/>
      <c r="T36" s="64"/>
      <c r="V36" s="64"/>
    </row>
    <row r="37" spans="1:22" x14ac:dyDescent="0.25">
      <c r="A37" s="82"/>
      <c r="B37" s="64" t="s">
        <v>124</v>
      </c>
      <c r="C37" s="90">
        <f>'Model (Matrix calcs)'!BC444</f>
        <v>20197.694858662428</v>
      </c>
      <c r="D37" s="91">
        <f>'Model (Matrix calcs)'!BC445</f>
        <v>16460.764033938369</v>
      </c>
      <c r="E37" s="91">
        <f>'Model (Matrix calcs)'!BC446</f>
        <v>13459.558197925615</v>
      </c>
      <c r="F37" s="91">
        <f>'Model (Matrix calcs)'!BC447</f>
        <v>6296.2601741540175</v>
      </c>
      <c r="G37" s="91">
        <f>'Model (Matrix calcs)'!BC448</f>
        <v>5030.2015485239654</v>
      </c>
      <c r="H37" s="91">
        <f>'Model (Matrix calcs)'!BC449</f>
        <v>4437.7809743848038</v>
      </c>
      <c r="I37" s="91">
        <f>'Model (Matrix calcs)'!BC450</f>
        <v>4011.2223431467801</v>
      </c>
      <c r="J37" s="91">
        <f>'Model (Matrix calcs)'!BC451</f>
        <v>3668.2893297704491</v>
      </c>
      <c r="K37" s="91">
        <f>'Model (Matrix calcs)'!BC452</f>
        <v>3413.1518110233487</v>
      </c>
      <c r="L37" s="91">
        <f>'Model (Matrix calcs)'!BC453</f>
        <v>3233.2813473185138</v>
      </c>
      <c r="M37" s="91">
        <f>'Model (Matrix calcs)'!BC454</f>
        <v>3110.6431882597944</v>
      </c>
      <c r="N37" s="91">
        <f>'Model (Matrix calcs)'!BC455</f>
        <v>3028.8158355082246</v>
      </c>
      <c r="O37" s="91">
        <f>'Model (Matrix calcs)'!BC456</f>
        <v>2975.0085736432011</v>
      </c>
      <c r="P37" s="91">
        <f>'Model (Matrix calcs)'!BC457</f>
        <v>2939.982781240064</v>
      </c>
      <c r="Q37" s="91">
        <f>'Model (Matrix calcs)'!BC458</f>
        <v>2917.3457782369592</v>
      </c>
      <c r="R37" s="91">
        <f>'Model (Matrix calcs)'!BC459</f>
        <v>2902.7909282238247</v>
      </c>
      <c r="S37" s="91">
        <f>'Model (Matrix calcs)'!BC460</f>
        <v>2893.4677067220587</v>
      </c>
      <c r="T37" s="91">
        <f>'Model (Matrix calcs)'!BC461</f>
        <v>2887.5120544614201</v>
      </c>
      <c r="U37" s="91">
        <f>'Model (Matrix calcs)'!BC462</f>
        <v>2883.7153044945262</v>
      </c>
      <c r="V37" s="91">
        <f>'Model (Matrix calcs)'!BC463</f>
        <v>2881.2984922299543</v>
      </c>
    </row>
    <row r="38" spans="1:22" x14ac:dyDescent="0.25">
      <c r="A38" s="82"/>
      <c r="B38" s="64" t="s">
        <v>630</v>
      </c>
      <c r="C38" s="90">
        <f>'Model (Matrix calcs)'!BD444</f>
        <v>3982.8067030577031</v>
      </c>
      <c r="D38" s="91">
        <f>'Model (Matrix calcs)'!BD445</f>
        <v>6470.8714325568144</v>
      </c>
      <c r="E38" s="91">
        <f>'Model (Matrix calcs)'!BD446</f>
        <v>8074.2508051884597</v>
      </c>
      <c r="F38" s="91">
        <f>'Model (Matrix calcs)'!BD447</f>
        <v>11500.958679440218</v>
      </c>
      <c r="G38" s="91">
        <f>'Model (Matrix calcs)'!BD448</f>
        <v>8143.6687733220115</v>
      </c>
      <c r="H38" s="91">
        <f>'Model (Matrix calcs)'!BD449</f>
        <v>6720.1990820195369</v>
      </c>
      <c r="I38" s="91">
        <f>'Model (Matrix calcs)'!BD450</f>
        <v>5995.2728793697515</v>
      </c>
      <c r="J38" s="91">
        <f>'Model (Matrix calcs)'!BD451</f>
        <v>5460.867196625888</v>
      </c>
      <c r="K38" s="91">
        <f>'Model (Matrix calcs)'!BD452</f>
        <v>5041.0605094016919</v>
      </c>
      <c r="L38" s="91">
        <f>'Model (Matrix calcs)'!BD453</f>
        <v>4728.6648196601827</v>
      </c>
      <c r="M38" s="91">
        <f>'Model (Matrix calcs)'!BD454</f>
        <v>4507.5353229543462</v>
      </c>
      <c r="N38" s="91">
        <f>'Model (Matrix calcs)'!BD455</f>
        <v>4356.281069896404</v>
      </c>
      <c r="O38" s="91">
        <f>'Model (Matrix calcs)'!BD456</f>
        <v>4255.1587549579945</v>
      </c>
      <c r="P38" s="91">
        <f>'Model (Matrix calcs)'!BD457</f>
        <v>4188.590402197211</v>
      </c>
      <c r="Q38" s="91">
        <f>'Model (Matrix calcs)'!BD458</f>
        <v>4145.2346955915073</v>
      </c>
      <c r="R38" s="91">
        <f>'Model (Matrix calcs)'!BD459</f>
        <v>4117.2086769590796</v>
      </c>
      <c r="S38" s="91">
        <f>'Model (Matrix calcs)'!BD460</f>
        <v>4099.1888068701674</v>
      </c>
      <c r="T38" s="91">
        <f>'Model (Matrix calcs)'!BD461</f>
        <v>4087.6471394192909</v>
      </c>
      <c r="U38" s="91">
        <f>'Model (Matrix calcs)'!BD462</f>
        <v>4080.2753717471564</v>
      </c>
      <c r="V38" s="91">
        <f>'Model (Matrix calcs)'!BD463</f>
        <v>4075.5765499454214</v>
      </c>
    </row>
    <row r="39" spans="1:22" x14ac:dyDescent="0.25">
      <c r="A39" s="82"/>
      <c r="B39" s="64" t="s">
        <v>147</v>
      </c>
      <c r="C39" s="90">
        <f>'Model (Matrix calcs)'!BE444</f>
        <v>2500.913997286465</v>
      </c>
      <c r="D39" s="91">
        <f>'Model (Matrix calcs)'!BE445</f>
        <v>3089.919270426833</v>
      </c>
      <c r="E39" s="91">
        <f>'Model (Matrix calcs)'!BE446</f>
        <v>2485.681316200707</v>
      </c>
      <c r="F39" s="91">
        <f>'Model (Matrix calcs)'!BE447</f>
        <v>4627.8868729191336</v>
      </c>
      <c r="G39" s="91">
        <f>'Model (Matrix calcs)'!BE448</f>
        <v>6105.5783944797968</v>
      </c>
      <c r="H39" s="91">
        <f>'Model (Matrix calcs)'!BE449</f>
        <v>4786.2431978776267</v>
      </c>
      <c r="I39" s="91">
        <f>'Model (Matrix calcs)'!BE450</f>
        <v>4104.608462385293</v>
      </c>
      <c r="J39" s="91">
        <f>'Model (Matrix calcs)'!BE451</f>
        <v>3717.0707237232459</v>
      </c>
      <c r="K39" s="91">
        <f>'Model (Matrix calcs)'!BE452</f>
        <v>3424.4752576891055</v>
      </c>
      <c r="L39" s="91">
        <f>'Model (Matrix calcs)'!BE453</f>
        <v>3259.480146654374</v>
      </c>
      <c r="M39" s="91">
        <f>'Model (Matrix calcs)'!BE454</f>
        <v>3055.6661842972071</v>
      </c>
      <c r="N39" s="91">
        <f>'Model (Matrix calcs)'!BE455</f>
        <v>2922.9069588467314</v>
      </c>
      <c r="O39" s="91">
        <f>'Model (Matrix calcs)'!BE456</f>
        <v>2835.7412317439976</v>
      </c>
      <c r="P39" s="91">
        <f>'Model (Matrix calcs)'!BE457</f>
        <v>2779.6747622461717</v>
      </c>
      <c r="Q39" s="91">
        <f>'Model (Matrix calcs)'!BE458</f>
        <v>2744.5498222753636</v>
      </c>
      <c r="R39" s="91">
        <f>'Model (Matrix calcs)'!BE459</f>
        <v>2723.3696028187342</v>
      </c>
      <c r="S39" s="91">
        <f>'Model (Matrix calcs)'!BE460</f>
        <v>2711.3720973639261</v>
      </c>
      <c r="T39" s="91">
        <f>'Model (Matrix calcs)'!BE461</f>
        <v>2705.355294149444</v>
      </c>
      <c r="U39" s="91">
        <f>'Model (Matrix calcs)'!BE462</f>
        <v>2703.1886204507782</v>
      </c>
      <c r="V39" s="91">
        <f>'Model (Matrix calcs)'!BE463</f>
        <v>2703.466924647837</v>
      </c>
    </row>
    <row r="40" spans="1:22" x14ac:dyDescent="0.25">
      <c r="A40" s="82"/>
      <c r="B40" s="63" t="s">
        <v>148</v>
      </c>
      <c r="C40" s="90">
        <f>'Model (Matrix calcs)'!BF444</f>
        <v>0</v>
      </c>
      <c r="D40" s="91">
        <f>'Model (Matrix calcs)'!BF445</f>
        <v>2051.9743897616877</v>
      </c>
      <c r="E40" s="91">
        <f>'Model (Matrix calcs)'!BF446</f>
        <v>4449.438132718923</v>
      </c>
      <c r="F40" s="91">
        <f>'Model (Matrix calcs)'!BF447</f>
        <v>6190.1488539882885</v>
      </c>
      <c r="G40" s="91">
        <f>'Model (Matrix calcs)'!BF448</f>
        <v>9571.6342470012132</v>
      </c>
      <c r="H40" s="91">
        <f>'Model (Matrix calcs)'!BF449</f>
        <v>13938.494610123866</v>
      </c>
      <c r="I40" s="91">
        <f>'Model (Matrix calcs)'!BF450</f>
        <v>16929.633341922548</v>
      </c>
      <c r="J40" s="91">
        <f>'Model (Matrix calcs)'!BF451</f>
        <v>19160.652424247928</v>
      </c>
      <c r="K40" s="91">
        <f>'Model (Matrix calcs)'!BF452</f>
        <v>20923.895020052598</v>
      </c>
      <c r="L40" s="91">
        <f>'Model (Matrix calcs)'!BF453</f>
        <v>22328.669975499015</v>
      </c>
      <c r="M40" s="91">
        <f>'Model (Matrix calcs)'!BF454</f>
        <v>23503.742023551113</v>
      </c>
      <c r="N40" s="91">
        <f>'Model (Matrix calcs)'!BF455</f>
        <v>24432.684502029242</v>
      </c>
      <c r="O40" s="91">
        <f>'Model (Matrix calcs)'!BF456</f>
        <v>25190.323902962595</v>
      </c>
      <c r="P40" s="91">
        <f>'Model (Matrix calcs)'!BF457</f>
        <v>25825.571674786897</v>
      </c>
      <c r="Q40" s="91">
        <f>'Model (Matrix calcs)'!BF458</f>
        <v>26372.162643564472</v>
      </c>
      <c r="R40" s="91">
        <f>'Model (Matrix calcs)'!BF459</f>
        <v>26853.232138538642</v>
      </c>
      <c r="S40" s="91">
        <f>'Model (Matrix calcs)'!BF460</f>
        <v>27284.621215939729</v>
      </c>
      <c r="T40" s="91">
        <f>'Model (Matrix calcs)'!BF461</f>
        <v>27677.200078499074</v>
      </c>
      <c r="U40" s="91">
        <f>'Model (Matrix calcs)'!BF462</f>
        <v>28038.481811976049</v>
      </c>
      <c r="V40" s="91">
        <f>'Model (Matrix calcs)'!BF463</f>
        <v>28373.726909512898</v>
      </c>
    </row>
    <row r="41" spans="1:22" x14ac:dyDescent="0.25">
      <c r="A41" s="82"/>
      <c r="B41" s="64" t="s">
        <v>133</v>
      </c>
      <c r="C41" s="90">
        <f>'Model (Matrix calcs)'!BG444</f>
        <v>0</v>
      </c>
      <c r="D41" s="91">
        <f>'Model (Matrix calcs)'!BG445</f>
        <v>47.753212063060936</v>
      </c>
      <c r="E41" s="91">
        <f>'Model (Matrix calcs)'!BG446</f>
        <v>241.06460795415808</v>
      </c>
      <c r="F41" s="91">
        <f>'Model (Matrix calcs)'!BG447</f>
        <v>591.92359014245073</v>
      </c>
      <c r="G41" s="91">
        <f>'Model (Matrix calcs)'!BG448</f>
        <v>1042.7108028531088</v>
      </c>
      <c r="H41" s="91">
        <f>'Model (Matrix calcs)'!BG449</f>
        <v>1635.0712853489019</v>
      </c>
      <c r="I41" s="91">
        <f>'Model (Matrix calcs)'!BG450</f>
        <v>2297.6131278102375</v>
      </c>
      <c r="J41" s="91">
        <f>'Model (Matrix calcs)'!BG451</f>
        <v>2960.9625607337607</v>
      </c>
      <c r="K41" s="91">
        <f>'Model (Matrix calcs)'!BG452</f>
        <v>3602.555628728695</v>
      </c>
      <c r="L41" s="91">
        <f>'Model (Matrix calcs)'!BG453</f>
        <v>4296.9157271310669</v>
      </c>
      <c r="M41" s="91">
        <f>'Model (Matrix calcs)'!BG454</f>
        <v>4905.0060658206894</v>
      </c>
      <c r="N41" s="91">
        <f>'Model (Matrix calcs)'!BG455</f>
        <v>5455.2154841913471</v>
      </c>
      <c r="O41" s="91">
        <f>'Model (Matrix calcs)'!BG456</f>
        <v>5956.972162404224</v>
      </c>
      <c r="P41" s="91">
        <f>'Model (Matrix calcs)'!BG457</f>
        <v>6416.4857821819996</v>
      </c>
      <c r="Q41" s="91">
        <f>'Model (Matrix calcs)'!BG458</f>
        <v>6838.5292781595899</v>
      </c>
      <c r="R41" s="91">
        <f>'Model (Matrix calcs)'!BG459</f>
        <v>7227.1230228576624</v>
      </c>
      <c r="S41" s="91">
        <f>'Model (Matrix calcs)'!BG460</f>
        <v>7585.7569072442584</v>
      </c>
      <c r="T41" s="91">
        <f>'Model (Matrix calcs)'!BG461</f>
        <v>7917.4799688708963</v>
      </c>
      <c r="U41" s="91">
        <f>'Model (Matrix calcs)'!BG462</f>
        <v>8224.9569236597381</v>
      </c>
      <c r="V41" s="91">
        <f>'Model (Matrix calcs)'!BG463</f>
        <v>8510.5175128929332</v>
      </c>
    </row>
    <row r="42" spans="1:22" x14ac:dyDescent="0.25">
      <c r="A42" s="82"/>
      <c r="B42" s="64" t="s">
        <v>570</v>
      </c>
      <c r="D42" s="91"/>
      <c r="E42" s="91"/>
      <c r="F42" s="91"/>
      <c r="G42" s="91"/>
      <c r="H42" s="91"/>
      <c r="I42" s="91"/>
      <c r="J42" s="91"/>
      <c r="K42" s="91"/>
      <c r="L42" s="91"/>
      <c r="M42" s="91"/>
      <c r="N42" s="91"/>
      <c r="O42" s="91"/>
      <c r="P42" s="91"/>
      <c r="Q42" s="91"/>
      <c r="R42" s="91"/>
      <c r="S42" s="91"/>
      <c r="T42" s="64"/>
      <c r="V42" s="64"/>
    </row>
    <row r="43" spans="1:22" x14ac:dyDescent="0.25">
      <c r="A43" s="82"/>
      <c r="B43" s="63" t="s">
        <v>134</v>
      </c>
      <c r="C43" s="90">
        <f>'Model (Matrix calcs)'!BQ444</f>
        <v>248.84425254330867</v>
      </c>
      <c r="D43" s="91">
        <f>'Model (Matrix calcs)'!BQ445</f>
        <v>287.90776975410336</v>
      </c>
      <c r="E43" s="91">
        <f>'Model (Matrix calcs)'!BQ446</f>
        <v>442.64893402912179</v>
      </c>
      <c r="F43" s="91">
        <f>'Model (Matrix calcs)'!BQ447</f>
        <v>570.3272853261708</v>
      </c>
      <c r="G43" s="91">
        <f>'Model (Matrix calcs)'!BQ448</f>
        <v>799.3875825363483</v>
      </c>
      <c r="H43" s="91">
        <f>'Model (Matrix calcs)'!BQ449</f>
        <v>651.38838467372022</v>
      </c>
      <c r="I43" s="91">
        <f>'Model (Matrix calcs)'!BQ450</f>
        <v>535.74452497386756</v>
      </c>
      <c r="J43" s="91">
        <f>'Model (Matrix calcs)'!BQ451</f>
        <v>468.16065337648263</v>
      </c>
      <c r="K43" s="91">
        <f>'Model (Matrix calcs)'!BQ452</f>
        <v>422.15106892237316</v>
      </c>
      <c r="L43" s="91">
        <f>'Model (Matrix calcs)'!BQ453</f>
        <v>357.68986567706094</v>
      </c>
      <c r="M43" s="91">
        <f>'Model (Matrix calcs)'!BQ454</f>
        <v>329.96691761631325</v>
      </c>
      <c r="N43" s="91">
        <f>'Model (Matrix calcs)'!BQ455</f>
        <v>312.94110093016093</v>
      </c>
      <c r="O43" s="91">
        <f>'Model (Matrix calcs)'!BQ456</f>
        <v>301.57632737552899</v>
      </c>
      <c r="P43" s="91">
        <f>'Model (Matrix calcs)'!BQ457</f>
        <v>293.98092027444739</v>
      </c>
      <c r="Q43" s="91">
        <f>'Model (Matrix calcs)'!BQ458</f>
        <v>288.96435491655427</v>
      </c>
      <c r="R43" s="91">
        <f>'Model (Matrix calcs)'!BQ459</f>
        <v>285.68697221524405</v>
      </c>
      <c r="S43" s="91">
        <f>'Model (Matrix calcs)'!BQ460</f>
        <v>283.56338889688993</v>
      </c>
      <c r="T43" s="91">
        <f>'Model (Matrix calcs)'!BQ461</f>
        <v>282.19562120105047</v>
      </c>
      <c r="U43" s="91">
        <f>'Model (Matrix calcs)'!BQ462</f>
        <v>281.31846500822098</v>
      </c>
      <c r="V43" s="91">
        <f>'Model (Matrix calcs)'!BQ463</f>
        <v>280.75770225883582</v>
      </c>
    </row>
    <row r="44" spans="1:22" x14ac:dyDescent="0.25">
      <c r="A44" s="82"/>
      <c r="B44" s="63" t="s">
        <v>732</v>
      </c>
      <c r="C44" s="95"/>
      <c r="D44" s="91">
        <f>'Model (Matrix calcs)'!BR445</f>
        <v>0</v>
      </c>
      <c r="E44" s="91">
        <f>'Model (Matrix calcs)'!BR446</f>
        <v>183.52958014673916</v>
      </c>
      <c r="F44" s="91">
        <f>'Model (Matrix calcs)'!BR447</f>
        <v>368.6069199139809</v>
      </c>
      <c r="G44" s="91">
        <f>'Model (Matrix calcs)'!BR448</f>
        <v>474.80234314595913</v>
      </c>
      <c r="H44" s="91">
        <f>'Model (Matrix calcs)'!BR449</f>
        <v>509.50796386286049</v>
      </c>
      <c r="I44" s="91">
        <f>'Model (Matrix calcs)'!BR450</f>
        <v>509.88835911858502</v>
      </c>
      <c r="J44" s="91">
        <f>'Model (Matrix calcs)'!BR451</f>
        <v>495.83275251411567</v>
      </c>
      <c r="K44" s="91">
        <f>'Model (Matrix calcs)'!BR452</f>
        <v>475.38886155909012</v>
      </c>
      <c r="L44" s="91">
        <f>'Model (Matrix calcs)'!BR453</f>
        <v>418.22935412724979</v>
      </c>
      <c r="M44" s="91">
        <f>'Model (Matrix calcs)'!BR454</f>
        <v>376.53469162185382</v>
      </c>
      <c r="N44" s="91">
        <f>'Model (Matrix calcs)'!BR455</f>
        <v>345.79813861375982</v>
      </c>
      <c r="O44" s="91">
        <f>'Model (Matrix calcs)'!BR456</f>
        <v>322.44553457039706</v>
      </c>
      <c r="P44" s="91">
        <f>'Model (Matrix calcs)'!BR457</f>
        <v>304.53019164921841</v>
      </c>
      <c r="Q44" s="91">
        <f>'Model (Matrix calcs)'!BR458</f>
        <v>290.861465741301</v>
      </c>
      <c r="R44" s="91">
        <f>'Model (Matrix calcs)'!BR459</f>
        <v>280.55954628514002</v>
      </c>
      <c r="S44" s="91">
        <f>'Model (Matrix calcs)'!BR460</f>
        <v>272.90338945660761</v>
      </c>
      <c r="T44" s="91">
        <f>'Model (Matrix calcs)'!BR461</f>
        <v>267.29040793468897</v>
      </c>
      <c r="U44" s="91">
        <f>'Model (Matrix calcs)'!BR462</f>
        <v>263.2257944421911</v>
      </c>
      <c r="V44" s="91">
        <f>'Model (Matrix calcs)'!BR463</f>
        <v>260.31420890474493</v>
      </c>
    </row>
    <row r="45" spans="1:22" x14ac:dyDescent="0.25">
      <c r="A45" s="82"/>
      <c r="B45" s="63" t="s">
        <v>733</v>
      </c>
      <c r="C45" s="95"/>
      <c r="D45" s="91">
        <f>'Model (Matrix calcs)'!BS445</f>
        <v>343.28997155583733</v>
      </c>
      <c r="E45" s="91">
        <f>'Model (Matrix calcs)'!BS446</f>
        <v>505.36357511488211</v>
      </c>
      <c r="F45" s="91">
        <f>'Model (Matrix calcs)'!BS447</f>
        <v>625.31792623142724</v>
      </c>
      <c r="G45" s="91">
        <f>'Model (Matrix calcs)'!BS448</f>
        <v>658.9639309745844</v>
      </c>
      <c r="H45" s="91">
        <f>'Model (Matrix calcs)'!BS449</f>
        <v>682.28840257079537</v>
      </c>
      <c r="I45" s="91">
        <f>'Model (Matrix calcs)'!BS450</f>
        <v>678.67756633041142</v>
      </c>
      <c r="J45" s="91">
        <f>'Model (Matrix calcs)'!BS451</f>
        <v>652.8926222413869</v>
      </c>
      <c r="K45" s="91">
        <f>'Model (Matrix calcs)'!BS452</f>
        <v>615.58465329049932</v>
      </c>
      <c r="L45" s="91">
        <f>'Model (Matrix calcs)'!BS453</f>
        <v>532.96032907695349</v>
      </c>
      <c r="M45" s="91">
        <f>'Model (Matrix calcs)'!BS454</f>
        <v>476.59622298350911</v>
      </c>
      <c r="N45" s="91">
        <f>'Model (Matrix calcs)'!BS455</f>
        <v>441.65977594145517</v>
      </c>
      <c r="O45" s="91">
        <f>'Model (Matrix calcs)'!BS456</f>
        <v>419.72944508899519</v>
      </c>
      <c r="P45" s="91">
        <f>'Model (Matrix calcs)'!BS457</f>
        <v>405.69200860732798</v>
      </c>
      <c r="Q45" s="91">
        <f>'Model (Matrix calcs)'!BS458</f>
        <v>396.61150952914488</v>
      </c>
      <c r="R45" s="91">
        <f>'Model (Matrix calcs)'!BS459</f>
        <v>390.72002226650153</v>
      </c>
      <c r="S45" s="91">
        <f>'Model (Matrix calcs)'!BS460</f>
        <v>386.90203374159267</v>
      </c>
      <c r="T45" s="91">
        <f>'Model (Matrix calcs)'!BS461</f>
        <v>384.43497543379266</v>
      </c>
      <c r="U45" s="91">
        <f>'Model (Matrix calcs)'!BS462</f>
        <v>382.84618226939409</v>
      </c>
      <c r="V45" s="91">
        <f>'Model (Matrix calcs)'!BS463</f>
        <v>381.82624137748155</v>
      </c>
    </row>
    <row r="46" spans="1:22" x14ac:dyDescent="0.25">
      <c r="A46" s="82"/>
      <c r="B46" s="63" t="s">
        <v>149</v>
      </c>
      <c r="C46" s="95"/>
      <c r="D46" s="91">
        <f>'Model (Matrix calcs)'!BT445</f>
        <v>79.292230589934846</v>
      </c>
      <c r="E46" s="91">
        <f>'Model (Matrix calcs)'!BT446</f>
        <v>115.07691468334588</v>
      </c>
      <c r="F46" s="91">
        <f>'Model (Matrix calcs)'!BT447</f>
        <v>103.64117600417765</v>
      </c>
      <c r="G46" s="91">
        <f>'Model (Matrix calcs)'!BT448</f>
        <v>169.09278371836771</v>
      </c>
      <c r="H46" s="91">
        <f>'Model (Matrix calcs)'!BT449</f>
        <v>230.06693021650244</v>
      </c>
      <c r="I46" s="91">
        <f>'Model (Matrix calcs)'!BT450</f>
        <v>201.39433309469047</v>
      </c>
      <c r="J46" s="91">
        <f>'Model (Matrix calcs)'!BT451</f>
        <v>173.59577488825121</v>
      </c>
      <c r="K46" s="91">
        <f>'Model (Matrix calcs)'!BT452</f>
        <v>155.31025515042987</v>
      </c>
      <c r="L46" s="91">
        <f>'Model (Matrix calcs)'!BT453</f>
        <v>131.10724718244046</v>
      </c>
      <c r="M46" s="91">
        <f>'Model (Matrix calcs)'!BT454</f>
        <v>122.36452780961335</v>
      </c>
      <c r="N46" s="91">
        <f>'Model (Matrix calcs)'!BT455</f>
        <v>114.63410509515874</v>
      </c>
      <c r="O46" s="91">
        <f>'Model (Matrix calcs)'!BT456</f>
        <v>109.30336351407259</v>
      </c>
      <c r="P46" s="91">
        <f>'Model (Matrix calcs)'!BT457</f>
        <v>105.76633587841619</v>
      </c>
      <c r="Q46" s="91">
        <f>'Model (Matrix calcs)'!BT458</f>
        <v>103.47556101734854</v>
      </c>
      <c r="R46" s="91">
        <f>'Model (Matrix calcs)'!BT459</f>
        <v>102.02955655934896</v>
      </c>
      <c r="S46" s="91">
        <f>'Model (Matrix calcs)'!BT460</f>
        <v>101.14823739499954</v>
      </c>
      <c r="T46" s="91">
        <f>'Model (Matrix calcs)'!BT461</f>
        <v>100.63998645395797</v>
      </c>
      <c r="U46" s="91">
        <f>'Model (Matrix calcs)'!BT462</f>
        <v>100.37548217732491</v>
      </c>
      <c r="V46" s="91">
        <f>'Model (Matrix calcs)'!BT463</f>
        <v>100.26841146375105</v>
      </c>
    </row>
    <row r="47" spans="1:22" x14ac:dyDescent="0.25">
      <c r="A47" s="82"/>
      <c r="B47" s="63" t="s">
        <v>150</v>
      </c>
      <c r="C47" s="95"/>
      <c r="D47" s="91">
        <f>'Model (Matrix calcs)'!BU445</f>
        <v>0</v>
      </c>
      <c r="E47" s="91">
        <f>'Model (Matrix calcs)'!BU446</f>
        <v>22.156509985903931</v>
      </c>
      <c r="F47" s="91">
        <f>'Model (Matrix calcs)'!BU447</f>
        <v>52.824542859499218</v>
      </c>
      <c r="G47" s="91">
        <f>'Model (Matrix calcs)'!BU448</f>
        <v>78.237844872499366</v>
      </c>
      <c r="H47" s="91">
        <f>'Model (Matrix calcs)'!BU449</f>
        <v>120.23377101556589</v>
      </c>
      <c r="I47" s="91">
        <f>'Model (Matrix calcs)'!BU450</f>
        <v>176.44772127780539</v>
      </c>
      <c r="J47" s="91">
        <f>'Model (Matrix calcs)'!BU451</f>
        <v>220.87514507921719</v>
      </c>
      <c r="K47" s="91">
        <f>'Model (Matrix calcs)'!BU452</f>
        <v>254.55170102183808</v>
      </c>
      <c r="L47" s="91">
        <f>'Model (Matrix calcs)'!BU453</f>
        <v>262.86068410115189</v>
      </c>
      <c r="M47" s="91">
        <f>'Model (Matrix calcs)'!BU454</f>
        <v>279.23446935047355</v>
      </c>
      <c r="N47" s="91">
        <f>'Model (Matrix calcs)'!BU455</f>
        <v>294.29808595941739</v>
      </c>
      <c r="O47" s="91">
        <f>'Model (Matrix calcs)'!BU456</f>
        <v>306.51399441589513</v>
      </c>
      <c r="P47" s="91">
        <f>'Model (Matrix calcs)'!BU457</f>
        <v>316.46707098692963</v>
      </c>
      <c r="Q47" s="91">
        <f>'Model (Matrix calcs)'!BU458</f>
        <v>324.77030150774829</v>
      </c>
      <c r="R47" s="91">
        <f>'Model (Matrix calcs)'!BU459</f>
        <v>331.87687817660117</v>
      </c>
      <c r="S47" s="91">
        <f>'Model (Matrix calcs)'!BU460</f>
        <v>338.10235978824784</v>
      </c>
      <c r="T47" s="91">
        <f>'Model (Matrix calcs)'!BU461</f>
        <v>343.66357552110134</v>
      </c>
      <c r="U47" s="91">
        <f>'Model (Matrix calcs)'!BU462</f>
        <v>348.70935678395119</v>
      </c>
      <c r="V47" s="91">
        <f>'Model (Matrix calcs)'!BU463</f>
        <v>353.34242052305387</v>
      </c>
    </row>
    <row r="48" spans="1:22" x14ac:dyDescent="0.25">
      <c r="A48" s="82"/>
      <c r="B48" s="63" t="s">
        <v>718</v>
      </c>
      <c r="C48" s="95"/>
      <c r="D48" s="91">
        <f>'Model (Matrix calcs)'!BV445</f>
        <v>0</v>
      </c>
      <c r="E48" s="91">
        <f>'Model (Matrix calcs)'!BV446</f>
        <v>1.7258577724619526</v>
      </c>
      <c r="F48" s="91">
        <f>'Model (Matrix calcs)'!BV447</f>
        <v>9.0805205048544142</v>
      </c>
      <c r="G48" s="91">
        <f>'Model (Matrix calcs)'!BV448</f>
        <v>21.012290773963215</v>
      </c>
      <c r="H48" s="91">
        <f>'Model (Matrix calcs)'!BV449</f>
        <v>35.241026918870304</v>
      </c>
      <c r="I48" s="91">
        <f>'Model (Matrix calcs)'!BV450</f>
        <v>50.484942240219084</v>
      </c>
      <c r="J48" s="91">
        <f>'Model (Matrix calcs)'!BV451</f>
        <v>65.771523724123469</v>
      </c>
      <c r="K48" s="91">
        <f>'Model (Matrix calcs)'!BV452</f>
        <v>80.456565301584845</v>
      </c>
      <c r="L48" s="91">
        <f>'Model (Matrix calcs)'!BV453</f>
        <v>88.491370800355625</v>
      </c>
      <c r="M48" s="91">
        <f>'Model (Matrix calcs)'!BV454</f>
        <v>96.214732342981634</v>
      </c>
      <c r="N48" s="91">
        <f>'Model (Matrix calcs)'!BV455</f>
        <v>104.90446284175742</v>
      </c>
      <c r="O48" s="91">
        <f>'Model (Matrix calcs)'!BV456</f>
        <v>113.62564658189409</v>
      </c>
      <c r="P48" s="91">
        <f>'Model (Matrix calcs)'!BV457</f>
        <v>121.93131533141555</v>
      </c>
      <c r="Q48" s="91">
        <f>'Model (Matrix calcs)'!BV458</f>
        <v>129.72315043470923</v>
      </c>
      <c r="R48" s="91">
        <f>'Model (Matrix calcs)'!BV459</f>
        <v>137.03738092103981</v>
      </c>
      <c r="S48" s="91">
        <f>'Model (Matrix calcs)'!BV460</f>
        <v>143.94533065982921</v>
      </c>
      <c r="T48" s="91">
        <f>'Model (Matrix calcs)'!BV461</f>
        <v>150.51697607342894</v>
      </c>
      <c r="U48" s="91">
        <f>'Model (Matrix calcs)'!BV462</f>
        <v>156.81039923709307</v>
      </c>
      <c r="V48" s="91">
        <f>'Model (Matrix calcs)'!BV463</f>
        <v>162.87067844573815</v>
      </c>
    </row>
    <row r="49" spans="1:22" x14ac:dyDescent="0.25">
      <c r="A49" s="82"/>
      <c r="B49" s="63" t="s">
        <v>136</v>
      </c>
      <c r="C49" s="95"/>
      <c r="D49" s="91">
        <f>'Model (Matrix calcs)'!BW445</f>
        <v>0</v>
      </c>
      <c r="E49" s="91">
        <f>'Model (Matrix calcs)'!BW446</f>
        <v>1.3106379751251296</v>
      </c>
      <c r="F49" s="91">
        <f>'Model (Matrix calcs)'!BW447</f>
        <v>6.8990923322267257</v>
      </c>
      <c r="G49" s="91">
        <f>'Model (Matrix calcs)'!BW448</f>
        <v>17.734698413257735</v>
      </c>
      <c r="H49" s="91">
        <f>'Model (Matrix calcs)'!BW449</f>
        <v>32.445199657932868</v>
      </c>
      <c r="I49" s="91">
        <f>'Model (Matrix calcs)'!BW450</f>
        <v>51.877475965462224</v>
      </c>
      <c r="J49" s="91">
        <f>'Model (Matrix calcs)'!BW451</f>
        <v>74.254844220875484</v>
      </c>
      <c r="K49" s="91">
        <f>'Model (Matrix calcs)'!BW452</f>
        <v>97.289885096903831</v>
      </c>
      <c r="L49" s="91">
        <f>'Model (Matrix calcs)'!BW453</f>
        <v>112.99132045214803</v>
      </c>
      <c r="M49" s="91">
        <f>'Model (Matrix calcs)'!BW454</f>
        <v>134.32682279929617</v>
      </c>
      <c r="N49" s="91">
        <f>'Model (Matrix calcs)'!BW455</f>
        <v>154.11197941318329</v>
      </c>
      <c r="O49" s="91">
        <f>'Model (Matrix calcs)'!BW456</f>
        <v>172.08359995127225</v>
      </c>
      <c r="P49" s="91">
        <f>'Model (Matrix calcs)'!BW457</f>
        <v>188.46226586140614</v>
      </c>
      <c r="Q49" s="91">
        <f>'Model (Matrix calcs)'!BW458</f>
        <v>203.45041161654351</v>
      </c>
      <c r="R49" s="91">
        <f>'Model (Matrix calcs)'!BW459</f>
        <v>217.20840577067864</v>
      </c>
      <c r="S49" s="91">
        <f>'Model (Matrix calcs)'!BW460</f>
        <v>229.86985886088476</v>
      </c>
      <c r="T49" s="91">
        <f>'Model (Matrix calcs)'!BW461</f>
        <v>241.5499395968086</v>
      </c>
      <c r="U49" s="91">
        <f>'Model (Matrix calcs)'!BW462</f>
        <v>252.34904135724733</v>
      </c>
      <c r="V49" s="91">
        <f>'Model (Matrix calcs)'!BW463</f>
        <v>262.35486572012201</v>
      </c>
    </row>
    <row r="50" spans="1:22" x14ac:dyDescent="0.25">
      <c r="A50" s="82"/>
      <c r="B50" s="63" t="s">
        <v>734</v>
      </c>
      <c r="C50" s="95"/>
      <c r="D50" s="91">
        <f>'Model (Matrix calcs)'!BX445</f>
        <v>0</v>
      </c>
      <c r="E50" s="91">
        <f>'Model (Matrix calcs)'!BX446</f>
        <v>0</v>
      </c>
      <c r="F50" s="91">
        <f>'Model (Matrix calcs)'!BX447</f>
        <v>0.76311842540072539</v>
      </c>
      <c r="G50" s="91">
        <f>'Model (Matrix calcs)'!BX448</f>
        <v>2.660396786220848</v>
      </c>
      <c r="H50" s="91">
        <f>'Model (Matrix calcs)'!BX449</f>
        <v>5.7828788751642222</v>
      </c>
      <c r="I50" s="91">
        <f>'Model (Matrix calcs)'!BX450</f>
        <v>9.8113012486901319</v>
      </c>
      <c r="J50" s="91">
        <f>'Model (Matrix calcs)'!BX451</f>
        <v>14.427840024375133</v>
      </c>
      <c r="K50" s="91">
        <f>'Model (Matrix calcs)'!BX452</f>
        <v>19.356505882444146</v>
      </c>
      <c r="L50" s="91">
        <f>'Model (Matrix calcs)'!BX453</f>
        <v>23.022844648743408</v>
      </c>
      <c r="M50" s="91">
        <f>'Model (Matrix calcs)'!BX454</f>
        <v>26.657196487145431</v>
      </c>
      <c r="N50" s="91">
        <f>'Model (Matrix calcs)'!BX455</f>
        <v>30.779072815578399</v>
      </c>
      <c r="O50" s="91">
        <f>'Model (Matrix calcs)'!BX456</f>
        <v>34.996601462212581</v>
      </c>
      <c r="P50" s="91">
        <f>'Model (Matrix calcs)'!BX457</f>
        <v>39.134412749953469</v>
      </c>
      <c r="Q50" s="91">
        <f>'Model (Matrix calcs)'!BX458</f>
        <v>43.157143278763471</v>
      </c>
      <c r="R50" s="91">
        <f>'Model (Matrix calcs)'!BX459</f>
        <v>47.078868283716766</v>
      </c>
      <c r="S50" s="91">
        <f>'Model (Matrix calcs)'!BX460</f>
        <v>50.924773134788644</v>
      </c>
      <c r="T50" s="91">
        <f>'Model (Matrix calcs)'!BX461</f>
        <v>54.718431767723494</v>
      </c>
      <c r="U50" s="91">
        <f>'Model (Matrix calcs)'!BX462</f>
        <v>58.478613436490321</v>
      </c>
      <c r="V50" s="91">
        <f>'Model (Matrix calcs)'!BX463</f>
        <v>62.219215906771204</v>
      </c>
    </row>
    <row r="51" spans="1:22" x14ac:dyDescent="0.25">
      <c r="A51" s="82"/>
      <c r="B51" s="63" t="s">
        <v>137</v>
      </c>
      <c r="C51" s="91">
        <f>SUM(C43:C45)</f>
        <v>248.84425254330867</v>
      </c>
      <c r="D51" s="91">
        <f>SUM(D43:D45)</f>
        <v>631.19774130994074</v>
      </c>
      <c r="E51" s="91">
        <f t="shared" ref="E51:I51" si="7">SUM(E43:E45)</f>
        <v>1131.5420892907432</v>
      </c>
      <c r="F51" s="91">
        <f t="shared" si="7"/>
        <v>1564.2521314715789</v>
      </c>
      <c r="G51" s="91">
        <f t="shared" si="7"/>
        <v>1933.1538566568918</v>
      </c>
      <c r="H51" s="91">
        <f t="shared" si="7"/>
        <v>1843.1847511073761</v>
      </c>
      <c r="I51" s="91">
        <f t="shared" si="7"/>
        <v>1724.3104504228641</v>
      </c>
      <c r="J51" s="91">
        <f>SUM(J43:J45)</f>
        <v>1616.8860281319853</v>
      </c>
      <c r="K51" s="91">
        <f t="shared" ref="K51:V51" si="8">SUM(K43:K45)</f>
        <v>1513.1245837719625</v>
      </c>
      <c r="L51" s="91">
        <f t="shared" si="8"/>
        <v>1308.8795488812643</v>
      </c>
      <c r="M51" s="91">
        <f t="shared" si="8"/>
        <v>1183.0978322216761</v>
      </c>
      <c r="N51" s="91">
        <f t="shared" si="8"/>
        <v>1100.3990154853759</v>
      </c>
      <c r="O51" s="91">
        <f t="shared" si="8"/>
        <v>1043.7513070349212</v>
      </c>
      <c r="P51" s="91">
        <f t="shared" si="8"/>
        <v>1004.2031205309938</v>
      </c>
      <c r="Q51" s="91">
        <f t="shared" si="8"/>
        <v>976.43733018700016</v>
      </c>
      <c r="R51" s="91">
        <f t="shared" si="8"/>
        <v>956.9665407668856</v>
      </c>
      <c r="S51" s="91">
        <f t="shared" si="8"/>
        <v>943.36881209509033</v>
      </c>
      <c r="T51" s="91">
        <f t="shared" si="8"/>
        <v>933.92100456953222</v>
      </c>
      <c r="U51" s="91">
        <f t="shared" si="8"/>
        <v>927.39044171980618</v>
      </c>
      <c r="V51" s="91">
        <f t="shared" si="8"/>
        <v>922.89815254106236</v>
      </c>
    </row>
    <row r="52" spans="1:22" x14ac:dyDescent="0.25">
      <c r="A52" s="82"/>
      <c r="B52" s="63" t="s">
        <v>138</v>
      </c>
      <c r="C52" s="91">
        <f>SUM(C46:C50)</f>
        <v>0</v>
      </c>
      <c r="D52" s="91">
        <f>SUM(D46:D50)</f>
        <v>79.292230589934846</v>
      </c>
      <c r="E52" s="91">
        <f t="shared" ref="E52:I52" si="9">SUM(E46:E50)</f>
        <v>140.2699204168369</v>
      </c>
      <c r="F52" s="91">
        <f t="shared" si="9"/>
        <v>173.20845012615874</v>
      </c>
      <c r="G52" s="91">
        <f t="shared" si="9"/>
        <v>288.73801456430891</v>
      </c>
      <c r="H52" s="91">
        <f t="shared" si="9"/>
        <v>423.7698066840357</v>
      </c>
      <c r="I52" s="91">
        <f t="shared" si="9"/>
        <v>490.0157738268673</v>
      </c>
      <c r="J52" s="91">
        <f>SUM(J46:J50)</f>
        <v>548.92512793684239</v>
      </c>
      <c r="K52" s="91">
        <f t="shared" ref="K52:V52" si="10">SUM(K46:K50)</f>
        <v>606.96491245320078</v>
      </c>
      <c r="L52" s="91">
        <f t="shared" si="10"/>
        <v>618.47346718483948</v>
      </c>
      <c r="M52" s="91">
        <f t="shared" si="10"/>
        <v>658.79774878951025</v>
      </c>
      <c r="N52" s="91">
        <f t="shared" si="10"/>
        <v>698.72770612509532</v>
      </c>
      <c r="O52" s="91">
        <f t="shared" si="10"/>
        <v>736.52320592534659</v>
      </c>
      <c r="P52" s="91">
        <f t="shared" si="10"/>
        <v>771.76140080812115</v>
      </c>
      <c r="Q52" s="91">
        <f t="shared" si="10"/>
        <v>804.57656785511301</v>
      </c>
      <c r="R52" s="91">
        <f t="shared" si="10"/>
        <v>835.23108971138538</v>
      </c>
      <c r="S52" s="91">
        <f t="shared" si="10"/>
        <v>863.99055983874996</v>
      </c>
      <c r="T52" s="91">
        <f t="shared" si="10"/>
        <v>891.08890941302036</v>
      </c>
      <c r="U52" s="91">
        <f t="shared" si="10"/>
        <v>916.72289299210684</v>
      </c>
      <c r="V52" s="91">
        <f t="shared" si="10"/>
        <v>941.05559205943621</v>
      </c>
    </row>
    <row r="53" spans="1:22" x14ac:dyDescent="0.25">
      <c r="A53" s="82"/>
      <c r="B53" s="63" t="s">
        <v>139</v>
      </c>
      <c r="C53" s="91">
        <f>SUM(C51:C52)</f>
        <v>248.84425254330867</v>
      </c>
      <c r="D53" s="91">
        <f>SUM(D51:D52)</f>
        <v>710.48997189987563</v>
      </c>
      <c r="E53" s="91">
        <f t="shared" ref="E53:I53" si="11">SUM(E51:E52)</f>
        <v>1271.81200970758</v>
      </c>
      <c r="F53" s="91">
        <f t="shared" si="11"/>
        <v>1737.4605815977377</v>
      </c>
      <c r="G53" s="91">
        <f t="shared" si="11"/>
        <v>2221.8918712212007</v>
      </c>
      <c r="H53" s="91">
        <f t="shared" si="11"/>
        <v>2266.9545577914118</v>
      </c>
      <c r="I53" s="91">
        <f t="shared" si="11"/>
        <v>2214.3262242497312</v>
      </c>
      <c r="J53" s="91">
        <f>SUM(J51:J52)</f>
        <v>2165.8111560688276</v>
      </c>
      <c r="K53" s="91">
        <f t="shared" ref="K53:V53" si="12">SUM(K51:K52)</f>
        <v>2120.0894962251632</v>
      </c>
      <c r="L53" s="91">
        <f t="shared" si="12"/>
        <v>1927.3530160661039</v>
      </c>
      <c r="M53" s="91">
        <f t="shared" si="12"/>
        <v>1841.8955810111863</v>
      </c>
      <c r="N53" s="91">
        <f t="shared" si="12"/>
        <v>1799.1267216104711</v>
      </c>
      <c r="O53" s="91">
        <f t="shared" si="12"/>
        <v>1780.2745129602677</v>
      </c>
      <c r="P53" s="91">
        <f t="shared" si="12"/>
        <v>1775.964521339115</v>
      </c>
      <c r="Q53" s="91">
        <f t="shared" si="12"/>
        <v>1781.0138980421132</v>
      </c>
      <c r="R53" s="91">
        <f t="shared" si="12"/>
        <v>1792.1976304782711</v>
      </c>
      <c r="S53" s="91">
        <f t="shared" si="12"/>
        <v>1807.3593719338403</v>
      </c>
      <c r="T53" s="91">
        <f t="shared" si="12"/>
        <v>1825.0099139825525</v>
      </c>
      <c r="U53" s="91">
        <f t="shared" si="12"/>
        <v>1844.113334711913</v>
      </c>
      <c r="V53" s="91">
        <f t="shared" si="12"/>
        <v>1863.9537446004986</v>
      </c>
    </row>
    <row r="54" spans="1:22" x14ac:dyDescent="0.25">
      <c r="A54" s="82"/>
      <c r="B54" s="63" t="s">
        <v>127</v>
      </c>
      <c r="C54" s="90"/>
      <c r="D54" s="91"/>
      <c r="E54" s="91"/>
      <c r="F54" s="91"/>
      <c r="G54" s="91"/>
      <c r="H54" s="91"/>
      <c r="I54" s="91"/>
      <c r="J54" s="91"/>
      <c r="K54" s="91"/>
      <c r="L54" s="91"/>
      <c r="M54" s="91"/>
      <c r="N54" s="91"/>
      <c r="O54" s="91"/>
      <c r="P54" s="91"/>
      <c r="Q54" s="91"/>
      <c r="R54" s="91"/>
      <c r="S54" s="91"/>
      <c r="T54" s="64"/>
      <c r="V54" s="64"/>
    </row>
    <row r="55" spans="1:22" x14ac:dyDescent="0.25">
      <c r="A55" s="82"/>
      <c r="B55" s="63" t="s">
        <v>128</v>
      </c>
      <c r="C55" s="95"/>
      <c r="D55" s="91">
        <f>'Model (Matrix calcs)'!CM445</f>
        <v>8291.4514192246461</v>
      </c>
      <c r="E55" s="91">
        <f>'Model (Matrix calcs)'!CM446</f>
        <v>6757.3862396571913</v>
      </c>
      <c r="F55" s="91">
        <f>'Model (Matrix calcs)'!CM447</f>
        <v>5525.3470112934265</v>
      </c>
      <c r="G55" s="91">
        <f>'Model (Matrix calcs)'!CM448</f>
        <v>2584.7075976794995</v>
      </c>
      <c r="H55" s="91">
        <f>'Model (Matrix calcs)'!CM449</f>
        <v>2064.9718723029118</v>
      </c>
      <c r="I55" s="91">
        <f>'Model (Matrix calcs)'!CM450</f>
        <v>1821.7744953449489</v>
      </c>
      <c r="J55" s="91">
        <f>'Model (Matrix calcs)'!CM451</f>
        <v>1646.6658904714491</v>
      </c>
      <c r="K55" s="91">
        <f>'Model (Matrix calcs)'!CM452</f>
        <v>1505.8868342298567</v>
      </c>
      <c r="L55" s="91">
        <f>'Model (Matrix calcs)'!CM453</f>
        <v>1401.1491224901522</v>
      </c>
      <c r="M55" s="91">
        <f>'Model (Matrix calcs)'!CM454</f>
        <v>1327.3096461539492</v>
      </c>
      <c r="N55" s="91">
        <f>'Model (Matrix calcs)'!CM455</f>
        <v>1276.9648743820155</v>
      </c>
      <c r="O55" s="91">
        <f>'Model (Matrix calcs)'!CM456</f>
        <v>1243.3735400811897</v>
      </c>
      <c r="P55" s="91">
        <f>'Model (Matrix calcs)'!CM457</f>
        <v>1221.2848660578768</v>
      </c>
      <c r="Q55" s="91">
        <f>'Model (Matrix calcs)'!CM458</f>
        <v>1206.9062620556531</v>
      </c>
      <c r="R55" s="91">
        <f>'Model (Matrix calcs)'!CM459</f>
        <v>1197.6134386918727</v>
      </c>
      <c r="S55" s="91">
        <f>'Model (Matrix calcs)'!CM460</f>
        <v>1191.6384582476935</v>
      </c>
      <c r="T55" s="91">
        <f>'Model (Matrix calcs)'!CM461</f>
        <v>1187.8111384127565</v>
      </c>
      <c r="U55" s="91">
        <f>'Model (Matrix calcs)'!CM462</f>
        <v>1185.3662553835575</v>
      </c>
      <c r="V55" s="91">
        <f>'Model (Matrix calcs)'!CM463</f>
        <v>1183.8076335644969</v>
      </c>
    </row>
    <row r="56" spans="1:22" x14ac:dyDescent="0.25">
      <c r="A56" s="82"/>
      <c r="B56" s="63" t="s">
        <v>151</v>
      </c>
      <c r="C56" s="95"/>
      <c r="D56" s="91">
        <f>'Model (Matrix calcs)'!CN445</f>
        <v>1534.1272679265815</v>
      </c>
      <c r="E56" s="91">
        <f>'Model (Matrix calcs)'!CN446</f>
        <v>2492.4986453174415</v>
      </c>
      <c r="F56" s="91">
        <f>'Model (Matrix calcs)'!CN447</f>
        <v>3110.1003015807946</v>
      </c>
      <c r="G56" s="91">
        <f>'Model (Matrix calcs)'!CN448</f>
        <v>4430.0252643143394</v>
      </c>
      <c r="H56" s="91">
        <f>'Model (Matrix calcs)'!CN449</f>
        <v>3136.8392336298898</v>
      </c>
      <c r="I56" s="91">
        <f>'Model (Matrix calcs)'!CN450</f>
        <v>2588.5365337229086</v>
      </c>
      <c r="J56" s="91">
        <f>'Model (Matrix calcs)'!CN451</f>
        <v>2309.3040382403392</v>
      </c>
      <c r="K56" s="91">
        <f>'Model (Matrix calcs)'!CN452</f>
        <v>2103.4576612612941</v>
      </c>
      <c r="L56" s="91">
        <f>'Model (Matrix calcs)'!CN453</f>
        <v>1941.7533823079323</v>
      </c>
      <c r="M56" s="91">
        <f>'Model (Matrix calcs)'!CN454</f>
        <v>1821.4224745470194</v>
      </c>
      <c r="N56" s="91">
        <f>'Model (Matrix calcs)'!CN455</f>
        <v>1736.246161476425</v>
      </c>
      <c r="O56" s="91">
        <f>'Model (Matrix calcs)'!CN456</f>
        <v>1677.9849172568872</v>
      </c>
      <c r="P56" s="91">
        <f>'Model (Matrix calcs)'!CN457</f>
        <v>1639.0338678314226</v>
      </c>
      <c r="Q56" s="91">
        <f>'Model (Matrix calcs)'!CN458</f>
        <v>1613.3925719400424</v>
      </c>
      <c r="R56" s="91">
        <f>'Model (Matrix calcs)'!CN459</f>
        <v>1596.6924966707682</v>
      </c>
      <c r="S56" s="91">
        <f>'Model (Matrix calcs)'!CN460</f>
        <v>1585.8972252451128</v>
      </c>
      <c r="T56" s="91">
        <f>'Model (Matrix calcs)'!CN461</f>
        <v>1578.9561969379467</v>
      </c>
      <c r="U56" s="91">
        <f>'Model (Matrix calcs)'!CN462</f>
        <v>1574.5104911646447</v>
      </c>
      <c r="V56" s="91">
        <f>'Model (Matrix calcs)'!CN463</f>
        <v>1571.670978569178</v>
      </c>
    </row>
    <row r="57" spans="1:22" x14ac:dyDescent="0.25">
      <c r="A57" s="82"/>
      <c r="B57" s="63" t="s">
        <v>152</v>
      </c>
      <c r="C57" s="95"/>
      <c r="D57" s="91">
        <f>'Model (Matrix calcs)'!CO445</f>
        <v>369.6473769348425</v>
      </c>
      <c r="E57" s="91">
        <f>'Model (Matrix calcs)'!CO446</f>
        <v>456.70525035766394</v>
      </c>
      <c r="F57" s="91">
        <f>'Model (Matrix calcs)'!CO447</f>
        <v>367.39591182522867</v>
      </c>
      <c r="G57" s="91">
        <f>'Model (Matrix calcs)'!CO448</f>
        <v>684.02441874525584</v>
      </c>
      <c r="H57" s="91">
        <f>'Model (Matrix calcs)'!CO449</f>
        <v>902.43448620715935</v>
      </c>
      <c r="I57" s="91">
        <f>'Model (Matrix calcs)'!CO450</f>
        <v>707.4302616512739</v>
      </c>
      <c r="J57" s="91">
        <f>'Model (Matrix calcs)'!CO451</f>
        <v>606.68129856185863</v>
      </c>
      <c r="K57" s="91">
        <f>'Model (Matrix calcs)'!CO452</f>
        <v>549.40131663720319</v>
      </c>
      <c r="L57" s="91">
        <f>'Model (Matrix calcs)'!CO453</f>
        <v>506.15426910182197</v>
      </c>
      <c r="M57" s="91">
        <f>'Model (Matrix calcs)'!CO454</f>
        <v>481.76718099433941</v>
      </c>
      <c r="N57" s="91">
        <f>'Model (Matrix calcs)'!CO455</f>
        <v>451.64247592660496</v>
      </c>
      <c r="O57" s="91">
        <f>'Model (Matrix calcs)'!CO456</f>
        <v>432.02001009814546</v>
      </c>
      <c r="P57" s="91">
        <f>'Model (Matrix calcs)'!CO457</f>
        <v>419.1364873472217</v>
      </c>
      <c r="Q57" s="91">
        <f>'Model (Matrix calcs)'!CO458</f>
        <v>410.84958767519959</v>
      </c>
      <c r="R57" s="91">
        <f>'Model (Matrix calcs)'!CO459</f>
        <v>405.65794896259666</v>
      </c>
      <c r="S57" s="91">
        <f>'Model (Matrix calcs)'!CO460</f>
        <v>402.52740845878793</v>
      </c>
      <c r="T57" s="91">
        <f>'Model (Matrix calcs)'!CO461</f>
        <v>400.75411820332806</v>
      </c>
      <c r="U57" s="91">
        <f>'Model (Matrix calcs)'!CO462</f>
        <v>399.86480512491778</v>
      </c>
      <c r="V57" s="91">
        <f>'Model (Matrix calcs)'!CO463</f>
        <v>399.54456010639467</v>
      </c>
    </row>
    <row r="58" spans="1:22" x14ac:dyDescent="0.25">
      <c r="A58" s="82"/>
      <c r="B58" s="63" t="s">
        <v>153</v>
      </c>
      <c r="C58" s="95"/>
      <c r="D58" s="91">
        <f>'Model (Matrix calcs)'!CP445</f>
        <v>0</v>
      </c>
      <c r="E58" s="91">
        <f>'Model (Matrix calcs)'!CP446</f>
        <v>52.849003591907035</v>
      </c>
      <c r="F58" s="91">
        <f>'Model (Matrix calcs)'!CP447</f>
        <v>114.59615335907783</v>
      </c>
      <c r="G58" s="91">
        <f>'Model (Matrix calcs)'!CP448</f>
        <v>159.42850001010981</v>
      </c>
      <c r="H58" s="91">
        <f>'Model (Matrix calcs)'!CP449</f>
        <v>246.51932072063343</v>
      </c>
      <c r="I58" s="91">
        <f>'Model (Matrix calcs)'!CP450</f>
        <v>358.98866739840963</v>
      </c>
      <c r="J58" s="91">
        <f>'Model (Matrix calcs)'!CP451</f>
        <v>436.02603315182904</v>
      </c>
      <c r="K58" s="91">
        <f>'Model (Matrix calcs)'!CP452</f>
        <v>493.48636798043327</v>
      </c>
      <c r="L58" s="91">
        <f>'Model (Matrix calcs)'!CP453</f>
        <v>538.89902748731265</v>
      </c>
      <c r="M58" s="91">
        <f>'Model (Matrix calcs)'!CP454</f>
        <v>575.0792824830055</v>
      </c>
      <c r="N58" s="91">
        <f>'Model (Matrix calcs)'!CP455</f>
        <v>605.34349396542405</v>
      </c>
      <c r="O58" s="91">
        <f>'Model (Matrix calcs)'!CP456</f>
        <v>629.26859002252831</v>
      </c>
      <c r="P58" s="91">
        <f>'Model (Matrix calcs)'!CP457</f>
        <v>648.78174165886389</v>
      </c>
      <c r="Q58" s="91">
        <f>'Model (Matrix calcs)'!CP458</f>
        <v>665.1426728392928</v>
      </c>
      <c r="R58" s="91">
        <f>'Model (Matrix calcs)'!CP459</f>
        <v>679.22023063746053</v>
      </c>
      <c r="S58" s="91">
        <f>'Model (Matrix calcs)'!CP460</f>
        <v>691.61027000378965</v>
      </c>
      <c r="T58" s="91">
        <f>'Model (Matrix calcs)'!CP461</f>
        <v>702.72078045403327</v>
      </c>
      <c r="U58" s="91">
        <f>'Model (Matrix calcs)'!CP462</f>
        <v>712.83172619537618</v>
      </c>
      <c r="V58" s="91">
        <f>'Model (Matrix calcs)'!CP463</f>
        <v>722.13660822776478</v>
      </c>
    </row>
    <row r="59" spans="1:22" x14ac:dyDescent="0.25">
      <c r="A59" s="82"/>
      <c r="B59" s="63" t="s">
        <v>142</v>
      </c>
      <c r="C59" s="95"/>
      <c r="D59" s="91">
        <f>'Model (Matrix calcs)'!CQ445</f>
        <v>0</v>
      </c>
      <c r="E59" s="91">
        <f>'Model (Matrix calcs)'!CQ446</f>
        <v>4.4989353205405909</v>
      </c>
      <c r="F59" s="91">
        <f>'Model (Matrix calcs)'!CQ447</f>
        <v>22.711227840025519</v>
      </c>
      <c r="G59" s="91">
        <f>'Model (Matrix calcs)'!CQ448</f>
        <v>55.766425580678863</v>
      </c>
      <c r="H59" s="91">
        <f>'Model (Matrix calcs)'!CQ449</f>
        <v>98.236082085331319</v>
      </c>
      <c r="I59" s="91">
        <f>'Model (Matrix calcs)'!CQ450</f>
        <v>154.04366825719995</v>
      </c>
      <c r="J59" s="91">
        <f>'Model (Matrix calcs)'!CQ451</f>
        <v>216.463194978232</v>
      </c>
      <c r="K59" s="91">
        <f>'Model (Matrix calcs)'!CQ452</f>
        <v>278.95880657602737</v>
      </c>
      <c r="L59" s="91">
        <f>'Model (Matrix calcs)'!CQ453</f>
        <v>339.40470309927349</v>
      </c>
      <c r="M59" s="91">
        <f>'Model (Matrix calcs)'!CQ454</f>
        <v>404.8218978159598</v>
      </c>
      <c r="N59" s="91">
        <f>'Model (Matrix calcs)'!CQ455</f>
        <v>462.11142839659385</v>
      </c>
      <c r="O59" s="91">
        <f>'Model (Matrix calcs)'!CQ456</f>
        <v>513.94786994806475</v>
      </c>
      <c r="P59" s="91">
        <f>'Model (Matrix calcs)'!CQ457</f>
        <v>561.21947209595874</v>
      </c>
      <c r="Q59" s="91">
        <f>'Model (Matrix calcs)'!CQ458</f>
        <v>604.5112626368267</v>
      </c>
      <c r="R59" s="91">
        <f>'Model (Matrix calcs)'!CQ459</f>
        <v>644.27291025857448</v>
      </c>
      <c r="S59" s="91">
        <f>'Model (Matrix calcs)'!CQ460</f>
        <v>680.88318311424359</v>
      </c>
      <c r="T59" s="91">
        <f>'Model (Matrix calcs)'!CQ461</f>
        <v>714.67087152102249</v>
      </c>
      <c r="U59" s="91">
        <f>'Model (Matrix calcs)'!CQ462</f>
        <v>745.92323202441935</v>
      </c>
      <c r="V59" s="91">
        <f>'Model (Matrix calcs)'!CQ463</f>
        <v>774.89131338248637</v>
      </c>
    </row>
    <row r="60" spans="1:22" x14ac:dyDescent="0.25">
      <c r="A60" s="82"/>
      <c r="B60" s="64" t="s">
        <v>130</v>
      </c>
      <c r="C60" s="95"/>
      <c r="D60" s="91"/>
      <c r="E60" s="91"/>
      <c r="F60" s="91"/>
      <c r="G60" s="91"/>
      <c r="H60" s="91"/>
      <c r="I60" s="91"/>
      <c r="J60" s="91"/>
      <c r="K60" s="91"/>
      <c r="L60" s="91"/>
      <c r="M60" s="91"/>
      <c r="N60" s="91"/>
      <c r="O60" s="91"/>
      <c r="P60" s="91"/>
      <c r="Q60" s="91"/>
      <c r="R60" s="91"/>
      <c r="S60" s="91"/>
      <c r="T60" s="64"/>
      <c r="V60" s="64"/>
    </row>
    <row r="61" spans="1:22" x14ac:dyDescent="0.25">
      <c r="A61" s="82"/>
      <c r="B61" s="63" t="s">
        <v>143</v>
      </c>
      <c r="C61" s="95"/>
      <c r="D61" s="91">
        <f>'Model (Matrix calcs)'!CR445</f>
        <v>102.15423321098493</v>
      </c>
      <c r="E61" s="91">
        <f>'Model (Matrix calcs)'!CR446</f>
        <v>118.19038275596323</v>
      </c>
      <c r="F61" s="91">
        <f>'Model (Matrix calcs)'!CR447</f>
        <v>181.71391131300089</v>
      </c>
      <c r="G61" s="91">
        <f>'Model (Matrix calcs)'!CR448</f>
        <v>234.12775628264845</v>
      </c>
      <c r="H61" s="91">
        <f>'Model (Matrix calcs)'!CR449</f>
        <v>328.16038424745778</v>
      </c>
      <c r="I61" s="91">
        <f>'Model (Matrix calcs)'!CR450</f>
        <v>267.40453226784905</v>
      </c>
      <c r="J61" s="91">
        <f>'Model (Matrix calcs)'!CR451</f>
        <v>219.93102346683244</v>
      </c>
      <c r="K61" s="91">
        <f>'Model (Matrix calcs)'!CR452</f>
        <v>192.18684810453851</v>
      </c>
      <c r="L61" s="91">
        <f>'Model (Matrix calcs)'!CR453</f>
        <v>173.29923558293686</v>
      </c>
      <c r="M61" s="91">
        <f>'Model (Matrix calcs)'!CR454</f>
        <v>146.8369616020006</v>
      </c>
      <c r="N61" s="91">
        <f>'Model (Matrix calcs)'!CR455</f>
        <v>135.45628283385923</v>
      </c>
      <c r="O61" s="91">
        <f>'Model (Matrix calcs)'!CR456</f>
        <v>128.46693415255109</v>
      </c>
      <c r="P61" s="91">
        <f>'Model (Matrix calcs)'!CR457</f>
        <v>123.8015271109002</v>
      </c>
      <c r="Q61" s="91">
        <f>'Model (Matrix calcs)'!CR458</f>
        <v>120.68350055249607</v>
      </c>
      <c r="R61" s="91">
        <f>'Model (Matrix calcs)'!CR459</f>
        <v>118.62412653742146</v>
      </c>
      <c r="S61" s="91">
        <f>'Model (Matrix calcs)'!CR460</f>
        <v>117.27871263547479</v>
      </c>
      <c r="T61" s="91">
        <f>'Model (Matrix calcs)'!CR461</f>
        <v>116.40695038527636</v>
      </c>
      <c r="U61" s="91">
        <f>'Model (Matrix calcs)'!CR462</f>
        <v>115.84546158755973</v>
      </c>
      <c r="V61" s="91">
        <f>'Model (Matrix calcs)'!CR463</f>
        <v>115.48537604260957</v>
      </c>
    </row>
    <row r="62" spans="1:22" x14ac:dyDescent="0.25">
      <c r="A62" s="82"/>
      <c r="B62" s="63" t="s">
        <v>735</v>
      </c>
      <c r="C62" s="95"/>
      <c r="D62" s="91">
        <f>'Model (Matrix calcs)'!CS445</f>
        <v>0</v>
      </c>
      <c r="E62" s="91">
        <f>'Model (Matrix calcs)'!CS446</f>
        <v>0</v>
      </c>
      <c r="F62" s="91">
        <f>'Model (Matrix calcs)'!CS447</f>
        <v>75.341597564770751</v>
      </c>
      <c r="G62" s="91">
        <f>'Model (Matrix calcs)'!CS448</f>
        <v>151.31857326510783</v>
      </c>
      <c r="H62" s="91">
        <f>'Model (Matrix calcs)'!CS449</f>
        <v>194.91335964214389</v>
      </c>
      <c r="I62" s="91">
        <f>'Model (Matrix calcs)'!CS450</f>
        <v>209.16052844838063</v>
      </c>
      <c r="J62" s="91">
        <f>'Model (Matrix calcs)'!CS451</f>
        <v>209.31668630723604</v>
      </c>
      <c r="K62" s="91">
        <f>'Model (Matrix calcs)'!CS452</f>
        <v>203.54665264031448</v>
      </c>
      <c r="L62" s="91">
        <f>'Model (Matrix calcs)'!CS453</f>
        <v>195.1541340950202</v>
      </c>
      <c r="M62" s="91">
        <f>'Model (Matrix calcs)'!CS454</f>
        <v>171.68931386011835</v>
      </c>
      <c r="N62" s="91">
        <f>'Model (Matrix calcs)'!CS455</f>
        <v>154.57304039309003</v>
      </c>
      <c r="O62" s="91">
        <f>'Model (Matrix calcs)'!CS456</f>
        <v>141.95523237864063</v>
      </c>
      <c r="P62" s="91">
        <f>'Model (Matrix calcs)'!CS457</f>
        <v>132.36864424108944</v>
      </c>
      <c r="Q62" s="91">
        <f>'Model (Matrix calcs)'!CS458</f>
        <v>125.01413193019596</v>
      </c>
      <c r="R62" s="91">
        <f>'Model (Matrix calcs)'!CS459</f>
        <v>119.40291849117384</v>
      </c>
      <c r="S62" s="91">
        <f>'Model (Matrix calcs)'!CS460</f>
        <v>115.17382872161085</v>
      </c>
      <c r="T62" s="91">
        <f>'Model (Matrix calcs)'!CS461</f>
        <v>112.0308635047403</v>
      </c>
      <c r="U62" s="91">
        <f>'Model (Matrix calcs)'!CS462</f>
        <v>109.7266518641711</v>
      </c>
      <c r="V62" s="91">
        <f>'Model (Matrix calcs)'!CS463</f>
        <v>108.05806811999612</v>
      </c>
    </row>
    <row r="63" spans="1:22" x14ac:dyDescent="0.25">
      <c r="A63" s="82"/>
      <c r="B63" s="63" t="s">
        <v>736</v>
      </c>
      <c r="C63" s="95"/>
      <c r="D63" s="91">
        <f>'Model (Matrix calcs)'!CT445</f>
        <v>0</v>
      </c>
      <c r="E63" s="91">
        <f>'Model (Matrix calcs)'!CT446</f>
        <v>140.92559283523772</v>
      </c>
      <c r="F63" s="91">
        <f>'Model (Matrix calcs)'!CT447</f>
        <v>207.45919578607902</v>
      </c>
      <c r="G63" s="91">
        <f>'Model (Matrix calcs)'!CT448</f>
        <v>256.70222484297585</v>
      </c>
      <c r="H63" s="91">
        <f>'Model (Matrix calcs)'!CT449</f>
        <v>270.51440567504955</v>
      </c>
      <c r="I63" s="91">
        <f>'Model (Matrix calcs)'!CT450</f>
        <v>280.08944502842036</v>
      </c>
      <c r="J63" s="91">
        <f>'Model (Matrix calcs)'!CT451</f>
        <v>278.60714353414471</v>
      </c>
      <c r="K63" s="91">
        <f>'Model (Matrix calcs)'!CT452</f>
        <v>268.0220439592851</v>
      </c>
      <c r="L63" s="91">
        <f>'Model (Matrix calcs)'!CT453</f>
        <v>252.70657284880059</v>
      </c>
      <c r="M63" s="91">
        <f>'Model (Matrix calcs)'!CT454</f>
        <v>218.78807001682691</v>
      </c>
      <c r="N63" s="91">
        <f>'Model (Matrix calcs)'!CT455</f>
        <v>195.64977375420244</v>
      </c>
      <c r="O63" s="91">
        <f>'Model (Matrix calcs)'!CT456</f>
        <v>181.30784733950225</v>
      </c>
      <c r="P63" s="91">
        <f>'Model (Matrix calcs)'!CT457</f>
        <v>172.30512330870977</v>
      </c>
      <c r="Q63" s="91">
        <f>'Model (Matrix calcs)'!CT458</f>
        <v>166.54254874499526</v>
      </c>
      <c r="R63" s="91">
        <f>'Model (Matrix calcs)'!CT459</f>
        <v>162.81487004225562</v>
      </c>
      <c r="S63" s="91">
        <f>'Model (Matrix calcs)'!CT460</f>
        <v>160.39632769041702</v>
      </c>
      <c r="T63" s="91">
        <f>'Model (Matrix calcs)'!CT461</f>
        <v>158.82898713027078</v>
      </c>
      <c r="U63" s="91">
        <f>'Model (Matrix calcs)'!CT462</f>
        <v>157.81622333466635</v>
      </c>
      <c r="V63" s="91">
        <f>'Model (Matrix calcs)'!CT463</f>
        <v>157.1640003245659</v>
      </c>
    </row>
    <row r="64" spans="1:22" x14ac:dyDescent="0.25">
      <c r="A64" s="82"/>
      <c r="B64" s="63" t="s">
        <v>154</v>
      </c>
      <c r="C64" s="95"/>
      <c r="D64" s="91">
        <f>'Model (Matrix calcs)'!CU445</f>
        <v>0</v>
      </c>
      <c r="E64" s="91">
        <f>'Model (Matrix calcs)'!CU446</f>
        <v>32.550629290076422</v>
      </c>
      <c r="F64" s="91">
        <f>'Model (Matrix calcs)'!CU447</f>
        <v>47.240769515933245</v>
      </c>
      <c r="G64" s="91">
        <f>'Model (Matrix calcs)'!CU448</f>
        <v>42.54623024475471</v>
      </c>
      <c r="H64" s="91">
        <f>'Model (Matrix calcs)'!CU449</f>
        <v>69.415079857046308</v>
      </c>
      <c r="I64" s="91">
        <f>'Model (Matrix calcs)'!CU450</f>
        <v>94.445865649967772</v>
      </c>
      <c r="J64" s="91">
        <f>'Model (Matrix calcs)'!CU451</f>
        <v>82.675341946044057</v>
      </c>
      <c r="K64" s="91">
        <f>'Model (Matrix calcs)'!CU452</f>
        <v>71.263624098731071</v>
      </c>
      <c r="L64" s="91">
        <f>'Model (Matrix calcs)'!CU453</f>
        <v>63.757148748827731</v>
      </c>
      <c r="M64" s="91">
        <f>'Model (Matrix calcs)'!CU454</f>
        <v>53.821457266706744</v>
      </c>
      <c r="N64" s="91">
        <f>'Model (Matrix calcs)'!CU455</f>
        <v>50.232442111315365</v>
      </c>
      <c r="O64" s="91">
        <f>'Model (Matrix calcs)'!CU456</f>
        <v>47.058989653720602</v>
      </c>
      <c r="P64" s="91">
        <f>'Model (Matrix calcs)'!CU457</f>
        <v>44.870641668600896</v>
      </c>
      <c r="Q64" s="91">
        <f>'Model (Matrix calcs)'!CU458</f>
        <v>43.418639694379451</v>
      </c>
      <c r="R64" s="91">
        <f>'Model (Matrix calcs)'!CU459</f>
        <v>42.478242851777523</v>
      </c>
      <c r="S64" s="91">
        <f>'Model (Matrix calcs)'!CU460</f>
        <v>41.884636710117064</v>
      </c>
      <c r="T64" s="91">
        <f>'Model (Matrix calcs)'!CU461</f>
        <v>41.52284220400287</v>
      </c>
      <c r="U64" s="91">
        <f>'Model (Matrix calcs)'!CU462</f>
        <v>41.314197701949027</v>
      </c>
      <c r="V64" s="91">
        <f>'Model (Matrix calcs)'!CU463</f>
        <v>41.205614798047009</v>
      </c>
    </row>
    <row r="65" spans="1:22" x14ac:dyDescent="0.25">
      <c r="A65" s="82"/>
      <c r="B65" s="63" t="s">
        <v>155</v>
      </c>
      <c r="C65" s="95"/>
      <c r="D65" s="91">
        <f>'Model (Matrix calcs)'!CV445</f>
        <v>0</v>
      </c>
      <c r="E65" s="91">
        <f>'Model (Matrix calcs)'!CV446</f>
        <v>0</v>
      </c>
      <c r="F65" s="91">
        <f>'Model (Matrix calcs)'!CV447</f>
        <v>9.0955738985678565</v>
      </c>
      <c r="G65" s="91">
        <f>'Model (Matrix calcs)'!CV448</f>
        <v>21.68525338793506</v>
      </c>
      <c r="H65" s="91">
        <f>'Model (Matrix calcs)'!CV449</f>
        <v>32.117788413213134</v>
      </c>
      <c r="I65" s="91">
        <f>'Model (Matrix calcs)'!CV450</f>
        <v>49.357735043619947</v>
      </c>
      <c r="J65" s="201">
        <f>'Model (Matrix calcs)'!CV451</f>
        <v>72.43439012449268</v>
      </c>
      <c r="K65" s="91">
        <f>'Model (Matrix calcs)'!CV452</f>
        <v>90.672502379799099</v>
      </c>
      <c r="L65" s="91">
        <f>'Model (Matrix calcs)'!CV453</f>
        <v>104.49722492952544</v>
      </c>
      <c r="M65" s="91">
        <f>'Model (Matrix calcs)'!CV454</f>
        <v>107.90818494389278</v>
      </c>
      <c r="N65" s="91">
        <f>'Model (Matrix calcs)'!CV455</f>
        <v>114.62986511054513</v>
      </c>
      <c r="O65" s="91">
        <f>'Model (Matrix calcs)'!CV456</f>
        <v>120.81370174066016</v>
      </c>
      <c r="P65" s="91">
        <f>'Model (Matrix calcs)'!CV457</f>
        <v>125.82851220380272</v>
      </c>
      <c r="Q65" s="91">
        <f>'Model (Matrix calcs)'!CV458</f>
        <v>129.91439682766921</v>
      </c>
      <c r="R65" s="91">
        <f>'Model (Matrix calcs)'!CV459</f>
        <v>133.32299533199131</v>
      </c>
      <c r="S65" s="91">
        <f>'Model (Matrix calcs)'!CV460</f>
        <v>136.2403497934346</v>
      </c>
      <c r="T65" s="91">
        <f>'Model (Matrix calcs)'!CV461</f>
        <v>138.79600174804898</v>
      </c>
      <c r="U65" s="91">
        <f>'Model (Matrix calcs)'!CV462</f>
        <v>141.07896276926701</v>
      </c>
      <c r="V65" s="91">
        <f>'Model (Matrix calcs)'!CV463</f>
        <v>143.15033034391922</v>
      </c>
    </row>
    <row r="66" spans="1:22" x14ac:dyDescent="0.25">
      <c r="A66" s="82"/>
      <c r="B66" s="63" t="s">
        <v>737</v>
      </c>
      <c r="C66" s="95"/>
      <c r="D66" s="91">
        <f>'Model (Matrix calcs)'!CW445</f>
        <v>0</v>
      </c>
      <c r="E66" s="91">
        <f>'Model (Matrix calcs)'!CW446</f>
        <v>0</v>
      </c>
      <c r="F66" s="91">
        <f>'Model (Matrix calcs)'!CW447</f>
        <v>0.70849005181015989</v>
      </c>
      <c r="G66" s="91">
        <f>'Model (Matrix calcs)'!CW448</f>
        <v>3.7276874987039825</v>
      </c>
      <c r="H66" s="91">
        <f>'Model (Matrix calcs)'!CW449</f>
        <v>8.6258550482169198</v>
      </c>
      <c r="I66" s="91">
        <f>'Model (Matrix calcs)'!CW450</f>
        <v>14.46696094312377</v>
      </c>
      <c r="J66" s="91">
        <f>'Model (Matrix calcs)'!CW451</f>
        <v>20.724812851978086</v>
      </c>
      <c r="K66" s="91">
        <f>'Model (Matrix calcs)'!CW452</f>
        <v>27.000179849388299</v>
      </c>
      <c r="L66" s="91">
        <f>'Model (Matrix calcs)'!CW453</f>
        <v>33.028605849526343</v>
      </c>
      <c r="M66" s="91">
        <f>'Model (Matrix calcs)'!CW454</f>
        <v>36.327011926168538</v>
      </c>
      <c r="N66" s="91">
        <f>'Model (Matrix calcs)'!CW455</f>
        <v>39.497565668657963</v>
      </c>
      <c r="O66" s="91">
        <f>'Model (Matrix calcs)'!CW456</f>
        <v>43.064828110285212</v>
      </c>
      <c r="P66" s="91">
        <f>'Model (Matrix calcs)'!CW457</f>
        <v>46.645002571058491</v>
      </c>
      <c r="Q66" s="91">
        <f>'Model (Matrix calcs)'!CW458</f>
        <v>50.054602004198465</v>
      </c>
      <c r="R66" s="91">
        <f>'Model (Matrix calcs)'!CW459</f>
        <v>53.253265152526019</v>
      </c>
      <c r="S66" s="91">
        <f>'Model (Matrix calcs)'!CW460</f>
        <v>56.255864566508755</v>
      </c>
      <c r="T66" s="91">
        <f>'Model (Matrix calcs)'!CW461</f>
        <v>59.091679745737125</v>
      </c>
      <c r="U66" s="91">
        <f>'Model (Matrix calcs)'!CW462</f>
        <v>61.789437042920156</v>
      </c>
      <c r="V66" s="91">
        <f>'Model (Matrix calcs)'!CW463</f>
        <v>64.37298000598085</v>
      </c>
    </row>
    <row r="67" spans="1:22" x14ac:dyDescent="0.25">
      <c r="A67" s="82"/>
      <c r="B67" s="63" t="s">
        <v>145</v>
      </c>
      <c r="C67" s="95"/>
      <c r="D67" s="91">
        <f>'Model (Matrix calcs)'!CX445</f>
        <v>0</v>
      </c>
      <c r="E67" s="91">
        <f>'Model (Matrix calcs)'!CX446</f>
        <v>0</v>
      </c>
      <c r="F67" s="91">
        <f>'Model (Matrix calcs)'!CX447</f>
        <v>0.53803620536827113</v>
      </c>
      <c r="G67" s="91">
        <f>'Model (Matrix calcs)'!CX448</f>
        <v>2.8321790832912606</v>
      </c>
      <c r="H67" s="91">
        <f>'Model (Matrix calcs)'!CX449</f>
        <v>7.280355077998486</v>
      </c>
      <c r="I67" s="91">
        <f>'Model (Matrix calcs)'!CX450</f>
        <v>13.319232646760062</v>
      </c>
      <c r="J67" s="91">
        <f>'Model (Matrix calcs)'!CX451</f>
        <v>21.296468469774169</v>
      </c>
      <c r="K67" s="91">
        <f>'Model (Matrix calcs)'!CX452</f>
        <v>30.482707943051668</v>
      </c>
      <c r="L67" s="91">
        <f>'Model (Matrix calcs)'!CX453</f>
        <v>39.938931720069917</v>
      </c>
      <c r="M67" s="91">
        <f>'Model (Matrix calcs)'!CX454</f>
        <v>46.384602345907126</v>
      </c>
      <c r="N67" s="91">
        <f>'Model (Matrix calcs)'!CX455</f>
        <v>55.143140508506498</v>
      </c>
      <c r="O67" s="91">
        <f>'Model (Matrix calcs)'!CX456</f>
        <v>63.265238898137305</v>
      </c>
      <c r="P67" s="91">
        <f>'Model (Matrix calcs)'!CX457</f>
        <v>70.642854000209013</v>
      </c>
      <c r="Q67" s="91">
        <f>'Model (Matrix calcs)'!CX458</f>
        <v>77.366537750057461</v>
      </c>
      <c r="R67" s="91">
        <f>'Model (Matrix calcs)'!CX459</f>
        <v>83.51939248237268</v>
      </c>
      <c r="S67" s="91">
        <f>'Model (Matrix calcs)'!CX460</f>
        <v>89.167251852129624</v>
      </c>
      <c r="T67" s="91">
        <f>'Model (Matrix calcs)'!CX461</f>
        <v>94.364964953989414</v>
      </c>
      <c r="U67" s="91">
        <f>'Model (Matrix calcs)'!CX462</f>
        <v>99.159810240653371</v>
      </c>
      <c r="V67" s="91">
        <f>'Model (Matrix calcs)'!CX463</f>
        <v>103.59300067374573</v>
      </c>
    </row>
    <row r="68" spans="1:22" x14ac:dyDescent="0.25">
      <c r="A68" s="82"/>
      <c r="B68" s="63" t="s">
        <v>738</v>
      </c>
      <c r="C68" s="95"/>
      <c r="D68" s="91">
        <f>'Model (Matrix calcs)'!CY445</f>
        <v>0</v>
      </c>
      <c r="E68" s="91">
        <f>'Model (Matrix calcs)'!CY446</f>
        <v>0</v>
      </c>
      <c r="F68" s="91">
        <f>'Model (Matrix calcs)'!CY447</f>
        <v>0</v>
      </c>
      <c r="G68" s="91">
        <f>'Model (Matrix calcs)'!CY448</f>
        <v>0.31327136069746253</v>
      </c>
      <c r="H68" s="91">
        <f>'Model (Matrix calcs)'!CY449</f>
        <v>1.0921320904771972</v>
      </c>
      <c r="I68" s="91">
        <f>'Model (Matrix calcs)'!CY450</f>
        <v>2.3739570080751262</v>
      </c>
      <c r="J68" s="91">
        <f>'Model (Matrix calcs)'!CY451</f>
        <v>4.0276837645164658</v>
      </c>
      <c r="K68" s="91">
        <f>'Model (Matrix calcs)'!CY452</f>
        <v>5.9228409718817572</v>
      </c>
      <c r="L68" s="91">
        <f>'Model (Matrix calcs)'!CY453</f>
        <v>7.9461309467891548</v>
      </c>
      <c r="M68" s="91">
        <f>'Model (Matrix calcs)'!CY454</f>
        <v>9.4512170459660965</v>
      </c>
      <c r="N68" s="91">
        <f>'Model (Matrix calcs)'!CY455</f>
        <v>10.943172039808186</v>
      </c>
      <c r="O68" s="91">
        <f>'Model (Matrix calcs)'!CY456</f>
        <v>12.635263022091566</v>
      </c>
      <c r="P68" s="91">
        <f>'Model (Matrix calcs)'!CY457</f>
        <v>14.36662069074937</v>
      </c>
      <c r="Q68" s="91">
        <f>'Model (Matrix calcs)'!CY458</f>
        <v>16.065253208682901</v>
      </c>
      <c r="R68" s="91">
        <f>'Model (Matrix calcs)'!CY459</f>
        <v>17.716643378980233</v>
      </c>
      <c r="S68" s="91">
        <f>'Model (Matrix calcs)'!CY460</f>
        <v>19.326569293084372</v>
      </c>
      <c r="T68" s="91">
        <f>'Model (Matrix calcs)'!CY461</f>
        <v>20.905369916559817</v>
      </c>
      <c r="U68" s="91">
        <f>'Model (Matrix calcs)'!CY462</f>
        <v>22.462722697469417</v>
      </c>
      <c r="V68" s="91">
        <f>'Model (Matrix calcs)'!CY463</f>
        <v>24.006332691194405</v>
      </c>
    </row>
    <row r="69" spans="1:22" x14ac:dyDescent="0.25">
      <c r="A69" s="82"/>
      <c r="B69" s="64" t="s">
        <v>146</v>
      </c>
      <c r="C69" s="95"/>
      <c r="D69" s="91">
        <f>SUM(D61:D68)</f>
        <v>102.15423321098493</v>
      </c>
      <c r="E69" s="91">
        <f t="shared" ref="E69:I69" si="13">SUM(E61:E68)</f>
        <v>291.66660488127735</v>
      </c>
      <c r="F69" s="91">
        <f t="shared" si="13"/>
        <v>522.09757433553023</v>
      </c>
      <c r="G69" s="91">
        <f t="shared" si="13"/>
        <v>713.25317596611467</v>
      </c>
      <c r="H69" s="91">
        <f t="shared" si="13"/>
        <v>912.11936005160339</v>
      </c>
      <c r="I69" s="91">
        <f t="shared" si="13"/>
        <v>930.61825703619684</v>
      </c>
      <c r="J69" s="91">
        <f>SUM(J61:J68)</f>
        <v>909.01355046501862</v>
      </c>
      <c r="K69" s="91">
        <f t="shared" ref="K69:V69" si="14">SUM(K61:K68)</f>
        <v>889.09739994698998</v>
      </c>
      <c r="L69" s="91">
        <f t="shared" si="14"/>
        <v>870.32798472149636</v>
      </c>
      <c r="M69" s="91">
        <f t="shared" si="14"/>
        <v>791.20681900758723</v>
      </c>
      <c r="N69" s="91">
        <f t="shared" si="14"/>
        <v>756.12528241998473</v>
      </c>
      <c r="O69" s="91">
        <f t="shared" si="14"/>
        <v>738.56803529558874</v>
      </c>
      <c r="P69" s="91">
        <f t="shared" si="14"/>
        <v>730.82892579511997</v>
      </c>
      <c r="Q69" s="91">
        <f t="shared" si="14"/>
        <v>729.05961071267473</v>
      </c>
      <c r="R69" s="91">
        <f t="shared" si="14"/>
        <v>731.1324542684988</v>
      </c>
      <c r="S69" s="91">
        <f t="shared" si="14"/>
        <v>735.72354126277708</v>
      </c>
      <c r="T69" s="91">
        <f t="shared" si="14"/>
        <v>741.94765958862558</v>
      </c>
      <c r="U69" s="91">
        <f t="shared" si="14"/>
        <v>749.19346723865601</v>
      </c>
      <c r="V69" s="91">
        <f t="shared" si="14"/>
        <v>757.03570300005879</v>
      </c>
    </row>
    <row r="70" spans="1:22" x14ac:dyDescent="0.25">
      <c r="A70" s="82"/>
      <c r="B70" s="98" t="s">
        <v>131</v>
      </c>
      <c r="C70" s="95"/>
      <c r="D70" s="91">
        <f>SUM(D55:D59)+D69</f>
        <v>10297.380297297057</v>
      </c>
      <c r="E70" s="91">
        <f t="shared" ref="E70:I70" si="15">SUM(E55:E59)+E69</f>
        <v>10055.60467912602</v>
      </c>
      <c r="F70" s="91">
        <f t="shared" si="15"/>
        <v>9662.2481802340826</v>
      </c>
      <c r="G70" s="91">
        <f t="shared" si="15"/>
        <v>8627.2053822959988</v>
      </c>
      <c r="H70" s="100">
        <f t="shared" si="15"/>
        <v>7361.1203549975289</v>
      </c>
      <c r="I70" s="100">
        <f t="shared" si="15"/>
        <v>6561.3918834109381</v>
      </c>
      <c r="J70" s="91">
        <f>SUM(J55:J59)+J69</f>
        <v>6124.1540058687278</v>
      </c>
      <c r="K70" s="91">
        <f t="shared" ref="K70:V70" si="16">SUM(K55:K59)+K69</f>
        <v>5820.2883866318043</v>
      </c>
      <c r="L70" s="91">
        <f t="shared" si="16"/>
        <v>5597.6884892079888</v>
      </c>
      <c r="M70" s="91">
        <f t="shared" si="16"/>
        <v>5401.6073010018599</v>
      </c>
      <c r="N70" s="100">
        <f t="shared" si="16"/>
        <v>5288.4337165670477</v>
      </c>
      <c r="O70" s="100">
        <f t="shared" si="16"/>
        <v>5235.162962702404</v>
      </c>
      <c r="P70" s="91">
        <f t="shared" si="16"/>
        <v>5220.2853607864636</v>
      </c>
      <c r="Q70" s="91">
        <f t="shared" si="16"/>
        <v>5229.8619678596888</v>
      </c>
      <c r="R70" s="91">
        <f t="shared" si="16"/>
        <v>5254.5894794897713</v>
      </c>
      <c r="S70" s="91">
        <f t="shared" si="16"/>
        <v>5288.2800863324046</v>
      </c>
      <c r="T70" s="100">
        <f t="shared" si="16"/>
        <v>5326.8607651177126</v>
      </c>
      <c r="U70" s="91">
        <f t="shared" si="16"/>
        <v>5367.689977131572</v>
      </c>
      <c r="V70" s="100">
        <f t="shared" si="16"/>
        <v>5409.086796850379</v>
      </c>
    </row>
    <row r="71" spans="1:22" s="88" customFormat="1" x14ac:dyDescent="0.25">
      <c r="A71" s="89"/>
      <c r="C71" s="102"/>
      <c r="D71" s="103"/>
      <c r="E71" s="104"/>
      <c r="F71" s="104"/>
      <c r="G71" s="104"/>
      <c r="H71" s="176"/>
      <c r="I71" s="176"/>
      <c r="J71" s="104"/>
      <c r="K71" s="104"/>
      <c r="L71" s="104"/>
      <c r="M71" s="104"/>
      <c r="N71" s="176"/>
      <c r="O71" s="176"/>
      <c r="P71" s="104"/>
      <c r="Q71" s="104"/>
      <c r="R71" s="104"/>
      <c r="S71" s="104"/>
      <c r="T71" s="64"/>
      <c r="V71" s="64"/>
    </row>
  </sheetData>
  <sheetProtection algorithmName="SHA-512" hashValue="cH+elSsCfrSC5r8iC1eKCkoYxEii+BcXSsulrfyxb0uA8Q8F55eclEwIXlcZvpwY4r7w8AbO64DGtWg/i6+KsA==" saltValue="3yQcl1ac6QdN6OmXMx/cCA==" spinCount="100000" sheet="1" objects="1" scenarios="1"/>
  <printOptions horizontalCentered="1"/>
  <pageMargins left="0.5" right="0.5" top="0.75" bottom="0.75" header="0.3" footer="0.3"/>
  <pageSetup scale="7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276</vt:i4>
      </vt:variant>
    </vt:vector>
  </HeadingPairs>
  <TitlesOfParts>
    <vt:vector size="286" baseType="lpstr">
      <vt:lpstr>Notes</vt:lpstr>
      <vt:lpstr>Params</vt:lpstr>
      <vt:lpstr>Model (SN)</vt:lpstr>
      <vt:lpstr>Model (SC)</vt:lpstr>
      <vt:lpstr>Model (Matrix)</vt:lpstr>
      <vt:lpstr>Model (Matrix calcs)</vt:lpstr>
      <vt:lpstr>Diff (SN-SC)</vt:lpstr>
      <vt:lpstr>Diff (SN-Matrix)</vt:lpstr>
      <vt:lpstr>Diff (SC-Matrix)</vt:lpstr>
      <vt:lpstr>Errors</vt:lpstr>
      <vt:lpstr>Inc_2004</vt:lpstr>
      <vt:lpstr>Inc_2005</vt:lpstr>
      <vt:lpstr>Inc_2006</vt:lpstr>
      <vt:lpstr>Inc_2007</vt:lpstr>
      <vt:lpstr>Inc_2008</vt:lpstr>
      <vt:lpstr>Inc_2009</vt:lpstr>
      <vt:lpstr>Inc_2010</vt:lpstr>
      <vt:lpstr>Inc_2011</vt:lpstr>
      <vt:lpstr>Inc_2012</vt:lpstr>
      <vt:lpstr>Inc_2013</vt:lpstr>
      <vt:lpstr>Inc_2014</vt:lpstr>
      <vt:lpstr>Inc_2015</vt:lpstr>
      <vt:lpstr>Inc_2016</vt:lpstr>
      <vt:lpstr>Inc_2017</vt:lpstr>
      <vt:lpstr>Inc_2018</vt:lpstr>
      <vt:lpstr>Inc_2019</vt:lpstr>
      <vt:lpstr>Inc_2020</vt:lpstr>
      <vt:lpstr>Inc_2021</vt:lpstr>
      <vt:lpstr>Inc_2022</vt:lpstr>
      <vt:lpstr>Inc_2023</vt:lpstr>
      <vt:lpstr>init_prop_AIDS_ART1ear</vt:lpstr>
      <vt:lpstr>init_prop_AIDS_ART1late</vt:lpstr>
      <vt:lpstr>init_prop_AIDS_ART2</vt:lpstr>
      <vt:lpstr>init_prop_AIDS_DEAD</vt:lpstr>
      <vt:lpstr>init_prop_AIDS_InCare</vt:lpstr>
      <vt:lpstr>init_prop_AIDS_LTFU</vt:lpstr>
      <vt:lpstr>init_prop_AIDS_NoCare</vt:lpstr>
      <vt:lpstr>init_prop_Asympt_Dead</vt:lpstr>
      <vt:lpstr>init_prop_Asympt_InCare</vt:lpstr>
      <vt:lpstr>init_prop_Asympt_LTFU</vt:lpstr>
      <vt:lpstr>init_prop_Asympt_NoCare</vt:lpstr>
      <vt:lpstr>init_prop_Int_ART1</vt:lpstr>
      <vt:lpstr>init_prop_Int_ART2</vt:lpstr>
      <vt:lpstr>init_prop_Int_Dead</vt:lpstr>
      <vt:lpstr>init_prop_Int_InCare</vt:lpstr>
      <vt:lpstr>init_prop_Int_LTFU</vt:lpstr>
      <vt:lpstr>init_prop_Int_NoCare</vt:lpstr>
      <vt:lpstr>m_preARTLTFU_Asympt</vt:lpstr>
      <vt:lpstr>m_preARTLTFU_Int</vt:lpstr>
      <vt:lpstr>pAIDS_ART1ear_2004_2012</vt:lpstr>
      <vt:lpstr>pAIDS_ART1ear_2013plus</vt:lpstr>
      <vt:lpstr>pAIDS_ART1ear_2013plus_u</vt:lpstr>
      <vt:lpstr>pAIDS_ART1ear_AIDS_ART1late_2004_2012</vt:lpstr>
      <vt:lpstr>pAIDS_ART1ear_AIDS_ART1late_2013plus</vt:lpstr>
      <vt:lpstr>pAIDS_ART1ear_AIDS_ART1late_2013plus_u</vt:lpstr>
      <vt:lpstr>pAIDS_ART1ear_AIDS_Dead_2004_2012</vt:lpstr>
      <vt:lpstr>pAIDS_ART1ear_AIDS_Dead_2013plus</vt:lpstr>
      <vt:lpstr>pAIDS_ART1ear_AIDS_Dead_2013plus_u</vt:lpstr>
      <vt:lpstr>pAIDS_ART1ear_AIDS_LTFU_2004_2012</vt:lpstr>
      <vt:lpstr>pAIDS_ART1ear_AIDS_LTFU_2013plus</vt:lpstr>
      <vt:lpstr>pAIDS_ART1ear_AIDS_LTFU_2013plus_u</vt:lpstr>
      <vt:lpstr>pAIDS_ART1late_2004_2012</vt:lpstr>
      <vt:lpstr>pAIDS_ART1late_2013plus</vt:lpstr>
      <vt:lpstr>pAIDS_ART1late_2013plus_u</vt:lpstr>
      <vt:lpstr>pAIDS_ART1late_AIDS_ART2_2004_2012</vt:lpstr>
      <vt:lpstr>pAIDS_ART1late_AIDS_ART2_2013plus</vt:lpstr>
      <vt:lpstr>pAIDS_ART1late_AIDS_ART2_2013plus_u</vt:lpstr>
      <vt:lpstr>pAIDS_ART1late_AIDS_Dead_2004_2012</vt:lpstr>
      <vt:lpstr>pAIDS_ART1late_AIDS_Dead_2013plus</vt:lpstr>
      <vt:lpstr>pAIDS_ART1late_AIDS_Dead_2013plus_u</vt:lpstr>
      <vt:lpstr>pAIDS_ART1late_AIDS_LTFU_2004_2012</vt:lpstr>
      <vt:lpstr>pAIDS_ART1late_AIDS_LTFU_2013plus</vt:lpstr>
      <vt:lpstr>pAIDS_ART1late_AIDS_LTFU_2013plus_u</vt:lpstr>
      <vt:lpstr>pAIDS_ART2_2004_2012</vt:lpstr>
      <vt:lpstr>pAIDS_ART2_2013plus</vt:lpstr>
      <vt:lpstr>pAIDS_ART2_2013plus_u</vt:lpstr>
      <vt:lpstr>pAIDS_ART2_AIDS_Dead_2004_2012</vt:lpstr>
      <vt:lpstr>pAIDS_ART2_AIDS_Dead_2013plus</vt:lpstr>
      <vt:lpstr>pAIDS_ART2_AIDS_Dead_2013plus_u</vt:lpstr>
      <vt:lpstr>pAIDS_ART2_AIDS_LTFU_2004_2012</vt:lpstr>
      <vt:lpstr>pAIDS_ART2_AIDS_LTFU_2013plus</vt:lpstr>
      <vt:lpstr>pAIDS_ART2_AIDS_LTFU_2013plus_u</vt:lpstr>
      <vt:lpstr>pAIDS_InCare_2005</vt:lpstr>
      <vt:lpstr>pAIDS_InCare_2006</vt:lpstr>
      <vt:lpstr>pAIDS_InCare_2007</vt:lpstr>
      <vt:lpstr>pAIDS_InCare_2008</vt:lpstr>
      <vt:lpstr>pAIDS_InCare_2009</vt:lpstr>
      <vt:lpstr>pAIDS_InCare_2010</vt:lpstr>
      <vt:lpstr>pAIDS_InCare_2011</vt:lpstr>
      <vt:lpstr>pAIDS_InCare_2012</vt:lpstr>
      <vt:lpstr>pAIDS_InCare_2013plus</vt:lpstr>
      <vt:lpstr>pAIDS_InCare_2013plus_u</vt:lpstr>
      <vt:lpstr>pAIDS_InCare_AIDS_ART1ear_2005</vt:lpstr>
      <vt:lpstr>pAIDS_InCare_AIDS_ART1ear_2006</vt:lpstr>
      <vt:lpstr>pAIDS_InCare_AIDS_ART1ear_2007</vt:lpstr>
      <vt:lpstr>pAIDS_InCare_AIDS_ART1ear_2008</vt:lpstr>
      <vt:lpstr>pAIDS_InCare_AIDS_ART1ear_2009</vt:lpstr>
      <vt:lpstr>pAIDS_InCare_AIDS_ART1ear_2010</vt:lpstr>
      <vt:lpstr>pAIDS_InCare_AIDS_ART1ear_2011</vt:lpstr>
      <vt:lpstr>pAIDS_InCare_AIDS_ART1ear_2012</vt:lpstr>
      <vt:lpstr>pAIDS_InCare_AIDS_ART1ear_2013plus</vt:lpstr>
      <vt:lpstr>pAIDS_InCare_AIDS_ART1ear_2013plus_u</vt:lpstr>
      <vt:lpstr>pAIDS_InCare_AIDS_Dead_2004_2012</vt:lpstr>
      <vt:lpstr>pAIDS_InCare_AIDS_Dead_2013plus</vt:lpstr>
      <vt:lpstr>pAIDS_InCare_AIDS_Dead_2013plus_u</vt:lpstr>
      <vt:lpstr>pAIDS_InCare_AIDS_LTFU_2004_2012</vt:lpstr>
      <vt:lpstr>pAIDS_InCare_AIDS_LTFU_2013plus</vt:lpstr>
      <vt:lpstr>pAIDS_InCare_AIDS_LTFU_2013plus_u</vt:lpstr>
      <vt:lpstr>pAIDS_LTFU_2004_2012</vt:lpstr>
      <vt:lpstr>pAIDS_LTFU_2013plus</vt:lpstr>
      <vt:lpstr>pAIDS_LTFU_2013plus_u</vt:lpstr>
      <vt:lpstr>pAIDS_LTFU_AIDS_ART1ear_2004_2012</vt:lpstr>
      <vt:lpstr>pAIDS_LTFU_AIDS_ART1ear_2013plus</vt:lpstr>
      <vt:lpstr>pAIDS_LTFU_AIDS_ART1ear_2013plus_u</vt:lpstr>
      <vt:lpstr>pAIDS_LTFU_AIDS_ART2_2004_2012</vt:lpstr>
      <vt:lpstr>pAIDS_LTFU_AIDS_ART2_2013plus</vt:lpstr>
      <vt:lpstr>pAIDS_LTFU_AIDS_ART2_2013plus_u</vt:lpstr>
      <vt:lpstr>pAIDS_LTFU_AIDS_Dead_2004_2012</vt:lpstr>
      <vt:lpstr>pAIDS_LTFU_AIDS_Dead_2013plus</vt:lpstr>
      <vt:lpstr>pAIDS_LTFU_AIDS_Dead_2013plus_u</vt:lpstr>
      <vt:lpstr>pAIDS_NoCare_2004_2006</vt:lpstr>
      <vt:lpstr>pAIDS_NoCare_2007_2009</vt:lpstr>
      <vt:lpstr>pAIDS_NoCare_2010_2012</vt:lpstr>
      <vt:lpstr>pAIDS_NoCare_2013plus</vt:lpstr>
      <vt:lpstr>pAIDS_NoCare_2013plus_u</vt:lpstr>
      <vt:lpstr>pAIDS_NoCare_AIDS_ART1ear_2004_2006</vt:lpstr>
      <vt:lpstr>pAIDS_NoCare_AIDS_ART1ear_2007_2009</vt:lpstr>
      <vt:lpstr>pAIDS_NoCare_AIDS_ART1ear_2010_2012</vt:lpstr>
      <vt:lpstr>pAIDS_NoCare_AIDS_ART1ear_2013plus</vt:lpstr>
      <vt:lpstr>pAIDS_NoCare_AIDS_ART1ear_2013plus_u</vt:lpstr>
      <vt:lpstr>pAIDS_NoCare_AIDS_Dead_2004_2006</vt:lpstr>
      <vt:lpstr>pAIDS_NoCare_AIDS_Dead_2007_2009</vt:lpstr>
      <vt:lpstr>pAIDS_NoCare_AIDS_Dead_2010_2012</vt:lpstr>
      <vt:lpstr>pAIDS_NoCare_AIDS_Dead_2013plus</vt:lpstr>
      <vt:lpstr>pAIDS_NoCare_AIDS_Dead_2013plus_u</vt:lpstr>
      <vt:lpstr>pAIDS_NoCare_AIDS_InCare_2004_2006</vt:lpstr>
      <vt:lpstr>pAIDS_NoCare_AIDS_InCare_2007_2009</vt:lpstr>
      <vt:lpstr>pAIDS_NoCare_AIDS_InCare_2010_2012</vt:lpstr>
      <vt:lpstr>pAIDS_NoCare_AIDS_InCare_2013plus</vt:lpstr>
      <vt:lpstr>pAIDS_NoCare_AIDS_InCare_2013plus_u</vt:lpstr>
      <vt:lpstr>pAsympt_InCare_2004_2012</vt:lpstr>
      <vt:lpstr>pAsympt_InCare_2013plus</vt:lpstr>
      <vt:lpstr>pAsympt_InCare_2013plus_u</vt:lpstr>
      <vt:lpstr>pAsympt_InCare_Asympt_Dead_2004_2012</vt:lpstr>
      <vt:lpstr>pAsympt_InCare_Asympt_Dead_2013plus</vt:lpstr>
      <vt:lpstr>pAsympt_InCare_Asympt_Dead_2013plus_u</vt:lpstr>
      <vt:lpstr>pAsympt_InCare_Asympt_LTFU_2004_2012</vt:lpstr>
      <vt:lpstr>pAsympt_InCare_Asympt_LTFU_2013plus</vt:lpstr>
      <vt:lpstr>pAsympt_InCare_Asympt_LTFU_2013plus_u</vt:lpstr>
      <vt:lpstr>pAsympt_InCare_Int_ART1_2004_2012</vt:lpstr>
      <vt:lpstr>pAsympt_InCare_Int_ART1_2013plus</vt:lpstr>
      <vt:lpstr>pAsympt_InCare_Int_ART1_2013plus_u</vt:lpstr>
      <vt:lpstr>pAsympt_InCare_Int_InCare_2004_2012</vt:lpstr>
      <vt:lpstr>pAsympt_InCare_Int_InCare_2013plus</vt:lpstr>
      <vt:lpstr>pAsympt_InCare_Int_InCare_2013plus_u</vt:lpstr>
      <vt:lpstr>pAsympt_LTFU_2004_2012</vt:lpstr>
      <vt:lpstr>pAsympt_LTFU_2013plus</vt:lpstr>
      <vt:lpstr>pAsympt_LTFU_2013plus_u</vt:lpstr>
      <vt:lpstr>pAsympt_LTFU_Asympt_Dead_2004_2012</vt:lpstr>
      <vt:lpstr>pAsympt_LTFU_Asympt_Dead_2013plus</vt:lpstr>
      <vt:lpstr>pAsympt_LTFU_Asympt_Dead_2013plus_u</vt:lpstr>
      <vt:lpstr>pAsympt_LTFU_Int_ART1_2004_2012</vt:lpstr>
      <vt:lpstr>pAsympt_LTFU_Int_ART1_2013plus</vt:lpstr>
      <vt:lpstr>pAsympt_LTFU_Int_ART1_2013plus_u</vt:lpstr>
      <vt:lpstr>pAsympt_LTFU_Int_LTFU_2004_2012</vt:lpstr>
      <vt:lpstr>pAsympt_LTFU_Int_LTFU_2013plus</vt:lpstr>
      <vt:lpstr>pAsympt_LTFU_Int_LTFU_2013plus_u</vt:lpstr>
      <vt:lpstr>pAsympt_NoCare_2004_2006</vt:lpstr>
      <vt:lpstr>pAsympt_NoCare_2007_2009</vt:lpstr>
      <vt:lpstr>pAsympt_NoCare_2010_2012</vt:lpstr>
      <vt:lpstr>pAsympt_NoCare_2013plus</vt:lpstr>
      <vt:lpstr>pAsympt_NoCare_2013plus_u</vt:lpstr>
      <vt:lpstr>pAsympt_NoCare_Asympt_Dead_2004_2006</vt:lpstr>
      <vt:lpstr>pAsympt_NoCare_Asympt_Dead_2007_2009</vt:lpstr>
      <vt:lpstr>pAsympt_NoCare_Asympt_Dead_2010_2012</vt:lpstr>
      <vt:lpstr>pAsympt_NoCare_Asympt_Dead_2013plus</vt:lpstr>
      <vt:lpstr>pAsympt_NoCare_Asympt_Dead_2013plus_u</vt:lpstr>
      <vt:lpstr>pAsympt_NoCare_Asympt_InCare_2004_2006</vt:lpstr>
      <vt:lpstr>pAsympt_NoCare_Asympt_InCare_2007_2009</vt:lpstr>
      <vt:lpstr>pAsympt_NoCare_Asympt_InCare_2010_2012</vt:lpstr>
      <vt:lpstr>pAsympt_NoCare_Asympt_InCare_2013plus</vt:lpstr>
      <vt:lpstr>pAsympt_NoCare_Asympt_InCare_2013plus_u</vt:lpstr>
      <vt:lpstr>pAsympt_NoCare_Int_ART1_2004_2006</vt:lpstr>
      <vt:lpstr>pAsympt_NoCare_Int_ART1_2007_2009</vt:lpstr>
      <vt:lpstr>pAsympt_NoCare_Int_ART1_2010_2012</vt:lpstr>
      <vt:lpstr>pAsympt_NoCare_Int_ART1_2013plus</vt:lpstr>
      <vt:lpstr>pAsympt_NoCare_Int_ART1_2013plus_u</vt:lpstr>
      <vt:lpstr>pAsympt_NoCare_Int_InCare_2004_2006</vt:lpstr>
      <vt:lpstr>pAsympt_NoCare_Int_InCare_2007_2009</vt:lpstr>
      <vt:lpstr>pAsympt_NoCare_Int_InCare_2010_2012</vt:lpstr>
      <vt:lpstr>pAsympt_NoCare_Int_InCare_2013plus</vt:lpstr>
      <vt:lpstr>pAsympt_NoCare_Int_InCare_2013plus_u</vt:lpstr>
      <vt:lpstr>pAsympt_NoCare_Int_NoCare_2004_2006</vt:lpstr>
      <vt:lpstr>pAsympt_NoCare_Int_NoCare_2007_2009</vt:lpstr>
      <vt:lpstr>pAsympt_NoCare_Int_NoCare_2010_2012</vt:lpstr>
      <vt:lpstr>pAsympt_NoCare_Int_NoCare_2013plus</vt:lpstr>
      <vt:lpstr>pAsympt_NoCare_Int_NoCare_2013plus_u</vt:lpstr>
      <vt:lpstr>pInt_ART1_2004_2012</vt:lpstr>
      <vt:lpstr>pInt_ART1_2013plus</vt:lpstr>
      <vt:lpstr>pInt_ART1_2013plus_u</vt:lpstr>
      <vt:lpstr>pInt_ART1_Int_ART2_2004_2012</vt:lpstr>
      <vt:lpstr>pInt_ART1_Int_ART2_2013plus</vt:lpstr>
      <vt:lpstr>pInt_ART1_Int_ART2_2013plus_u</vt:lpstr>
      <vt:lpstr>pInt_ART1_Int_Dead_2004_2012</vt:lpstr>
      <vt:lpstr>pInt_ART1_Int_Dead_2013plus</vt:lpstr>
      <vt:lpstr>pInt_ART1_Int_Dead_2013plus_u</vt:lpstr>
      <vt:lpstr>pInt_ART1_Int_LTFU_2004_2012</vt:lpstr>
      <vt:lpstr>pInt_ART1_Int_LTFU_2013plus</vt:lpstr>
      <vt:lpstr>pInt_ART1_Int_LTFU_2013plus_u</vt:lpstr>
      <vt:lpstr>pInt_ART2_2004_2012</vt:lpstr>
      <vt:lpstr>pInt_ART2_2013plus</vt:lpstr>
      <vt:lpstr>pInt_ART2_2013plus_u</vt:lpstr>
      <vt:lpstr>pInt_ART2_Int_Dead_2004_2012</vt:lpstr>
      <vt:lpstr>pInt_ART2_Int_Dead_2013plus</vt:lpstr>
      <vt:lpstr>pInt_ART2_Int_Dead_2013plus_u</vt:lpstr>
      <vt:lpstr>pInt_ART2_Int_LTFU_2004_2012</vt:lpstr>
      <vt:lpstr>pInt_ART2_Int_LTFU_2013plus</vt:lpstr>
      <vt:lpstr>pInt_ART2_Int_LTFU_2013plus_u</vt:lpstr>
      <vt:lpstr>pInt_InCare_2004_2012</vt:lpstr>
      <vt:lpstr>pInt_InCare_2013plus</vt:lpstr>
      <vt:lpstr>pInt_InCare_2013plus_u</vt:lpstr>
      <vt:lpstr>pInt_InCare_AIDS_ART1ear_2004_2012</vt:lpstr>
      <vt:lpstr>pInt_InCare_AIDS_ART1ear_2013plus</vt:lpstr>
      <vt:lpstr>pInt_InCare_AIDS_ART1ear_2013plus_u</vt:lpstr>
      <vt:lpstr>pInt_InCare_AIDS_InCare_2004_2012</vt:lpstr>
      <vt:lpstr>pInt_InCare_AIDS_InCare_2013plus</vt:lpstr>
      <vt:lpstr>pInt_InCare_AIDS_InCare_2013plus_u</vt:lpstr>
      <vt:lpstr>pInt_InCare_Int_ART1_2004_2012</vt:lpstr>
      <vt:lpstr>pInt_InCare_Int_ART1_2013plus</vt:lpstr>
      <vt:lpstr>pInt_InCare_Int_ART1_2013plus_u</vt:lpstr>
      <vt:lpstr>pInt_InCare_Int_Dead_2004_2012</vt:lpstr>
      <vt:lpstr>pInt_InCare_Int_Dead_2013plus</vt:lpstr>
      <vt:lpstr>pInt_InCare_Int_Dead_2013plus_u</vt:lpstr>
      <vt:lpstr>pInt_InCare_Int_LTFU_2004_2012</vt:lpstr>
      <vt:lpstr>pInt_InCare_Int_LTFU_2013plus</vt:lpstr>
      <vt:lpstr>pInt_InCare_Int_LTFU_2013plus_u</vt:lpstr>
      <vt:lpstr>pInt_LTFU_2004_2012</vt:lpstr>
      <vt:lpstr>pInt_LTFU_2013plus</vt:lpstr>
      <vt:lpstr>pInt_LTFU_2013plus_u</vt:lpstr>
      <vt:lpstr>pInt_LTFU_AIDS_LTFU_2004_2012</vt:lpstr>
      <vt:lpstr>pInt_LTFU_AIDS_LTFU_2013plus</vt:lpstr>
      <vt:lpstr>pInt_LTFU_AIDS_LTFU_2013plus_u</vt:lpstr>
      <vt:lpstr>pInt_LTFU_Int_ART1_2004_2012</vt:lpstr>
      <vt:lpstr>pInt_LTFU_Int_ART1_2013plus</vt:lpstr>
      <vt:lpstr>pInt_LTFU_Int_ART1_2013plus_u</vt:lpstr>
      <vt:lpstr>pInt_LTFU_Int_ART2_2004_2012</vt:lpstr>
      <vt:lpstr>pInt_LTFU_Int_ART2_2013plus</vt:lpstr>
      <vt:lpstr>pInt_LTFU_Int_ART2_2013plus_u</vt:lpstr>
      <vt:lpstr>pInt_LTFU_Int_Dead_2004_2012</vt:lpstr>
      <vt:lpstr>pInt_LTFU_Int_Dead_2013plus</vt:lpstr>
      <vt:lpstr>pInt_LTFU_Int_Dead_2013plus_u</vt:lpstr>
      <vt:lpstr>pInt_NoCare_2004_2006</vt:lpstr>
      <vt:lpstr>pInt_NoCare_2007_2009</vt:lpstr>
      <vt:lpstr>pInt_NoCare_2010_2012</vt:lpstr>
      <vt:lpstr>pInt_NoCare_2013plus</vt:lpstr>
      <vt:lpstr>pInt_NoCare_2013plus_u</vt:lpstr>
      <vt:lpstr>pInt_NoCare_AIDS_ART1ear_2004_2006</vt:lpstr>
      <vt:lpstr>pInt_NoCare_AIDS_ART1ear_2007_2009</vt:lpstr>
      <vt:lpstr>pInt_NoCare_AIDS_ART1ear_2010_2012</vt:lpstr>
      <vt:lpstr>pInt_NoCare_AIDS_ART1ear_2013plus</vt:lpstr>
      <vt:lpstr>pInt_NoCare_AIDS_ART1ear_2013plus_u</vt:lpstr>
      <vt:lpstr>pInt_NoCare_AIDS_InCare_2004_2006</vt:lpstr>
      <vt:lpstr>pInt_NoCare_AIDS_InCare_2007_2009</vt:lpstr>
      <vt:lpstr>pInt_NoCare_AIDS_InCare_2010_2012</vt:lpstr>
      <vt:lpstr>pInt_NoCare_AIDS_InCare_2013plus</vt:lpstr>
      <vt:lpstr>pInt_NoCare_AIDS_InCare_2013plus_u</vt:lpstr>
      <vt:lpstr>pInt_NoCare_AIDS_NoCare_2004_2006</vt:lpstr>
      <vt:lpstr>pInt_NoCare_AIDS_NoCare_2007_2009</vt:lpstr>
      <vt:lpstr>pInt_NoCare_AIDS_NoCare_2010_2012</vt:lpstr>
      <vt:lpstr>pInt_NoCare_AIDS_NoCare_2013plus</vt:lpstr>
      <vt:lpstr>pInt_NoCare_AIDS_NoCare_2013plus_u</vt:lpstr>
      <vt:lpstr>pInt_NoCare_Int_ART1_2004_2006</vt:lpstr>
      <vt:lpstr>pInt_NoCare_Int_ART1_2007_2009</vt:lpstr>
      <vt:lpstr>pInt_NoCare_Int_ART1_2010_2012</vt:lpstr>
      <vt:lpstr>pInt_NoCare_Int_ART1_2013plus</vt:lpstr>
      <vt:lpstr>pInt_NoCare_Int_ART1_2013plus_u</vt:lpstr>
      <vt:lpstr>pInt_NoCare_Int_Dead_2004_2006</vt:lpstr>
      <vt:lpstr>pInt_NoCare_Int_Dead_2007_2009</vt:lpstr>
      <vt:lpstr>pInt_NoCare_Int_Dead_2010_2012</vt:lpstr>
      <vt:lpstr>pInt_NoCare_Int_Dead_2013plus</vt:lpstr>
      <vt:lpstr>pInt_NoCare_Int_Dead_2013plus_u</vt:lpstr>
      <vt:lpstr>pInt_NoCare_Int_InCare_2004_2006</vt:lpstr>
      <vt:lpstr>pInt_NoCare_Int_InCare_2007_2009</vt:lpstr>
      <vt:lpstr>pInt_NoCare_Int_InCare_2010_2012</vt:lpstr>
      <vt:lpstr>pInt_NoCare_Int_InCare_2013plus</vt:lpstr>
      <vt:lpstr>pInt_NoCare_Int_InCare_2013plus_u</vt:lpstr>
    </vt:vector>
  </TitlesOfParts>
  <Company>Virginia Commonwealth University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VCU User</dc:creator>
  <cp:lastModifiedBy>Rose S Bono</cp:lastModifiedBy>
  <dcterms:created xsi:type="dcterms:W3CDTF">2013-06-19T19:21:17Z</dcterms:created>
  <dcterms:modified xsi:type="dcterms:W3CDTF">2018-02-09T19:44:22Z</dcterms:modified>
</cp:coreProperties>
</file>